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80" tabRatio="931" activeTab="4"/>
  </bookViews>
  <sheets>
    <sheet name="财务映射表" sheetId="17" r:id="rId1"/>
    <sheet name="运营成本管理看板" sheetId="24" r:id="rId2"/>
    <sheet name="运营成本管理看板 (2)" sheetId="38" r:id="rId3"/>
    <sheet name="预算主表" sheetId="42" r:id="rId4"/>
    <sheet name="1 预算编制表单" sheetId="3" r:id="rId5"/>
    <sheet name="1-1 项目基础信息" sheetId="4" r:id="rId6"/>
    <sheet name="1-2 人员岗位信息" sheetId="6" r:id="rId7"/>
    <sheet name="备选选项" sheetId="5" state="hidden" r:id="rId8"/>
    <sheet name="附表1-数据库" sheetId="11" state="hidden" r:id="rId9"/>
    <sheet name="2 过程管理表单" sheetId="9" r:id="rId10"/>
    <sheet name="2-1 采购订单物料明细表报表导出" sheetId="13" r:id="rId11"/>
    <sheet name="2-2 引出数据_合同数据仓库" sheetId="12" r:id="rId12"/>
    <sheet name="引用修正" sheetId="28" r:id="rId13"/>
    <sheet name="2-3 引出列表" sheetId="27" r:id="rId14"/>
    <sheet name="报销单计算表" sheetId="29" r:id="rId15"/>
    <sheet name="物资过程计算" sheetId="16" state="hidden" r:id="rId16"/>
    <sheet name="1发生与预算费用总表" sheetId="18" state="hidden" r:id="rId17"/>
    <sheet name="2二级费项发生与预算费用" sheetId="20" r:id="rId18"/>
    <sheet name="3异常统计表" sheetId="23" state="hidden" r:id="rId19"/>
    <sheet name="4主要费项费项月累成本使用情况" sheetId="25" r:id="rId20"/>
    <sheet name="4-1主要费项费项月累成本使用情况" sheetId="37" r:id="rId21"/>
    <sheet name="物资过程计算表" sheetId="30" r:id="rId22"/>
    <sheet name="人工服务拆分" sheetId="39" r:id="rId23"/>
    <sheet name="物耗拆分" sheetId="40" r:id="rId24"/>
    <sheet name="维改拆分" sheetId="41" r:id="rId25"/>
    <sheet name="一次费项异常项统计表" sheetId="31" state="hidden" r:id="rId26"/>
    <sheet name="劳务派遣统计表" sheetId="33" state="hidden" r:id="rId27"/>
    <sheet name="自有人员计算表" sheetId="32" state="hidden" r:id="rId28"/>
    <sheet name="劳务外包表" sheetId="35" state="hidden" r:id="rId29"/>
    <sheet name="三级费项月累表格" sheetId="36" state="hidden" r:id="rId30"/>
  </sheets>
  <definedNames>
    <definedName name="_xlnm._FilterDatabase" localSheetId="4" hidden="1">'1 预算编制表单'!$A$3:$BN$694</definedName>
    <definedName name="_xlnm._FilterDatabase" localSheetId="6" hidden="1">'1-2 人员岗位信息'!$A$1:$C$233</definedName>
    <definedName name="_xlnm._FilterDatabase" localSheetId="9" hidden="1">'2 过程管理表单'!$A$1:$G$621</definedName>
    <definedName name="_xlnm._FilterDatabase" localSheetId="12" hidden="1">引用修正!$A$1:$I$856</definedName>
    <definedName name="_xlnm._FilterDatabase" localSheetId="15" hidden="1">物资过程计算!$A$1:$O$952</definedName>
    <definedName name="_xlnm._FilterDatabase" localSheetId="26" hidden="1">劳务派遣统计表!$B$1:$B$37</definedName>
    <definedName name="_xlnm._FilterDatabase" localSheetId="27" hidden="1">自有人员计算表!$B$1:$B$37</definedName>
    <definedName name="_xlnm._FilterDatabase" localSheetId="28" hidden="1">劳务外包表!$B$1:$B$49</definedName>
    <definedName name="_xlnm._FilterDatabase" localSheetId="29" hidden="1">三级费项月累表格!$B$1:$B$153</definedName>
    <definedName name="切片器_二级费项">#N/A</definedName>
    <definedName name="切片器_月份">#N/A</definedName>
    <definedName name="切片器_二级费项2">#N/A</definedName>
    <definedName name="_xlnm.Print_Area" localSheetId="4">'1 预算编制表单'!$A$1:$AT$694</definedName>
    <definedName name="_xlnm.Print_Area" localSheetId="1">运营成本管理看板!$A$1:$AE$94</definedName>
    <definedName name="_xlnm.Print_Titles" localSheetId="4">'1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<sst xmlns="http://schemas.openxmlformats.org/spreadsheetml/2006/main" count="25744" uniqueCount="5769">
  <si>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</si>
  <si>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</si>
  <si>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</si>
  <si>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</si>
  <si>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</si>
  <si>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</si>
  <si>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</si>
  <si>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</si>
  <si>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</si>
  <si>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</si>
  <si>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</si>
  <si>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</si>
  <si>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</si>
  <si>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</si>
  <si>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</si>
  <si>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</si>
  <si>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</si>
  <si>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</si>
  <si>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</si>
  <si>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</si>
  <si>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</si>
  <si>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</si>
  <si>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</si>
  <si>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</si>
  <si>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</si>
  <si>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</si>
  <si>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</si>
  <si>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</si>
  <si>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</si>
  <si>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</si>
  <si>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</si>
  <si>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</si>
  <si>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</si>
  <si>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</si>
  <si>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</si>
  <si>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</si>
  <si>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</si>
  <si>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</si>
  <si>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</si>
  <si>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</si>
  <si>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</si>
  <si>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</si>
  <si>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</si>
  <si>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</si>
  <si>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</si>
  <si>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</si>
  <si>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</si>
  <si>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</si>
  <si>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</si>
  <si>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</si>
  <si>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</si>
  <si>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</si>
  <si>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</si>
  <si>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</si>
  <si>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</si>
  <si>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</si>
  <si>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</si>
  <si>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</si>
  <si>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</si>
  <si>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</si>
  <si>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</si>
  <si>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</si>
  <si>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</si>
  <si>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</si>
  <si>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</si>
  <si>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</si>
  <si>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</si>
  <si>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</si>
  <si>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</si>
  <si>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</si>
  <si>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</si>
  <si>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</si>
  <si>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</si>
  <si>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</si>
  <si>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</si>
  <si>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</si>
  <si>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</si>
  <si>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</si>
  <si>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</si>
  <si>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</si>
  <si>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</si>
  <si>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</si>
  <si>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</si>
  <si>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</si>
  <si>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</si>
  <si>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</si>
  <si>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</si>
  <si>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</si>
  <si>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</si>
  <si>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</si>
  <si>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</si>
  <si>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</si>
  <si>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</si>
  <si>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</si>
  <si>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</si>
  <si>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</si>
  <si>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</si>
  <si>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</si>
  <si>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</si>
  <si>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</si>
  <si>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</si>
  <si>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</si>
  <si>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</si>
  <si>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</si>
  <si>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</si>
  <si>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</si>
  <si>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</si>
  <si>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</si>
  <si>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</si>
  <si>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</si>
  <si>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</si>
  <si>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</si>
  <si>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</si>
  <si>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</si>
  <si>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</si>
  <si>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</si>
  <si>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</si>
  <si>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</si>
  <si>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</si>
  <si>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</si>
  <si>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</si>
  <si>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</si>
  <si>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</si>
  <si>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</si>
  <si>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</si>
  <si>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</si>
  <si>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</si>
  <si>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</si>
  <si>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</si>
  <si>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</si>
  <si>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</si>
  <si>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</si>
  <si>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</si>
  <si>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</si>
  <si>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</si>
  <si>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</si>
  <si>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</si>
  <si>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</si>
  <si>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</si>
  <si>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</si>
  <si>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</si>
  <si>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</si>
  <si>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</si>
  <si>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</si>
  <si>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</si>
  <si>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</si>
  <si>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</si>
  <si>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</si>
  <si>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</si>
  <si>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</si>
  <si>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</si>
  <si>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</si>
  <si>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</si>
  <si>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</si>
  <si>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</si>
  <si>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</si>
  <si>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</si>
  <si>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</si>
  <si>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</si>
  <si>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</si>
  <si>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</si>
  <si>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</si>
  <si>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</si>
  <si>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</si>
  <si>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</si>
  <si>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</si>
  <si>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</si>
  <si>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</si>
  <si>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</si>
  <si>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</si>
  <si>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</si>
  <si>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</si>
  <si>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</si>
  <si>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</si>
  <si>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</si>
  <si>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</si>
  <si>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</si>
  <si>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</si>
  <si>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</si>
  <si>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</si>
  <si>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</si>
  <si>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</si>
  <si>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</si>
  <si>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</si>
  <si>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</si>
  <si>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</si>
  <si>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</si>
  <si>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</si>
  <si>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</si>
  <si>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</si>
  <si>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</si>
  <si>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</si>
  <si>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</si>
  <si>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</si>
  <si>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</si>
  <si>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</si>
  <si>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</si>
  <si>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</si>
  <si>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</si>
  <si>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</si>
  <si>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</si>
  <si>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</si>
  <si>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</si>
  <si>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</si>
  <si>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</si>
  <si>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</si>
  <si>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</si>
  <si>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</si>
  <si>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</si>
  <si>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</si>
  <si>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</si>
  <si>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</si>
  <si>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</si>
  <si>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</si>
  <si>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</si>
  <si>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</si>
  <si>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</si>
  <si>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</si>
  <si>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</si>
  <si>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</si>
  <si>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</si>
  <si>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</si>
  <si>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</si>
  <si>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</si>
  <si>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</si>
  <si>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</si>
  <si>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</si>
  <si>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</si>
  <si>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</si>
  <si>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</si>
  <si>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</si>
  <si>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</si>
  <si>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</si>
  <si>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</si>
  <si>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</si>
  <si>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</si>
  <si>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</si>
  <si>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</si>
  <si>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</si>
  <si>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</si>
  <si>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</si>
  <si>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</si>
  <si>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</si>
  <si>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</si>
  <si>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</si>
  <si>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</si>
  <si>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</si>
  <si>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</si>
  <si>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</si>
  <si>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</si>
  <si>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</si>
  <si>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</si>
  <si>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</si>
  <si>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</si>
  <si>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</si>
  <si>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</si>
  <si>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</si>
  <si>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</si>
  <si>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</si>
  <si>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</si>
  <si>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</si>
  <si>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</si>
  <si>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</si>
  <si>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</si>
  <si>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</si>
  <si>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</si>
  <si>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</si>
  <si>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</si>
  <si>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</si>
  <si>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</si>
  <si>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</si>
  <si>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</si>
  <si>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</si>
  <si>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</si>
  <si>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</si>
  <si>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</si>
  <si>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</si>
  <si>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</si>
  <si>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</si>
  <si>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</si>
  <si>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</si>
  <si>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</si>
  <si>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</si>
  <si>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</si>
  <si>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</si>
  <si>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</si>
  <si>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</si>
  <si>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</si>
  <si>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</si>
  <si>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</si>
  <si>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</si>
  <si>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</si>
  <si>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</si>
  <si>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</si>
  <si>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</si>
  <si>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</si>
  <si>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</si>
  <si>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</si>
  <si>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</si>
  <si>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</si>
  <si>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</si>
  <si>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</si>
  <si>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</si>
  <si>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</si>
  <si>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</si>
  <si>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</si>
  <si>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</si>
  <si>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</si>
  <si>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</si>
  <si>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</si>
  <si>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</si>
  <si>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</si>
  <si>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</si>
  <si>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</si>
  <si>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</si>
  <si>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</si>
  <si>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</si>
  <si>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</si>
  <si>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</si>
  <si>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</si>
  <si>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</si>
  <si>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</si>
  <si>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</si>
  <si>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</si>
  <si>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</si>
  <si>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</si>
  <si>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</si>
  <si>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</si>
  <si>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</si>
  <si>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</si>
  <si>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</si>
  <si>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</si>
  <si>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</si>
  <si>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</si>
  <si>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</si>
  <si>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</si>
  <si>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</si>
  <si>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</si>
  <si>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</si>
  <si>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</si>
  <si>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</si>
  <si>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</si>
  <si>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</si>
  <si>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</si>
  <si>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</si>
  <si>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</si>
  <si>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</si>
  <si>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</si>
  <si>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</si>
  <si>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</si>
  <si>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</si>
  <si>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</si>
  <si>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</si>
  <si>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</si>
  <si>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</si>
  <si>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</si>
  <si>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</si>
  <si>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</si>
  <si>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</si>
  <si>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</si>
  <si>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</si>
  <si>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</si>
  <si>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</si>
  <si>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</si>
  <si>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</si>
  <si>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</si>
  <si>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</si>
  <si>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</si>
  <si>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</si>
  <si>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</si>
  <si>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</si>
  <si>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</si>
  <si>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</si>
  <si>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</si>
  <si>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</si>
  <si>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</si>
  <si>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</si>
  <si>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</si>
  <si>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</si>
  <si>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</si>
  <si>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</si>
  <si>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</si>
  <si>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</si>
  <si>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</si>
  <si>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</si>
  <si>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</si>
  <si>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</si>
  <si>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</si>
  <si>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</si>
  <si>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</si>
  <si>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</si>
  <si>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</si>
  <si>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</si>
  <si>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</si>
  <si>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</si>
  <si>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</si>
  <si>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</si>
  <si>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</si>
  <si>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</si>
  <si>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</si>
  <si>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</si>
  <si>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</si>
  <si>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</si>
  <si>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</si>
  <si>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</si>
  <si>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</si>
  <si>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</si>
  <si>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</si>
  <si>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</si>
  <si>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</si>
  <si>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</si>
  <si>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</si>
  <si>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</si>
  <si>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</si>
  <si>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</si>
  <si>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</si>
  <si>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</si>
  <si>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</si>
  <si>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</si>
  <si>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</si>
  <si>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</si>
  <si>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</si>
  <si>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</si>
  <si>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</si>
  <si>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</si>
  <si>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</si>
  <si>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</si>
  <si>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</si>
  <si>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</si>
  <si>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</si>
  <si>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</si>
  <si>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</si>
  <si>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</si>
  <si>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</si>
  <si>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</si>
  <si>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</si>
  <si>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</si>
  <si>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</si>
  <si>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</si>
  <si>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</si>
  <si>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</si>
  <si>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</si>
  <si>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</si>
  <si>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</si>
  <si>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</si>
  <si>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</si>
  <si>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</si>
  <si>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</si>
  <si>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</si>
  <si>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</si>
  <si>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</si>
  <si>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</si>
  <si>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</si>
  <si>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</si>
  <si>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</si>
  <si>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</si>
  <si>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</si>
  <si>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</si>
  <si>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</si>
  <si>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</si>
  <si>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</si>
  <si>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</si>
  <si>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</si>
  <si>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</si>
  <si>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</si>
  <si>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</si>
  <si>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</si>
  <si>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</si>
  <si>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</si>
  <si>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</si>
  <si>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</si>
  <si>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</si>
  <si>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</si>
  <si>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</si>
  <si>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</si>
  <si>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</si>
  <si>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</si>
  <si>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</si>
  <si>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</si>
  <si>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</si>
  <si>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</si>
  <si>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</si>
  <si>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</si>
  <si>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</si>
  <si>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</si>
  <si>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</si>
  <si>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</si>
  <si>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</si>
  <si>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</si>
  <si>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</si>
  <si>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</si>
  <si>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</si>
  <si>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</si>
  <si>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</si>
  <si>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</si>
  <si>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</si>
  <si>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</si>
  <si>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</si>
  <si>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</si>
  <si>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</si>
  <si>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</si>
  <si>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</si>
  <si>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</si>
  <si>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</si>
  <si>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</si>
  <si>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</si>
  <si>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</si>
  <si>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</si>
  <si>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</si>
  <si>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</si>
  <si>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</si>
  <si>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</si>
  <si>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</si>
  <si>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</si>
  <si>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</si>
  <si>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</si>
  <si>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</si>
  <si>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</si>
  <si>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</si>
  <si>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</si>
  <si>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</si>
  <si>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</si>
  <si>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</si>
  <si>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</si>
  <si>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</si>
  <si>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</si>
  <si>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</si>
  <si>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</si>
  <si>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</si>
  <si>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</si>
  <si>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</si>
  <si>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</si>
  <si>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</si>
  <si>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</si>
  <si>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</si>
  <si>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</si>
  <si>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</si>
  <si>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</si>
  <si>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</si>
  <si>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</si>
  <si>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</si>
  <si>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</si>
  <si>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</si>
  <si>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</si>
  <si>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</si>
  <si>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</si>
  <si>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</si>
  <si>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</si>
  <si>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</si>
  <si>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</si>
  <si>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</si>
  <si>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</si>
  <si>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</si>
  <si>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</si>
  <si>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</si>
  <si>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</si>
  <si>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</si>
  <si>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</si>
  <si>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</si>
  <si>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</si>
  <si>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</si>
  <si>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</si>
  <si>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</si>
  <si>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</si>
  <si>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</si>
  <si>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</si>
  <si>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</si>
  <si>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</si>
  <si>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</si>
  <si>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</si>
  <si>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</si>
  <si>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</si>
  <si>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</si>
  <si>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</si>
  <si>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</si>
  <si>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</si>
  <si>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</si>
  <si>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</si>
  <si>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</si>
  <si>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</si>
  <si>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</si>
  <si>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</si>
  <si>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</si>
  <si>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</si>
  <si>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</si>
  <si>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</si>
  <si>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</si>
  <si>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</si>
  <si>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</si>
  <si>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</si>
  <si>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</si>
  <si>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</si>
  <si>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</si>
  <si>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</si>
  <si>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</si>
  <si>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</si>
  <si>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</si>
  <si>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</si>
  <si>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</si>
  <si>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</si>
  <si>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</si>
  <si>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</si>
  <si>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</si>
  <si>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</si>
  <si>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</si>
  <si>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</si>
  <si>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</si>
  <si>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</si>
  <si>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</si>
  <si>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</si>
  <si>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</si>
  <si>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</si>
  <si>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</si>
  <si>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</si>
  <si>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</si>
  <si>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</si>
  <si>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</si>
  <si>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</si>
  <si>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</si>
  <si>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</si>
  <si>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</si>
  <si>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</si>
  <si>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</si>
  <si>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</si>
  <si>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</si>
  <si>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</si>
  <si>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</si>
  <si>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</si>
  <si>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</si>
  <si>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</si>
  <si>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</si>
  <si>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</si>
  <si>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</si>
  <si>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</si>
  <si>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</si>
  <si>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</si>
  <si>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</si>
  <si>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</si>
  <si>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</si>
  <si>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</si>
  <si>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</si>
  <si>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</si>
  <si>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</si>
  <si>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</si>
  <si>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</si>
  <si>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</si>
  <si>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</si>
  <si>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</si>
  <si>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</si>
  <si>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</si>
  <si>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</si>
  <si>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</si>
  <si>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</si>
  <si>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</si>
  <si>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</si>
  <si>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</si>
  <si>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</si>
  <si>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</si>
  <si>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</si>
  <si>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</si>
  <si>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</si>
  <si>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</si>
  <si>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</si>
  <si>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</si>
  <si>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</si>
  <si>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</si>
  <si>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</si>
  <si>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</si>
  <si>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</si>
  <si>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</si>
  <si>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</si>
  <si>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</si>
  <si>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</si>
  <si>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</si>
  <si>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</si>
  <si>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</si>
  <si>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</si>
  <si>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</si>
  <si>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</si>
  <si>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</si>
  <si>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</si>
  <si>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</si>
  <si>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</si>
  <si>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</si>
  <si>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</si>
  <si>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</si>
  <si>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</si>
  <si>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</si>
  <si>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</si>
  <si>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</si>
  <si>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</si>
  <si>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</si>
  <si>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</si>
  <si>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</si>
  <si>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</si>
  <si>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</si>
  <si>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</si>
  <si>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</si>
  <si>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</si>
  <si>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</si>
  <si>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</si>
  <si>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</si>
  <si>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</si>
  <si>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</si>
  <si>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</si>
  <si>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</si>
  <si>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</si>
  <si>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</si>
  <si>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</si>
  <si>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</si>
  <si>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</si>
  <si>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</si>
  <si>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</si>
  <si>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</si>
  <si>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</si>
  <si>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</si>
  <si>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</si>
  <si>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</si>
  <si>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</si>
  <si>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</si>
  <si>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</si>
  <si>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</si>
  <si>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</si>
  <si>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</si>
  <si>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</si>
  <si>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</si>
  <si>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</si>
  <si>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</si>
  <si>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</si>
  <si>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</si>
  <si>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</si>
  <si>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</si>
  <si>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</si>
  <si>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</si>
  <si>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</si>
  <si>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</si>
  <si>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</si>
  <si>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</si>
  <si>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</si>
  <si>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</si>
  <si>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</si>
  <si>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</si>
  <si>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</si>
  <si>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</si>
  <si>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</si>
  <si>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</si>
  <si>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</si>
  <si>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</si>
  <si>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</si>
  <si>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</si>
  <si>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</si>
  <si>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</si>
  <si>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</si>
  <si>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</si>
  <si>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</si>
  <si>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</si>
  <si>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</si>
  <si>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</si>
  <si>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</si>
  <si>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</si>
  <si>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</si>
  <si>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</si>
  <si>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</si>
  <si>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</si>
  <si>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</si>
  <si>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</si>
  <si>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</si>
  <si>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</si>
  <si>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</si>
  <si>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</si>
  <si>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</si>
  <si>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</si>
  <si>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</si>
  <si>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</si>
  <si>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</si>
  <si>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</si>
  <si>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</si>
  <si>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</si>
  <si>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</si>
  <si>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</si>
  <si>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</si>
  <si>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</si>
  <si>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</si>
  <si>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</si>
  <si>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</si>
  <si>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</si>
  <si>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</si>
  <si>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</si>
  <si>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</si>
  <si>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</si>
  <si>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</si>
  <si>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</si>
  <si>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</si>
  <si>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</si>
  <si>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</si>
  <si>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</si>
  <si>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</si>
  <si>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</si>
  <si>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</si>
  <si>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</si>
  <si>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</si>
  <si>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</si>
  <si>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</si>
  <si>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</si>
  <si>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</si>
  <si>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</si>
  <si>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</si>
  <si>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</si>
  <si>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</si>
  <si>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</si>
  <si>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</si>
  <si>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</si>
  <si>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</si>
  <si>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</si>
  <si>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</si>
  <si>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</si>
  <si>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</si>
  <si>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</si>
  <si>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</si>
  <si>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</si>
  <si>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</si>
  <si>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</si>
  <si>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</si>
  <si>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</si>
  <si>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</si>
  <si>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</si>
  <si>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</si>
  <si>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</si>
  <si>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</si>
  <si>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</si>
  <si>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</si>
  <si>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</si>
  <si>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</si>
  <si>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</si>
  <si>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</si>
  <si>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</si>
  <si>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</si>
  <si>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</si>
  <si>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</si>
  <si>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</si>
  <si>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</si>
  <si>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</si>
  <si>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</si>
  <si>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</si>
  <si>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</si>
  <si>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</si>
  <si>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</si>
  <si>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</si>
  <si>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</si>
  <si>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</si>
  <si>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</si>
  <si>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</si>
  <si>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</si>
  <si>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</si>
  <si>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</si>
  <si>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</si>
  <si>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</si>
  <si>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</si>
  <si>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</si>
  <si>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</si>
  <si>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</si>
  <si>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</si>
  <si>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</si>
  <si>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</si>
  <si>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</si>
  <si>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</si>
  <si>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</si>
  <si>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</si>
  <si>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</si>
  <si>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</si>
  <si>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</si>
  <si>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</si>
  <si>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</si>
  <si>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</si>
  <si>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</si>
  <si>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</si>
  <si>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</si>
  <si>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</si>
  <si>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</si>
  <si>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</si>
  <si>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</si>
  <si>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</si>
  <si>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</si>
  <si>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</si>
  <si>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</si>
  <si>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</si>
  <si>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</si>
  <si>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</si>
  <si>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</si>
  <si>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</si>
  <si>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</si>
  <si>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</si>
  <si>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</si>
  <si>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</si>
  <si>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</si>
  <si>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</si>
  <si>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</si>
  <si>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</si>
  <si>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</si>
  <si>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</si>
  <si>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</si>
  <si>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</si>
  <si>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</si>
  <si>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</si>
  <si>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</si>
  <si>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</si>
  <si>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</si>
  <si>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</si>
  <si>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</si>
  <si>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</si>
  <si>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</si>
  <si>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</si>
  <si>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</si>
  <si>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</si>
  <si>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</si>
  <si>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</si>
  <si>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</si>
  <si>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</si>
  <si>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</si>
  <si>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</si>
  <si>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</si>
  <si>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</si>
  <si>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</si>
  <si>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</si>
  <si>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</si>
  <si>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</si>
  <si>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</si>
  <si>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</si>
  <si>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</si>
  <si>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</si>
  <si>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</si>
  <si>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</si>
  <si>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</si>
  <si>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</si>
  <si>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</si>
  <si>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</si>
  <si>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</si>
  <si>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</si>
  <si>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</si>
  <si>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</si>
  <si>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</si>
  <si>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</si>
  <si>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</si>
  <si>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</si>
  <si>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</si>
  <si>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</si>
  <si>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</si>
  <si>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</si>
  <si>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</si>
  <si>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</si>
  <si>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</si>
  <si>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</si>
  <si>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</si>
  <si>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</si>
  <si>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</si>
  <si>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</si>
  <si>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</si>
  <si>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</si>
  <si>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</si>
  <si>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</si>
  <si>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</si>
  <si>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</si>
  <si>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</si>
  <si>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</si>
  <si>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</si>
  <si>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</si>
  <si>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</si>
  <si>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</si>
  <si>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</si>
  <si>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</si>
  <si>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</si>
  <si>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</si>
  <si>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</si>
  <si>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</si>
  <si>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</si>
  <si>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</si>
  <si>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</si>
  <si>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</si>
  <si>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</si>
  <si>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</si>
  <si>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</si>
  <si>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</si>
  <si>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</si>
  <si>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</si>
  <si>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</si>
  <si>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</si>
  <si>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</si>
  <si>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</si>
  <si>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</si>
  <si>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</si>
  <si>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</si>
  <si>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</si>
  <si>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</si>
  <si>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</si>
  <si>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</si>
  <si>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</si>
  <si>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</si>
  <si>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</si>
  <si>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</si>
  <si>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</si>
  <si>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</si>
  <si>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</si>
  <si>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</si>
  <si>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</si>
  <si>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</si>
  <si>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</si>
  <si>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</si>
  <si>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</si>
  <si>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</si>
  <si>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</si>
  <si>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</si>
  <si>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</si>
  <si>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</si>
  <si>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</si>
  <si>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</si>
  <si>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</si>
  <si>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</si>
  <si>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</si>
  <si>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</si>
  <si>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</si>
  <si>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</si>
  <si>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</si>
  <si>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</si>
  <si>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</si>
  <si>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</si>
  <si>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</si>
  <si>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</si>
  <si>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</si>
  <si>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</si>
  <si>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</si>
  <si>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</si>
  <si>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</si>
  <si>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</si>
  <si>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</si>
  <si>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</si>
  <si>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</si>
  <si>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</si>
  <si>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</si>
  <si>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</si>
  <si>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</si>
  <si>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</si>
  <si>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</si>
  <si>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</si>
  <si>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</si>
  <si>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</si>
  <si>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</si>
  <si>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</si>
  <si>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</si>
  <si>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</si>
  <si>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</si>
  <si>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</si>
  <si>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</si>
  <si>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</si>
  <si>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</si>
  <si>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</si>
  <si>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</si>
  <si>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</si>
  <si>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</si>
  <si>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</si>
  <si>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</si>
  <si>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</si>
  <si>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</si>
  <si>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</si>
  <si>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</si>
  <si>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</si>
  <si>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</si>
  <si>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</si>
  <si>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</si>
  <si>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</si>
  <si>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</si>
  <si>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</si>
  <si>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</si>
  <si>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</si>
  <si>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</si>
  <si>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</si>
  <si>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</si>
  <si>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</si>
  <si>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</si>
  <si>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</si>
  <si>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</si>
  <si>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</si>
  <si>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</si>
  <si>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</si>
  <si>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</si>
  <si>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</si>
  <si>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</si>
  <si>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</si>
  <si>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</si>
  <si>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</si>
  <si>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</si>
  <si>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</si>
  <si>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</si>
  <si>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</si>
  <si>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</si>
  <si>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</si>
  <si>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</si>
  <si>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</si>
  <si>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</si>
  <si>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</si>
  <si>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</si>
  <si>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</si>
  <si>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</si>
  <si>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</si>
  <si>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</si>
  <si>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</si>
  <si>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</si>
  <si>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</si>
  <si>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</si>
  <si>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</si>
  <si>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</si>
  <si>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</si>
  <si>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</si>
  <si>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</si>
  <si>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</si>
  <si>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</si>
  <si>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</si>
  <si>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</si>
  <si>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</si>
  <si>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</si>
  <si>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</si>
  <si>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</si>
  <si>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</si>
  <si>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</si>
  <si>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</si>
  <si>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</si>
  <si>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</si>
  <si>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</si>
  <si>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</si>
  <si>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</si>
  <si>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</si>
  <si>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</si>
  <si>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</si>
  <si>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</si>
  <si>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</si>
  <si>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</si>
  <si>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</si>
  <si>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</si>
  <si>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</si>
  <si>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</si>
  <si>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</si>
  <si>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</si>
  <si>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</si>
  <si>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</si>
  <si>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</si>
  <si>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</si>
  <si>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</si>
  <si>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</si>
  <si>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</si>
  <si>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</si>
  <si>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</si>
  <si>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</si>
  <si>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</si>
  <si>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</si>
  <si>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</si>
  <si>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</si>
  <si>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</si>
  <si>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</si>
  <si>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</si>
  <si>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</si>
  <si>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</si>
  <si>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</si>
  <si>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</si>
  <si>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</si>
  <si>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</si>
  <si>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</si>
  <si>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</si>
  <si>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</si>
  <si>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</si>
  <si>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</si>
  <si>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</si>
  <si>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</si>
  <si>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</si>
  <si>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</si>
  <si>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</si>
  <si>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</si>
  <si>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</si>
  <si>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</si>
  <si>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</si>
  <si>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</si>
  <si>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</si>
  <si>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</si>
  <si>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</si>
  <si>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</si>
  <si>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</si>
  <si>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</si>
  <si>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</si>
  <si>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</si>
  <si>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</si>
  <si>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</si>
  <si>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</si>
  <si>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</si>
  <si>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</si>
  <si>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</si>
  <si>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</si>
  <si>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</si>
  <si>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</si>
  <si>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</si>
  <si>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</si>
  <si>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</si>
  <si>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</si>
  <si>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</si>
  <si>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</si>
  <si>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</si>
  <si>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</si>
  <si>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</si>
  <si>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</si>
  <si>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</si>
  <si>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</si>
  <si>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</si>
  <si>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</si>
  <si>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</si>
  <si>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</si>
  <si>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</si>
  <si>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</si>
  <si>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</si>
  <si>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</si>
  <si>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</si>
  <si>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</si>
  <si>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</si>
  <si>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</si>
  <si>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</si>
  <si>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</si>
  <si>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</si>
  <si>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</si>
  <si>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</si>
  <si>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</si>
  <si>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</si>
  <si>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</si>
  <si>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</si>
  <si>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</si>
  <si>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</si>
  <si>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</si>
  <si>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</si>
  <si>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</si>
  <si>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</si>
  <si>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</si>
  <si>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</si>
  <si>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</si>
  <si>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</si>
  <si>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</si>
  <si>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</si>
  <si>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</si>
  <si>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</si>
  <si>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</si>
  <si>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</si>
  <si>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</si>
  <si>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</si>
  <si>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</si>
  <si>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</si>
  <si>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</si>
  <si>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</si>
  <si>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</si>
  <si>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</si>
  <si>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</si>
  <si>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</si>
  <si>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</si>
  <si>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</si>
  <si>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</si>
  <si>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</si>
  <si>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</si>
  <si>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</si>
  <si>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</si>
  <si>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</si>
  <si>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</si>
  <si>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</si>
  <si>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</si>
  <si>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</si>
  <si>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</si>
  <si>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</si>
  <si>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</si>
  <si>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</si>
  <si>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</si>
  <si>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</si>
  <si>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</si>
  <si>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</si>
  <si>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</si>
  <si>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</si>
  <si>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</si>
  <si>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</si>
  <si>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</si>
  <si>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</si>
  <si>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</si>
  <si>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</si>
  <si>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</si>
  <si>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</si>
  <si>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</si>
  <si>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</si>
  <si>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</si>
  <si>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</si>
  <si>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</si>
  <si>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</si>
  <si>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</si>
  <si>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</si>
  <si>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</si>
  <si>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</si>
  <si>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</si>
  <si>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</si>
  <si>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</si>
  <si>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</si>
  <si>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</si>
  <si>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</si>
  <si>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</si>
  <si>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</si>
  <si>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</si>
  <si>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</si>
  <si>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</si>
  <si>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</si>
  <si>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</si>
  <si>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</si>
  <si>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</si>
  <si>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</si>
  <si>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</si>
  <si>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</si>
  <si>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</si>
  <si>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</si>
  <si>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</si>
  <si>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</si>
  <si>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</si>
  <si>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</si>
  <si>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</si>
  <si>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</si>
  <si>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</si>
  <si>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</si>
  <si>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</si>
  <si>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</si>
  <si>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</si>
  <si>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</si>
  <si>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</si>
  <si>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</si>
  <si>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</si>
  <si>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</si>
  <si>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</si>
  <si>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</si>
  <si>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</si>
  <si>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</si>
  <si>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</si>
  <si>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</si>
  <si>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</si>
  <si>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</si>
  <si>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</si>
  <si>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</si>
  <si>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</si>
  <si>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</si>
  <si>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</si>
  <si>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</si>
  <si>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</si>
  <si>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</si>
  <si>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</si>
  <si>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</si>
  <si>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</si>
  <si>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</si>
  <si>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</si>
  <si>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</si>
  <si>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</si>
  <si>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</si>
  <si>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</si>
  <si>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</si>
  <si>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</si>
  <si>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</si>
  <si>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</si>
  <si>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</si>
  <si>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</si>
  <si>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</si>
  <si>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</si>
  <si>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</si>
  <si>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</si>
  <si>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</si>
  <si>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</si>
  <si>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</si>
  <si>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</si>
  <si>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</si>
  <si>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</si>
  <si>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</si>
  <si>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</si>
  <si>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</si>
  <si>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</si>
  <si>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</si>
  <si>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</si>
  <si>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</si>
  <si>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</si>
  <si>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</si>
  <si>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</si>
  <si>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</si>
  <si>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</si>
  <si>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</si>
  <si>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</si>
  <si>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</si>
  <si>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</si>
  <si>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</si>
  <si>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</si>
  <si>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</si>
  <si>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</si>
  <si>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</si>
  <si>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</si>
  <si>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</si>
  <si>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</si>
  <si>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</si>
  <si>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</si>
  <si>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</si>
  <si>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</si>
  <si>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</si>
  <si>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</si>
  <si>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</si>
  <si>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</si>
  <si>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</si>
  <si>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</si>
  <si>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</si>
  <si>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</si>
  <si>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</si>
  <si>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</si>
  <si>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</si>
  <si>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</si>
  <si>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</si>
  <si>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</si>
  <si>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</si>
  <si>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</si>
  <si>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</si>
  <si>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</si>
  <si>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</si>
  <si>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</si>
  <si>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</si>
  <si>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</si>
  <si>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</si>
  <si>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</si>
  <si>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</si>
  <si>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</si>
  <si>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</si>
  <si>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</si>
  <si>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</si>
  <si>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</si>
  <si>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</si>
  <si>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</si>
  <si>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</si>
  <si>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</si>
  <si>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</si>
  <si>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</si>
  <si>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</si>
  <si>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</si>
  <si>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</si>
  <si>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</si>
  <si>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</si>
  <si>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</si>
  <si>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</si>
  <si>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</si>
  <si>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</si>
  <si>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</si>
  <si>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</si>
  <si>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</si>
  <si>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</si>
  <si>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</si>
  <si>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</si>
  <si>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</si>
  <si>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</si>
  <si>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</si>
  <si>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</si>
  <si>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</si>
  <si>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</si>
  <si>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</si>
  <si>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</si>
  <si>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</si>
  <si>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</si>
  <si>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</si>
  <si>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</si>
  <si>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</si>
  <si>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</si>
  <si>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</si>
  <si>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</si>
  <si>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</si>
  <si>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</si>
  <si>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</si>
  <si>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</si>
  <si>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</si>
  <si>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</si>
  <si>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</si>
  <si>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</si>
  <si>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</si>
  <si>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</si>
  <si>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</si>
  <si>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</si>
  <si>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</si>
  <si>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</si>
  <si>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</si>
  <si>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</si>
  <si>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</si>
  <si>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</si>
  <si>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</si>
  <si>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</si>
  <si>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</si>
  <si>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</si>
  <si>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</si>
  <si>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</si>
  <si>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</si>
  <si>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</si>
  <si>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</si>
  <si>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</si>
  <si>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</si>
  <si>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</si>
  <si>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</si>
  <si>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</si>
  <si>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</si>
  <si>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</si>
  <si>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</si>
  <si>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</si>
  <si>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</si>
  <si>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</si>
  <si>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</si>
  <si>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</si>
  <si>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</si>
  <si>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</si>
  <si>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</si>
  <si>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</si>
  <si>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</si>
  <si>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</si>
  <si>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</si>
  <si>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</si>
  <si>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</si>
  <si>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</si>
  <si>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</si>
  <si>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</si>
  <si>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</si>
  <si>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</si>
  <si>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</si>
  <si>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</si>
  <si>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</si>
  <si>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</si>
  <si>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</si>
  <si>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</si>
  <si>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</si>
  <si>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</si>
  <si>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</si>
  <si>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</si>
  <si>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</si>
  <si>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</si>
  <si>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</si>
  <si>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</si>
  <si>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</si>
  <si>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</si>
  <si>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</si>
  <si>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</si>
  <si>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</si>
  <si>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</si>
  <si>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</si>
  <si>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</si>
  <si>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</si>
  <si>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</si>
  <si>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</si>
  <si>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</si>
  <si>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</si>
  <si>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</si>
  <si>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</si>
  <si>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</si>
  <si>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</si>
  <si>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</si>
  <si>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</si>
  <si>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</si>
  <si>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</si>
  <si>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</si>
  <si>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</si>
  <si>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</si>
  <si>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</si>
  <si>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</si>
  <si>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</si>
  <si>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</si>
  <si>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</si>
  <si>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</si>
  <si>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</si>
  <si>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</si>
  <si>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</si>
  <si>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</si>
  <si>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</si>
  <si>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</si>
  <si>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</si>
  <si>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</si>
  <si>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</si>
  <si>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</si>
  <si>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</si>
  <si>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</si>
  <si>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</si>
  <si>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</si>
  <si>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</si>
  <si>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</si>
  <si>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</si>
  <si>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</si>
  <si>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</si>
  <si>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</si>
  <si>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</si>
  <si>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</si>
  <si>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</si>
  <si>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</si>
  <si>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</si>
  <si>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</si>
  <si>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</si>
  <si>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</si>
  <si>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</si>
  <si>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</si>
  <si>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</si>
  <si>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</si>
  <si>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</si>
  <si>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</si>
  <si>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</si>
  <si>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</si>
  <si>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</si>
  <si>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</si>
  <si>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</si>
  <si>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</si>
  <si>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</si>
  <si>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</si>
  <si>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</si>
  <si>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</si>
  <si>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</si>
  <si>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</si>
  <si>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</si>
  <si>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</si>
  <si>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</si>
  <si>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</si>
  <si>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</si>
  <si>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</si>
  <si>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</si>
  <si>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</si>
  <si>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</si>
  <si>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</si>
  <si>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</si>
  <si>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</si>
  <si>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</si>
  <si>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</si>
  <si>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</si>
  <si>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</si>
  <si>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</si>
  <si>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</si>
  <si>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</si>
  <si>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</si>
  <si>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</si>
  <si>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</si>
  <si>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</si>
  <si>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</si>
  <si>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</si>
  <si>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</si>
  <si>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</si>
  <si>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</si>
  <si>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</si>
  <si>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</si>
  <si>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</si>
  <si>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</si>
  <si>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</si>
  <si>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</si>
  <si>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</si>
  <si>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</si>
  <si>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</si>
  <si>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</si>
  <si>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</si>
  <si>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</si>
  <si>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</si>
  <si>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</si>
  <si>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</si>
  <si>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</si>
  <si>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</si>
  <si>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</si>
  <si>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</si>
  <si>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</si>
  <si>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</si>
  <si>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</si>
  <si>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</si>
  <si>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</si>
  <si>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</si>
  <si>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</si>
  <si>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</si>
  <si>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</si>
  <si>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</si>
  <si>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</si>
  <si>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</si>
  <si>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</si>
  <si>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</si>
  <si>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</si>
  <si>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</si>
  <si>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</si>
  <si>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</si>
  <si>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</si>
  <si>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</si>
  <si>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</si>
  <si>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</si>
  <si>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</si>
  <si>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</si>
  <si>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</si>
  <si>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</si>
  <si>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</si>
  <si>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</si>
  <si>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</si>
  <si>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</si>
  <si>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</si>
  <si>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</si>
  <si>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</si>
  <si>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</si>
  <si>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</si>
  <si>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</si>
  <si>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</si>
  <si>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</si>
  <si>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</si>
  <si>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</si>
  <si>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</si>
  <si>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</si>
  <si>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</si>
  <si>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</si>
  <si>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</si>
  <si>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</si>
  <si>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</si>
  <si>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</si>
  <si>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</si>
  <si>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</si>
  <si>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</si>
  <si>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</si>
  <si>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</si>
  <si>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</si>
  <si>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</si>
  <si>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</si>
  <si>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</si>
  <si>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</si>
  <si>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</si>
  <si>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</si>
  <si>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</si>
  <si>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</si>
  <si>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</si>
  <si>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</si>
  <si>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</si>
  <si>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</si>
  <si>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</si>
  <si>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</si>
  <si>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</si>
  <si>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</si>
  <si>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</si>
  <si>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</si>
  <si>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</si>
  <si>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</si>
  <si>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</si>
  <si>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</si>
  <si>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</si>
  <si>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</si>
  <si>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</si>
  <si>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</si>
  <si>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</si>
  <si>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</si>
  <si>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</si>
  <si>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</si>
  <si>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</si>
  <si>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</si>
  <si>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</si>
  <si>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</si>
  <si>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</si>
  <si>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</si>
  <si>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</si>
  <si>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</si>
  <si>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</si>
  <si>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</si>
  <si>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</si>
  <si>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</si>
  <si>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</si>
  <si>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</si>
  <si>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</si>
  <si>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</si>
  <si>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</si>
  <si>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</si>
  <si>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</si>
  <si>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</si>
  <si>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</si>
  <si>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</si>
  <si>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</si>
  <si>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</si>
  <si>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</si>
  <si>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</si>
  <si>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</si>
  <si>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</si>
  <si>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</si>
  <si>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</si>
  <si>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</si>
  <si>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</si>
  <si>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</si>
  <si>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</si>
  <si>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</si>
  <si>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</si>
  <si>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</si>
  <si>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</si>
  <si>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</si>
  <si>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</si>
  <si>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</si>
  <si>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</si>
  <si>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</si>
  <si>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</si>
  <si>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</si>
  <si>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</si>
  <si>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</si>
  <si>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</si>
  <si>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</si>
  <si>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</si>
  <si>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</si>
  <si>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</si>
  <si>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</si>
  <si>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</si>
  <si>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</si>
  <si>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</si>
  <si>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</si>
  <si>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</si>
  <si>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</si>
  <si>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</si>
  <si>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</si>
  <si>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</si>
  <si>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</si>
  <si>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</si>
  <si>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</si>
  <si>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</si>
  <si>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</si>
  <si>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</si>
  <si>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</si>
  <si>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</si>
  <si>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</si>
  <si>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</si>
  <si>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</si>
  <si>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</si>
  <si>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</si>
  <si>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</si>
  <si>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</si>
  <si>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</si>
  <si>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</si>
  <si>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</si>
  <si>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</si>
  <si>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</si>
  <si>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</si>
  <si>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</si>
  <si>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</si>
  <si>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</si>
  <si>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</si>
  <si>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</si>
  <si>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</si>
  <si>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</si>
  <si>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</si>
  <si>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</si>
  <si>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</si>
  <si>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</si>
  <si>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</si>
  <si>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</si>
  <si>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</si>
  <si>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</si>
  <si>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</si>
  <si>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</si>
  <si>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</si>
  <si>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</si>
  <si>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</si>
  <si>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</si>
  <si>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</si>
  <si>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</si>
  <si>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</si>
  <si>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</si>
  <si>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</si>
  <si>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</si>
  <si>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</si>
  <si>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</si>
  <si>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</si>
  <si>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</si>
  <si>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</si>
  <si>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</si>
  <si>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</si>
  <si>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</si>
  <si>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</si>
  <si>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</si>
  <si>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</si>
  <si>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</si>
  <si>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</si>
  <si>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</si>
  <si>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</si>
  <si>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</si>
  <si>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</si>
  <si>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</si>
  <si>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</si>
  <si>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</si>
  <si>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</si>
  <si>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</si>
  <si>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</si>
  <si>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</si>
  <si>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</si>
  <si>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</si>
  <si>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</si>
  <si>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</si>
  <si>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</si>
  <si>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</si>
  <si>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</si>
  <si>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</si>
  <si>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</si>
  <si>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</si>
  <si>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</si>
  <si>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</si>
  <si>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</si>
  <si>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</si>
  <si>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</si>
  <si>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</si>
  <si>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</si>
  <si>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</si>
  <si>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</si>
  <si>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</si>
  <si>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</si>
  <si>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</si>
  <si>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</si>
  <si>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</si>
  <si>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</si>
  <si>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</si>
  <si>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</si>
  <si>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</si>
  <si>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</si>
  <si>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</si>
  <si>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</si>
  <si>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</si>
  <si>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</si>
  <si>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</si>
  <si>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</si>
  <si>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</si>
  <si>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</si>
  <si>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</si>
  <si>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</si>
  <si>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</si>
  <si>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</si>
  <si>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</si>
  <si>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</si>
  <si>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</si>
  <si>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</si>
  <si>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</si>
  <si>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</si>
  <si>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</si>
  <si>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</si>
  <si>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</si>
  <si>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</si>
  <si>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</si>
  <si>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</si>
  <si>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</si>
  <si>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</si>
  <si>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</si>
  <si>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</si>
  <si>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</si>
  <si>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</si>
  <si>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</si>
  <si>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</si>
  <si>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</si>
  <si>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</si>
  <si>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</si>
  <si>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</si>
  <si>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</si>
  <si>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</si>
  <si>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</si>
  <si>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</si>
  <si>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</si>
  <si>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</si>
  <si>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</si>
  <si>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</si>
  <si>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</si>
  <si>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</si>
  <si>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</si>
  <si>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</si>
  <si>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</si>
  <si>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</si>
  <si>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</si>
  <si>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</si>
  <si>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</si>
  <si>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</si>
  <si>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</si>
  <si>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</si>
  <si>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</si>
  <si>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</si>
  <si>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</si>
  <si>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</si>
  <si>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</si>
  <si>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</si>
  <si>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</si>
  <si>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</si>
  <si>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</si>
  <si>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</si>
  <si>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</si>
  <si>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</si>
  <si>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</si>
  <si>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</si>
  <si>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</si>
  <si>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</si>
  <si>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</si>
  <si>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</si>
  <si>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</si>
  <si>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</si>
  <si>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</si>
  <si>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</si>
  <si>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</si>
  <si>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</si>
  <si>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</si>
  <si>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</si>
  <si>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</si>
  <si>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</si>
  <si>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</si>
  <si>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</si>
  <si>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</si>
  <si>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</si>
  <si>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</si>
  <si>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</si>
  <si>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</si>
  <si>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</si>
  <si>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</si>
  <si>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</si>
  <si>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</si>
  <si>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</si>
  <si>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</si>
  <si>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</si>
  <si>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</si>
  <si>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</si>
  <si>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</si>
  <si>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</si>
  <si>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</si>
  <si>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</si>
  <si>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</si>
  <si>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</si>
  <si>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</si>
  <si>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</si>
  <si>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</si>
  <si>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</si>
  <si>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</si>
  <si>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</si>
  <si>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</si>
  <si>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</si>
  <si>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</si>
  <si>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</si>
  <si>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</si>
  <si>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</si>
  <si>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</si>
  <si>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</si>
  <si>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</si>
  <si>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</si>
  <si>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</si>
  <si>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</si>
  <si>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</si>
  <si>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</si>
  <si>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</si>
  <si>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</si>
  <si>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</si>
  <si>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</si>
  <si>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</si>
  <si>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</si>
  <si>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</si>
  <si>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</si>
  <si>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</si>
  <si>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</si>
  <si>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</si>
  <si>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</si>
  <si>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</si>
  <si>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</si>
  <si>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</si>
  <si>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</si>
  <si>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</si>
  <si>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</si>
  <si>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</si>
  <si>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</si>
  <si>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</si>
  <si>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</si>
  <si>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</si>
  <si>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</si>
  <si>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</si>
  <si>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</si>
  <si>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</si>
  <si>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</si>
  <si>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</si>
  <si>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</si>
  <si>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</si>
  <si>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</si>
  <si>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</si>
  <si>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</si>
  <si>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</si>
  <si>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</si>
  <si>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</si>
  <si>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</si>
  <si>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</si>
  <si>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</si>
  <si>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</si>
  <si>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</si>
  <si>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</si>
  <si>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</si>
  <si>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</si>
  <si>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</si>
  <si>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</si>
  <si>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</si>
  <si>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</si>
  <si>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</si>
  <si>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</si>
  <si>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</si>
  <si>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</si>
  <si>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</si>
  <si>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</si>
  <si>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</si>
  <si>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</si>
  <si>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</si>
  <si>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</si>
  <si>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</si>
  <si>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</si>
  <si>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</si>
  <si>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</si>
  <si>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</si>
  <si>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</si>
  <si>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</si>
  <si>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</si>
  <si>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</si>
  <si>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</si>
  <si>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</si>
  <si>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</si>
  <si>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</si>
  <si>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</si>
  <si>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</si>
  <si>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</si>
  <si>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</si>
  <si>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</si>
  <si>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</si>
  <si>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</si>
  <si>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</si>
  <si>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</si>
  <si>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</si>
  <si>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</si>
  <si>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</si>
  <si>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</si>
  <si>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</si>
  <si>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</si>
  <si>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</si>
  <si>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</si>
  <si>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</si>
  <si>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</si>
  <si>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</si>
  <si>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</si>
  <si>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</si>
  <si>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</si>
  <si>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</si>
  <si>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</si>
  <si>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</si>
  <si>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</si>
  <si>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</si>
  <si>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</si>
  <si>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</si>
  <si>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</si>
  <si>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</si>
  <si>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</si>
  <si>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</si>
  <si>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</si>
  <si>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</si>
  <si>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</si>
  <si>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</si>
  <si>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</si>
  <si>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</si>
  <si>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</si>
  <si>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</si>
  <si>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</si>
  <si>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</si>
  <si>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</si>
  <si>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</si>
  <si>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</si>
  <si>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</si>
  <si>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</si>
  <si>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</si>
  <si>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</si>
  <si>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</si>
  <si>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</si>
  <si>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</si>
  <si>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</si>
  <si>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</si>
  <si>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</si>
  <si>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</si>
  <si>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</si>
  <si>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</si>
  <si>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</si>
  <si>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</si>
  <si>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</si>
  <si>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</si>
  <si>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</si>
  <si>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</si>
  <si>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</si>
  <si>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</si>
  <si>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</si>
  <si>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</si>
  <si>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</si>
  <si>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</si>
  <si>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</si>
  <si>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</si>
  <si>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</si>
  <si>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</si>
  <si>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</si>
  <si>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</si>
  <si>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</si>
  <si>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</si>
  <si>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</si>
  <si>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</si>
  <si>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</si>
  <si>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</si>
  <si>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</si>
  <si>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</si>
  <si>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</si>
  <si>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</si>
  <si>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</si>
  <si>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</si>
  <si>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</si>
  <si>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</si>
  <si>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</si>
  <si>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</si>
  <si>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</si>
  <si>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</si>
  <si>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</si>
  <si>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</si>
  <si>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</si>
  <si>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</si>
  <si>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</si>
  <si>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</si>
  <si>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</si>
  <si>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</si>
  <si>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</si>
  <si>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</si>
  <si>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</si>
  <si>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</si>
  <si>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</si>
  <si>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</si>
  <si>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</si>
  <si>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</si>
  <si>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</si>
  <si>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</si>
  <si>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</si>
  <si>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</si>
  <si>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</si>
  <si>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</si>
  <si>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</si>
  <si>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</si>
  <si>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</si>
  <si>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</si>
  <si>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</si>
  <si>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</si>
  <si>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</si>
  <si>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</si>
  <si>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</si>
  <si>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</si>
  <si>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</si>
  <si>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</si>
  <si>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</si>
  <si>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</si>
  <si>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</si>
  <si>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</si>
  <si>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</si>
  <si>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</si>
  <si>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</si>
  <si>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</si>
  <si>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</si>
  <si>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</si>
  <si>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</si>
  <si>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</si>
  <si>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</si>
  <si>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</si>
  <si>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</si>
  <si>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</si>
  <si>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</si>
  <si>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</si>
  <si>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</si>
  <si>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</si>
  <si>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</si>
  <si>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</si>
  <si>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</si>
  <si>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</si>
  <si>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</si>
  <si>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</si>
  <si>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</si>
  <si>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</si>
  <si>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</si>
  <si>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</si>
  <si>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</si>
  <si>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</si>
  <si>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</si>
  <si>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</si>
  <si>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</si>
  <si>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</si>
  <si>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</si>
  <si>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</si>
  <si>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</si>
  <si>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</si>
  <si>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</si>
  <si>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</si>
  <si>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</si>
  <si>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</si>
  <si>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</si>
  <si>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</si>
  <si>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</si>
  <si>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</si>
  <si>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</si>
  <si>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</si>
  <si>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</si>
  <si>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</si>
  <si>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</si>
  <si>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</si>
  <si>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</si>
  <si>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</si>
  <si>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</si>
  <si>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</si>
  <si>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</si>
  <si>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</si>
  <si>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</si>
  <si>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</si>
  <si>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</si>
  <si>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</si>
  <si>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</si>
  <si>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</si>
  <si>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</si>
  <si>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</si>
  <si>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</si>
  <si>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</si>
  <si>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</si>
  <si>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</si>
  <si>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</si>
  <si>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</si>
  <si>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</si>
  <si>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</si>
  <si>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</si>
  <si>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</si>
  <si>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</si>
  <si>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</si>
  <si>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</si>
  <si>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</si>
  <si>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</si>
  <si>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</si>
  <si>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</si>
  <si>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</si>
  <si>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</si>
  <si>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</si>
  <si>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</si>
  <si>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</si>
  <si>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</si>
  <si>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</si>
  <si>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</si>
  <si>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</si>
  <si>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</si>
  <si>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</si>
  <si>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</si>
  <si>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</si>
  <si>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</si>
  <si>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</si>
  <si>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</si>
  <si>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</si>
  <si>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</si>
  <si>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</si>
  <si>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</si>
  <si>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</si>
  <si>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深圳区域公司深圳非住三片区运营中心</t>
  </si>
  <si>
    <t>面积相关信息</t>
  </si>
  <si>
    <t>城市</t>
  </si>
  <si>
    <t>深圳市</t>
  </si>
  <si>
    <t>分类</t>
  </si>
  <si>
    <t>单位</t>
  </si>
  <si>
    <t>创建组织</t>
  </si>
  <si>
    <t>深圳区域公司</t>
  </si>
  <si>
    <t>项目ID</t>
  </si>
  <si>
    <t>总户数</t>
  </si>
  <si>
    <t>项目编码</t>
  </si>
  <si>
    <t>U1015001456</t>
  </si>
  <si>
    <t>车位总数</t>
  </si>
  <si>
    <t>深圳区域公司金地智慧服务总部物业服务中心</t>
  </si>
  <si>
    <t>建筑面积</t>
  </si>
  <si>
    <t>项目类型</t>
  </si>
  <si>
    <t>正常期</t>
  </si>
  <si>
    <t>项目来源</t>
  </si>
  <si>
    <t>收费面积</t>
  </si>
  <si>
    <t>项目性质</t>
  </si>
  <si>
    <t>企业内部服务</t>
  </si>
  <si>
    <t>业务组织</t>
  </si>
  <si>
    <t>定档</t>
  </si>
  <si>
    <t>接管时间</t>
  </si>
  <si>
    <t>2019-02-01</t>
  </si>
  <si>
    <t>电梯基本信息</t>
  </si>
  <si>
    <t>住宅/非住</t>
  </si>
  <si>
    <t>非住</t>
  </si>
  <si>
    <t>电梯相关信息</t>
  </si>
  <si>
    <t>电梯维保模式</t>
  </si>
  <si>
    <t>半包（含500的单价配件免费）</t>
  </si>
  <si>
    <t>电梯品牌</t>
  </si>
  <si>
    <t>奥的斯</t>
  </si>
  <si>
    <t>城市等级</t>
  </si>
  <si>
    <t>岗位名称</t>
  </si>
  <si>
    <t>模式</t>
  </si>
  <si>
    <t>月均值</t>
  </si>
  <si>
    <t>合计</t>
  </si>
  <si>
    <t>汇总</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</si>
  <si>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</si>
  <si>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</si>
  <si>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</si>
  <si>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</si>
  <si>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</si>
  <si>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</si>
  <si>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</si>
  <si>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</si>
  <si>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</si>
  <si>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</si>
  <si>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</si>
  <si>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</si>
  <si>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</si>
  <si>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</si>
  <si>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</si>
  <si>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</si>
  <si>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</si>
  <si>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</si>
  <si>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</si>
  <si>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</si>
  <si>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</si>
  <si>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</si>
  <si>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</si>
  <si>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</si>
  <si>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</si>
  <si>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</si>
  <si>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</si>
  <si>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</si>
  <si>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</si>
  <si>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</si>
  <si>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</si>
  <si>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</si>
  <si>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</si>
  <si>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</si>
  <si>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</si>
  <si>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</si>
  <si>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</si>
  <si>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</si>
  <si>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</si>
  <si>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</si>
  <si>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</si>
  <si>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</si>
  <si>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</si>
  <si>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</si>
  <si>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</si>
  <si>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</si>
  <si>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</si>
  <si>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</si>
  <si>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</si>
  <si>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</si>
  <si>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</si>
  <si>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</si>
  <si>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</si>
  <si>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</si>
  <si>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</si>
  <si>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</si>
  <si>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</si>
  <si>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</si>
  <si>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</si>
  <si>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</si>
  <si>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</si>
  <si>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</si>
  <si>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</si>
  <si>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</si>
  <si>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</si>
  <si>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</si>
  <si>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</si>
  <si>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</si>
  <si>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</si>
  <si>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</si>
  <si>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</si>
  <si>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</si>
  <si>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</si>
  <si>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</si>
  <si>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</si>
  <si>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</si>
  <si>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</si>
  <si>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</si>
  <si>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</si>
  <si>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</si>
  <si>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</si>
  <si>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</si>
  <si>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</si>
  <si>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</si>
  <si>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</si>
  <si>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</si>
  <si>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</si>
  <si>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</si>
  <si>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</si>
  <si>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</si>
  <si>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</si>
  <si>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</si>
  <si>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</si>
  <si>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</si>
  <si>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</si>
  <si>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</si>
  <si>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</si>
  <si>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</si>
  <si>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</si>
  <si>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</si>
  <si>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</si>
  <si>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</si>
  <si>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</si>
  <si>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</si>
  <si>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</si>
  <si>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</si>
  <si>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</si>
  <si>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</si>
  <si>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</si>
  <si>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</si>
  <si>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</si>
  <si>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</si>
  <si>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</si>
  <si>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</si>
  <si>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</si>
  <si>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</si>
  <si>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</si>
  <si>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</si>
  <si>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</si>
  <si>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</si>
  <si>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</si>
  <si>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</si>
  <si>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</si>
  <si>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</si>
  <si>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</si>
  <si>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</si>
  <si>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</si>
  <si>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</si>
  <si>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</si>
  <si>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</si>
  <si>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</si>
  <si>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</si>
  <si>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</si>
  <si>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</si>
  <si>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</si>
  <si>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</si>
  <si>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</si>
  <si>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</si>
  <si>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</si>
  <si>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</si>
  <si>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</si>
  <si>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</si>
  <si>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</si>
  <si>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</si>
  <si>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</si>
  <si>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</si>
  <si>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</si>
  <si>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</si>
  <si>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</si>
  <si>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</si>
  <si>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</si>
  <si>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</si>
  <si>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</si>
  <si>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</si>
  <si>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</si>
  <si>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</si>
  <si>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</si>
  <si>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</si>
  <si>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</si>
  <si>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</si>
  <si>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</si>
  <si>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</si>
  <si>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</si>
  <si>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</si>
  <si>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</si>
  <si>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</si>
  <si>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</si>
  <si>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</si>
  <si>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</si>
  <si>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</si>
  <si>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</si>
  <si>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</si>
  <si>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</si>
  <si>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</si>
  <si>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</si>
  <si>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</si>
  <si>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</si>
  <si>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</si>
  <si>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</si>
  <si>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</si>
  <si>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</si>
  <si>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</si>
  <si>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</si>
  <si>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</si>
  <si>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</si>
  <si>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</si>
  <si>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</si>
  <si>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</si>
  <si>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</si>
  <si>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</si>
  <si>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</si>
  <si>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</si>
  <si>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</si>
  <si>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</si>
  <si>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</si>
  <si>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</si>
  <si>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</si>
  <si>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</si>
  <si>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</si>
  <si>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</si>
  <si>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</si>
  <si>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</si>
  <si>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</si>
  <si>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</si>
  <si>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</si>
  <si>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</si>
  <si>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</si>
  <si>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</si>
  <si>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</si>
  <si>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</si>
  <si>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</si>
  <si>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</si>
  <si>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</si>
  <si>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</si>
  <si>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</si>
  <si>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</si>
  <si>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</si>
  <si>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</si>
  <si>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</si>
  <si>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</si>
  <si>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</si>
  <si>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</si>
  <si>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</si>
  <si>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</si>
  <si>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</si>
  <si>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</si>
  <si>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</si>
  <si>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</si>
  <si>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</si>
  <si>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</si>
  <si>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</si>
  <si>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</si>
  <si>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</si>
  <si>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</si>
  <si>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</si>
  <si>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</si>
  <si>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</si>
  <si>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</si>
  <si>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</si>
  <si>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</si>
  <si>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</si>
  <si>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</si>
  <si>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</si>
  <si>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</si>
  <si>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</si>
  <si>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</si>
  <si>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</si>
  <si>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</si>
  <si>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</si>
  <si>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</si>
  <si>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</si>
  <si>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</si>
  <si>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</si>
  <si>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</si>
  <si>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</si>
  <si>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</si>
  <si>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</si>
  <si>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</si>
  <si>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</si>
  <si>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</si>
  <si>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</si>
  <si>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</si>
  <si>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</si>
  <si>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</si>
  <si>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</si>
  <si>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</si>
  <si>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</si>
  <si>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</si>
  <si>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</si>
  <si>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</si>
  <si>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</si>
  <si>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</si>
  <si>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</si>
  <si>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</si>
  <si>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</si>
  <si>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</si>
  <si>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</si>
  <si>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</si>
  <si>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</si>
  <si>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</si>
  <si>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</si>
  <si>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</si>
  <si>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</si>
  <si>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</si>
  <si>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</si>
  <si>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</si>
  <si>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</si>
  <si>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</si>
  <si>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</si>
  <si>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</si>
  <si>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</si>
  <si>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</si>
  <si>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</si>
  <si>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</si>
  <si>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</si>
  <si>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</si>
  <si>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</si>
  <si>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</si>
  <si>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</si>
  <si>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</si>
  <si>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</si>
  <si>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</si>
  <si>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</si>
  <si>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</si>
  <si>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</si>
  <si>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</si>
  <si>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</si>
  <si>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</si>
  <si>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</si>
  <si>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</si>
  <si>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</si>
  <si>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</si>
  <si>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</si>
  <si>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</si>
  <si>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</si>
  <si>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</si>
  <si>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</si>
  <si>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</si>
  <si>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</si>
  <si>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</si>
  <si>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</si>
  <si>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</si>
  <si>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</si>
  <si>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</si>
  <si>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</si>
  <si>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</si>
  <si>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</si>
  <si>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</si>
  <si>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</si>
  <si>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</si>
  <si>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</si>
  <si>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</si>
  <si>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</si>
  <si>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</si>
  <si>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</si>
  <si>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</si>
  <si>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</si>
  <si>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</si>
  <si>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</si>
  <si>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</si>
  <si>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</si>
  <si>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</si>
  <si>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</si>
  <si>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</si>
  <si>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</si>
  <si>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</si>
  <si>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</si>
  <si>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</si>
  <si>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</si>
  <si>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</si>
  <si>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</si>
  <si>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</si>
  <si>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</si>
  <si>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</si>
  <si>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</si>
  <si>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</si>
  <si>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</si>
  <si>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</si>
  <si>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</si>
  <si>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</si>
  <si>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</si>
  <si>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</si>
  <si>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</si>
  <si>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</si>
  <si>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</si>
  <si>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</si>
  <si>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</si>
  <si>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</si>
  <si>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</si>
  <si>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</si>
  <si>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</si>
  <si>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</si>
  <si>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</si>
  <si>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</si>
  <si>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</si>
  <si>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</si>
  <si>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</si>
  <si>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</si>
  <si>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</si>
  <si>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</si>
  <si>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</si>
  <si>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</si>
  <si>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</si>
  <si>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</si>
  <si>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</si>
  <si>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</si>
  <si>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</si>
  <si>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</si>
  <si>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</si>
  <si>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</si>
  <si>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</si>
  <si>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</si>
  <si>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</si>
  <si>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</si>
  <si>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HJFW-Z-2024-4018</t>
  </si>
  <si>
    <t>HTTZ-20230417-136553</t>
  </si>
  <si>
    <t>人事外包费-报销单</t>
  </si>
  <si>
    <t>RLZY-Z-2025-00289</t>
  </si>
  <si>
    <t>清包</t>
  </si>
  <si>
    <t>半包</t>
  </si>
  <si>
    <t>GCFW-Z-2024-9544</t>
  </si>
  <si>
    <t>GCFW-Z-2024-6728</t>
  </si>
  <si>
    <t>HJFW-Z-2024-3277</t>
  </si>
  <si>
    <t>HJFW-Z-2024-3919</t>
  </si>
  <si>
    <t>HJFW-Z-2025-04306</t>
  </si>
  <si>
    <t>生活垃圾清运外包-报销单</t>
  </si>
  <si>
    <t>HJFW-Z-2025-03490</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</si>
  <si>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</si>
  <si>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</si>
  <si>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</si>
  <si>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</si>
  <si>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</si>
  <si>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</si>
  <si>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</si>
  <si>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</si>
  <si>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</si>
  <si>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</si>
  <si>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</si>
  <si>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</si>
  <si>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</si>
  <si>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</si>
  <si>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</si>
  <si>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</si>
  <si>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</si>
  <si>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</si>
  <si>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</si>
  <si>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</si>
  <si>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操作时间:2025年07月30日 16时28分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</si>
  <si>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</si>
  <si>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</si>
  <si>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</si>
  <si>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</si>
  <si>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</si>
  <si>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</si>
  <si>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</si>
  <si>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</si>
  <si>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</si>
  <si>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</si>
  <si>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</si>
  <si>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</si>
  <si>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</si>
  <si>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PO250702000596</t>
  </si>
  <si>
    <t>10010010002</t>
  </si>
  <si>
    <t xml:space="preserve">淘宝/天猫/京东C端/其他-报销专用物料 </t>
  </si>
  <si>
    <t>虚拟编码类/虚拟/通用编码/虚拟/通用编码</t>
  </si>
  <si>
    <t>淘宝/天猫/京东C端/其他-报销专用物料</t>
  </si>
  <si>
    <t>淘宝/天猫/京东C端/其他-深圳</t>
  </si>
  <si>
    <t>2025-06-30 16:53:11.0</t>
  </si>
  <si>
    <t>U金地智慧服务集团公司/UB深圳区域公司/UBS深圳区域公司深圳非住三片区运营中心/UBSE深圳区域公司金地智慧服务总部物业服务中心//</t>
  </si>
  <si>
    <t>3643711</t>
  </si>
  <si>
    <t>3643710</t>
  </si>
  <si>
    <t>3643712</t>
  </si>
  <si>
    <t>3643713</t>
  </si>
  <si>
    <t>PO250620000056</t>
  </si>
  <si>
    <t>AA6938554</t>
  </si>
  <si>
    <t>LONGDAI/龙代 黄铜大弯立柱水龙头GYJ MJ-75010(配0.6进水管) 1个</t>
  </si>
  <si>
    <t>工程物资/五金辅料/铝合金板/不锈钢板（更新中）</t>
  </si>
  <si>
    <t>震坤行工业超市（上海）有限公司</t>
  </si>
  <si>
    <t>2025-06-25 10:31:11.0</t>
  </si>
  <si>
    <t>3624191</t>
  </si>
  <si>
    <t>AA3749134</t>
  </si>
  <si>
    <t>DELI/得力 复印纸 莱茵河7419 A4 80g 5包装 1箱</t>
  </si>
  <si>
    <t>办公类/办公耗材/办公用纸</t>
  </si>
  <si>
    <t>3624192</t>
  </si>
  <si>
    <t>CW0370</t>
  </si>
  <si>
    <t>GELIAHAO/哥俩好 AB胶 302 40g+40g蓝+粉 1套</t>
  </si>
  <si>
    <t>工程物资/五金辅料/结构胶</t>
  </si>
  <si>
    <t>3624194</t>
  </si>
  <si>
    <t>PU4943</t>
  </si>
  <si>
    <t>CHAHUA/茶花 无痕挂钩 2908 材质ABS 3个 1包</t>
  </si>
  <si>
    <t>工程物资/五金辅料/挂钩</t>
  </si>
  <si>
    <t>3624193</t>
  </si>
  <si>
    <t>AA2292034</t>
  </si>
  <si>
    <t>BAOPINFANG/寶品坊 防风防雾防飞溅护目镜 BPF-HMJ01 防刮擦 1副</t>
  </si>
  <si>
    <t>消防安保/常规防疫应急物资（更新中）/护目镜（更新中）</t>
  </si>
  <si>
    <t>3624196</t>
  </si>
  <si>
    <t>AA2362230</t>
  </si>
  <si>
    <t>PEARLK/派尔科 云石胶 白色 含固化剂 3L 1组</t>
  </si>
  <si>
    <t>3624195</t>
  </si>
  <si>
    <t>PO250703000147</t>
  </si>
  <si>
    <t>9020090010</t>
  </si>
  <si>
    <t>绿植租摆/养护</t>
  </si>
  <si>
    <t>服务类/环境服务类/绿植租摆/养护</t>
  </si>
  <si>
    <t>深圳市心蕊园艺有限公司</t>
  </si>
  <si>
    <t>2025-06-16 17:46:17.0</t>
  </si>
  <si>
    <t>3643944</t>
  </si>
  <si>
    <t>PO250613000110</t>
  </si>
  <si>
    <t>4030290163</t>
  </si>
  <si>
    <t xml:space="preserve">拖把 欣荣达 海绵拖把 约28CM </t>
  </si>
  <si>
    <t>清洁物资类/清洁工具/拖把</t>
  </si>
  <si>
    <t>上海艾丝薇实业有限公司</t>
  </si>
  <si>
    <t>2025-06-13 11:41:51.0</t>
  </si>
  <si>
    <t>3620238</t>
  </si>
  <si>
    <t>2020010333</t>
  </si>
  <si>
    <t>毛巾 国产 超细纤维方巾 30CMx30CM 天蓝色</t>
  </si>
  <si>
    <t>家居生活/日杂生活/个人护理</t>
  </si>
  <si>
    <t>毛巾</t>
  </si>
  <si>
    <t>3620236</t>
  </si>
  <si>
    <t>4030180070</t>
  </si>
  <si>
    <t>喷壶 凯慕洁 650ML，25CMx9CM 耐酸耐碱喷壶，红色，材质：PVC</t>
  </si>
  <si>
    <t>清洁物资类/清洁工具/喷壶</t>
  </si>
  <si>
    <t>喷壶</t>
  </si>
  <si>
    <t>3620235</t>
  </si>
  <si>
    <t>4080210040</t>
  </si>
  <si>
    <t>其他清洁剂 碧丽珠 330ML 家具护理喷蜡，清洁，光泽，保护</t>
  </si>
  <si>
    <t>清洁物资类/清洁耗材/清洁剂</t>
  </si>
  <si>
    <t>其他清洁剂</t>
  </si>
  <si>
    <t>3620239</t>
  </si>
  <si>
    <t>4080210007</t>
  </si>
  <si>
    <t>洗洁精 立白 1.5KG 果蔬清洗，餐洗净，洗洁精，快速去油不伤手</t>
  </si>
  <si>
    <t>洗洁精</t>
  </si>
  <si>
    <t>3620232</t>
  </si>
  <si>
    <t>4030030072</t>
  </si>
  <si>
    <t>玻璃刮 超宝 C-067 35CM 不锈钢钢架玻璃刮，可配合伸缩杆使用</t>
  </si>
  <si>
    <t>清洁物资类/清洁工具/玻璃刮</t>
  </si>
  <si>
    <t>玻璃刮</t>
  </si>
  <si>
    <t>3620234</t>
  </si>
  <si>
    <t>4030180069</t>
  </si>
  <si>
    <t>喷壶 兰诗 HF-C302 2L，约12CMx31CM 气压式喷壶，带铜头，颜色随机</t>
  </si>
  <si>
    <t>3620240</t>
  </si>
  <si>
    <t>4030350002</t>
  </si>
  <si>
    <t>玻璃清洁器 安格 AG-B032 35CM 高品质不锈钢玻璃刮，材质：410不锈钢，进口橡胶</t>
  </si>
  <si>
    <t>清洁物资类/清洁工具/玻璃清洁器</t>
  </si>
  <si>
    <t>3620233</t>
  </si>
  <si>
    <t>4080210032</t>
  </si>
  <si>
    <t>除胶剂 保赐利 450ML 轻松去胶，不伤车漆，车居两用，一瓶解决残胶问题</t>
  </si>
  <si>
    <t>除胶剂</t>
  </si>
  <si>
    <t>3620237</t>
  </si>
  <si>
    <t>PO250605000227</t>
  </si>
  <si>
    <t>2010010638</t>
  </si>
  <si>
    <t>一次性纸杯 定制 300g食品级淋膜卡纸，PANTONE专色油墨，彩色印刷 9盎司（上口75x下口53x高85）</t>
  </si>
  <si>
    <t>家居生活/厨房卫浴/餐具（更新中）</t>
  </si>
  <si>
    <t>一次性纸杯</t>
  </si>
  <si>
    <t>辽宁精诚印务发展有限公司</t>
  </si>
  <si>
    <t>2025-06-05 15:03:58.0</t>
  </si>
  <si>
    <t>3605575</t>
  </si>
  <si>
    <t>PO250516000111</t>
  </si>
  <si>
    <t>2010020421</t>
  </si>
  <si>
    <t>吸管 思达睿 约长度20.5CM，100个/包 独立包装，透明</t>
  </si>
  <si>
    <t>家居生活/厨房卫浴/厨卫配件</t>
  </si>
  <si>
    <t>吸管</t>
  </si>
  <si>
    <t>2025-05-16 10:43:01.0</t>
  </si>
  <si>
    <t>3578046</t>
  </si>
  <si>
    <t>2020070536</t>
  </si>
  <si>
    <t>医用棉签 海氏海诺 120支/罐 独立包装</t>
  </si>
  <si>
    <t>家居生活/日杂生活/医疗保健</t>
  </si>
  <si>
    <t>医用棉签</t>
  </si>
  <si>
    <t>3578048</t>
  </si>
  <si>
    <t>2020010431</t>
  </si>
  <si>
    <t xml:space="preserve">漱口水 李施德林 零度 250ML </t>
  </si>
  <si>
    <t>漱口水</t>
  </si>
  <si>
    <t>3578047</t>
  </si>
  <si>
    <t>PO250508000261</t>
  </si>
  <si>
    <t>2025-05-08 14:39:32.0</t>
  </si>
  <si>
    <t>3581263</t>
  </si>
  <si>
    <t>4080210324</t>
  </si>
  <si>
    <t>除锈剂 保赐利 B-1754 400ML/瓶 包装形式：压力罐装</t>
  </si>
  <si>
    <t>除锈剂</t>
  </si>
  <si>
    <t>3581264</t>
  </si>
  <si>
    <t>4080230031</t>
  </si>
  <si>
    <t>蟑螂药 拜耳 胶饵 5g/盒 有效成分及含量：吡虫啉2.15%</t>
  </si>
  <si>
    <t>清洁物资类/清洁耗材/生物防治用品</t>
  </si>
  <si>
    <t>蟑螂药</t>
  </si>
  <si>
    <t>3581260</t>
  </si>
  <si>
    <t>2020010351</t>
  </si>
  <si>
    <t>化妆棉 健美创研 230片/包，3包/组 双面厚款，三层设计</t>
  </si>
  <si>
    <t>化妆棉</t>
  </si>
  <si>
    <t>3581259</t>
  </si>
  <si>
    <t>4080240062</t>
  </si>
  <si>
    <t>小便池香片 蓝杰 3个/组 尿斗芳香片</t>
  </si>
  <si>
    <t>清洁物资类/清洁耗材/除味/香氛用品</t>
  </si>
  <si>
    <t>小便池香片</t>
  </si>
  <si>
    <t>3581261</t>
  </si>
  <si>
    <t>4030050015</t>
  </si>
  <si>
    <t>厕所刷 超宝 C-85 长38CM 带帽软毛马桶刷子，材质：塑料，纤维</t>
  </si>
  <si>
    <t>清洁物资类/清洁工具/厕所刷</t>
  </si>
  <si>
    <t>厕所刷</t>
  </si>
  <si>
    <t>3581265</t>
  </si>
  <si>
    <t>4080050616</t>
  </si>
  <si>
    <t>垃圾袋 思达睿 平口袋 70CMx80CM，50只/包，双层：3.4丝，克重：23g/个 黑色</t>
  </si>
  <si>
    <t>清洁物资类/清洁耗材/垃圾袋</t>
  </si>
  <si>
    <t>3581262</t>
  </si>
  <si>
    <t>PO250526000295</t>
  </si>
  <si>
    <t>9010110001</t>
  </si>
  <si>
    <t>零星工程</t>
  </si>
  <si>
    <t>服务类/工程服务类/零星工程</t>
  </si>
  <si>
    <t>深圳市金地楼宇科技有限公司</t>
  </si>
  <si>
    <t>2025-05-06 09:23:58.0</t>
  </si>
  <si>
    <t>3593139</t>
  </si>
  <si>
    <t>PO250408000455</t>
  </si>
  <si>
    <t>5030100171</t>
  </si>
  <si>
    <t>杀虫剂 枪手 无香型大瓶装 750ML/瓶 适用场景：家用，适用对象：蚊子，蟑螂</t>
  </si>
  <si>
    <t>绿化类/农药化肥/杀虫剂</t>
  </si>
  <si>
    <t>2025-04-08 18:28:16.0</t>
  </si>
  <si>
    <t>3535214</t>
  </si>
  <si>
    <t>4080210153</t>
  </si>
  <si>
    <t>地毯水 洁霸 JB-110 高约30CM，直径约16CM，3.8L/瓶，4瓶/箱 产品作用：地毯及纤维表面的污渍，溶解分离多种污渍</t>
  </si>
  <si>
    <t>地毯水</t>
  </si>
  <si>
    <t>3535206</t>
  </si>
  <si>
    <t>4080210022</t>
  </si>
  <si>
    <t>消泡剂/化泡剂 超宝 DFF012 3.8L/桶 化泡剂，成分：乳化二甲基硅氧烷，溶剂，特性：适用于硷化形成的泡沫</t>
  </si>
  <si>
    <t>消泡剂/化泡剂</t>
  </si>
  <si>
    <t>3535205</t>
  </si>
  <si>
    <t>2020010362</t>
  </si>
  <si>
    <t>针线盒 思达睿 9.5CMx7CMx14.5CM 超大线卷</t>
  </si>
  <si>
    <t>针线盒</t>
  </si>
  <si>
    <t>3535203</t>
  </si>
  <si>
    <t>3535208</t>
  </si>
  <si>
    <t>2020070574</t>
  </si>
  <si>
    <t xml:space="preserve">创可贴 弘迪 防水型 100片装 </t>
  </si>
  <si>
    <t>创可贴</t>
  </si>
  <si>
    <t>3535207</t>
  </si>
  <si>
    <t>2020070488</t>
  </si>
  <si>
    <t>药油 龙虎牌 6ML 驱风，止痒</t>
  </si>
  <si>
    <t>药油</t>
  </si>
  <si>
    <t>3535215</t>
  </si>
  <si>
    <t>4080050630</t>
  </si>
  <si>
    <t>垃圾袋 思达睿 连卷式/点断式 44CMx50CM，50个/卷，2卷/组，双层：1.8丝，克重：3.6g/个 黑色</t>
  </si>
  <si>
    <t>3535210</t>
  </si>
  <si>
    <t>3535212</t>
  </si>
  <si>
    <t>4030160129</t>
  </si>
  <si>
    <t>扫把 白云 AF01205A 簸箕950g，扫把350g，黑色 防风簸箕扫把套装，防风变形设计，贴和地面，卡扣收纳，一体式扫把，弹性刷毛</t>
  </si>
  <si>
    <t>清洁物资类/清洁工具/扫把/竹扫大</t>
  </si>
  <si>
    <t>3535213</t>
  </si>
  <si>
    <t>4080210030</t>
  </si>
  <si>
    <t>洗衣粉 立白 花香型 2.118KG/包 超洁清新无磷，强力去污</t>
  </si>
  <si>
    <t>洗衣粉</t>
  </si>
  <si>
    <t>3535209</t>
  </si>
  <si>
    <t>4080090098</t>
  </si>
  <si>
    <t>刀片 晨光 约18MM，10片/盒 美工刀刀片</t>
  </si>
  <si>
    <t>清洁物资类/清洁耗材/其它清洁耗材</t>
  </si>
  <si>
    <t>刀片</t>
  </si>
  <si>
    <t>3535204</t>
  </si>
  <si>
    <t>4030140130</t>
  </si>
  <si>
    <t>刷子 青丘 约66g 颜色随机</t>
  </si>
  <si>
    <t>清洁物资类/清洁工具/刷子</t>
  </si>
  <si>
    <t>刷子</t>
  </si>
  <si>
    <t>3535202</t>
  </si>
  <si>
    <t>4080210024</t>
  </si>
  <si>
    <t>去污粉 绿伞 400G/瓶 五洁粉，去污方便不伤手</t>
  </si>
  <si>
    <t>去污粉</t>
  </si>
  <si>
    <t>3535211</t>
  </si>
  <si>
    <t>PO250317000092</t>
  </si>
  <si>
    <t>2025-03-20 15:34:49.0</t>
  </si>
  <si>
    <t>3498116</t>
  </si>
  <si>
    <t>PO250421000374</t>
  </si>
  <si>
    <t>9010180001</t>
  </si>
  <si>
    <t>其他工程服务</t>
  </si>
  <si>
    <t>服务类/工程服务类/其他工程服务</t>
  </si>
  <si>
    <t>深圳市威莱堡科技有限公司</t>
  </si>
  <si>
    <t>2025-03-17 09:38:22.0</t>
  </si>
  <si>
    <t>3553271</t>
  </si>
  <si>
    <t>PO250306000218</t>
  </si>
  <si>
    <t>CJ5741</t>
  </si>
  <si>
    <t>HUILI/回力 黑色高筒雨靴 838 43码 1双</t>
  </si>
  <si>
    <t>消防安保/安全防护装备/防暴靴</t>
  </si>
  <si>
    <t>2025-03-10 16:09:42.0</t>
  </si>
  <si>
    <t>3500401</t>
  </si>
  <si>
    <t>PO250310000307</t>
  </si>
  <si>
    <t>3493756</t>
  </si>
  <si>
    <t>2020031072</t>
  </si>
  <si>
    <t xml:space="preserve">粘毛器 思达睿 T型长柄杆+16CM沾尘纸x2 </t>
  </si>
  <si>
    <t>家居生活/日杂生活/生活日用</t>
  </si>
  <si>
    <t>粘毛器</t>
  </si>
  <si>
    <t>3493758</t>
  </si>
  <si>
    <t>2010020411</t>
  </si>
  <si>
    <t>夹子 思达睿 约41CM 不锈钢304，磨砂手柄，梅花夹</t>
  </si>
  <si>
    <t>夹子</t>
  </si>
  <si>
    <t>3493760</t>
  </si>
  <si>
    <t>3493759</t>
  </si>
  <si>
    <t>CJ3437</t>
  </si>
  <si>
    <t>DELTA/代尔塔 CH4ABS系列ABS安全帽 102106 红色(RO) 8点织物内衬 含下颏带 1顶</t>
  </si>
  <si>
    <t>工程物资/五金辅料/安全带/安全帽（更新中）</t>
  </si>
  <si>
    <t>3500403</t>
  </si>
  <si>
    <t>3493757</t>
  </si>
  <si>
    <t>3493761</t>
  </si>
  <si>
    <t>AA2211370</t>
  </si>
  <si>
    <t>ELECALL/伊莱科 毛刷 油漆刷子 2" 1把</t>
  </si>
  <si>
    <t>工程物资/五金辅料/马桶刷/马桶吸（更新中）</t>
  </si>
  <si>
    <t>3500402</t>
  </si>
  <si>
    <t>PO250306000298</t>
  </si>
  <si>
    <t>2025-03-06 17:37:14.0</t>
  </si>
  <si>
    <t>3500603</t>
  </si>
  <si>
    <t>PO250305000127</t>
  </si>
  <si>
    <t>9050230105</t>
  </si>
  <si>
    <t>打印机租赁 爱普生 爱普生L6268 复印/打印/扫描3合1，A4彩色，15页/分钟，自动双面打印，250页纸盒 适合月印量2000页项目，每月随便印</t>
  </si>
  <si>
    <t>服务类/其他服务类/设备租赁</t>
  </si>
  <si>
    <t>深圳市百德办公设备有限公司</t>
  </si>
  <si>
    <t>2025-03-05 10:53:30.0</t>
  </si>
  <si>
    <t>3489145</t>
  </si>
  <si>
    <t>9050230124</t>
  </si>
  <si>
    <t>打印机租赁 爱普生 L6468/L6279/6178/655 复印/打印/扫描3合1，A4彩色，17页/分钟，自动双面打印，ADF自动进稿器，有线/无线WiFi连接，250页纸盒 适合月印量2000页项目，每月随便印</t>
  </si>
  <si>
    <t>3489146</t>
  </si>
  <si>
    <t>9050230112</t>
  </si>
  <si>
    <t>打印机租赁 爱普生 爱普生C878/8690 复印/打印/扫描/传真4合1，A3/A4彩色，25-32页/分钟，自动双面，ADF自动进稿器 适合月印量10000页项目，每月随便印，可刷卡管理</t>
  </si>
  <si>
    <t>3489147</t>
  </si>
  <si>
    <t>PO250122000264</t>
  </si>
  <si>
    <t>2025-01-22 23:28:03.0</t>
  </si>
  <si>
    <t>3455367</t>
  </si>
  <si>
    <t>4080090062</t>
  </si>
  <si>
    <t>百洁布 3M G6215 9.5CMx6.5CMx3CM 海绵</t>
  </si>
  <si>
    <t>百洁布</t>
  </si>
  <si>
    <t>3455368</t>
  </si>
  <si>
    <t>4080240035</t>
  </si>
  <si>
    <t>空气清新剂 佳丽 香味茉莉 320ML/瓶 适用场景：卧室，卫浴，酸碱度：弱碱性</t>
  </si>
  <si>
    <t>空气清新剂</t>
  </si>
  <si>
    <t>3455370</t>
  </si>
  <si>
    <t>PO250117000267</t>
  </si>
  <si>
    <t>TN3359</t>
  </si>
  <si>
    <t>NANYANG/南洋 牛筋乳胶手套 牛筋手套 M 1副</t>
  </si>
  <si>
    <t>消防安保/安全防护装备/防割手套/棉手套（更新中）</t>
  </si>
  <si>
    <t>3454097</t>
  </si>
  <si>
    <t>3455363</t>
  </si>
  <si>
    <t>4030290175</t>
  </si>
  <si>
    <t>拖把 百仕朗 拖把杆长约：130CM，拖布尺寸约：30CMx30CM 红色</t>
  </si>
  <si>
    <t>3455365</t>
  </si>
  <si>
    <t>4030290130</t>
  </si>
  <si>
    <t>拖把 超宝 C-014 拖把杆112CM，拖布头长76CM宽16.5CM 不锈钢，ABS塑料，棉纱线，保洁棉纱蜡拖，蓝白色</t>
  </si>
  <si>
    <t>3455364</t>
  </si>
  <si>
    <t>AF5844</t>
  </si>
  <si>
    <t>GC/国产 PVC点塑纱线手套 PVC点塑 均码 1打</t>
  </si>
  <si>
    <t>3454094</t>
  </si>
  <si>
    <t>AA3479435</t>
  </si>
  <si>
    <t>DONGFANGHONG/东方红 乳胶加长防护手套 YA-858 L 红色 长38cm 1双</t>
  </si>
  <si>
    <t>3454096</t>
  </si>
  <si>
    <t>2020010465</t>
  </si>
  <si>
    <t xml:space="preserve">牙膏 南京同仁堂 小苏打银装 100g/支，3支/组 </t>
  </si>
  <si>
    <t>牙膏</t>
  </si>
  <si>
    <t>3455362</t>
  </si>
  <si>
    <t>4030290143</t>
  </si>
  <si>
    <t xml:space="preserve">拖把 美丽雅 海绵拖把 约38CM </t>
  </si>
  <si>
    <t>3455371</t>
  </si>
  <si>
    <t>4080210178</t>
  </si>
  <si>
    <t xml:space="preserve">地毯水 芳菲丽特 高泡 约3.78L/瓶 </t>
  </si>
  <si>
    <t>3455372</t>
  </si>
  <si>
    <t>AA3479470</t>
  </si>
  <si>
    <t>DONGFANGHONG/东方红 乳胶加长防护手套 YA-858 L 黄色 长38cm 1双</t>
  </si>
  <si>
    <t>3454095</t>
  </si>
  <si>
    <t>3455376</t>
  </si>
  <si>
    <t>CX9467</t>
  </si>
  <si>
    <t>BULL/公牛 耐摔型接线板 GN-C221X-20M 1.5平方 3位 彩盒(新国标) 1个</t>
  </si>
  <si>
    <t>工程物资/电工物料/排插</t>
  </si>
  <si>
    <t>3454093</t>
  </si>
  <si>
    <t>4030050019</t>
  </si>
  <si>
    <t>厕所刷 美丽雅 HC74163 8CMx38CM 无死角圆头马桶刷，PP塑料材质</t>
  </si>
  <si>
    <t>3455366</t>
  </si>
  <si>
    <t>3455374</t>
  </si>
  <si>
    <t>4030180073</t>
  </si>
  <si>
    <t>喷壶 施达/CT TM-TB02Y(8) 650ML 小型手压式，可调节喷头</t>
  </si>
  <si>
    <t>3455360</t>
  </si>
  <si>
    <t>4080210064</t>
  </si>
  <si>
    <t>洗手液 洁芙柔 500ML/瓶 免洗手消毒凝胶，本品是以乙醇和正丙乙醇为主要成分，免洗速干CE认证</t>
  </si>
  <si>
    <t>洗手液</t>
  </si>
  <si>
    <t>3455361</t>
  </si>
  <si>
    <t>2020010401</t>
  </si>
  <si>
    <t>发绳 思达睿 20个/罐 黑色</t>
  </si>
  <si>
    <t>发绳</t>
  </si>
  <si>
    <t>3455373</t>
  </si>
  <si>
    <t>2020010397</t>
  </si>
  <si>
    <t>发胶 好迪 320ML/瓶 激爽塑型干胶持久碎发蓬松清香</t>
  </si>
  <si>
    <t>发胶</t>
  </si>
  <si>
    <t>3455375</t>
  </si>
  <si>
    <t>4030330013</t>
  </si>
  <si>
    <t>胶皮手套 思达睿 ST-LS0006-L L码 黄色，加厚耐磨，橡胶劳保手套，防油洗碗防水橡胶手套，男女通用，家务清洁，橡胶/乳胶/合成橡胶</t>
  </si>
  <si>
    <t>清洁物资类/清洁工具/胶皮手套</t>
  </si>
  <si>
    <t>胶皮手套</t>
  </si>
  <si>
    <t>3455369</t>
  </si>
  <si>
    <t>PO250102000796</t>
  </si>
  <si>
    <t>深圳市智邦汇通科技有限公司</t>
  </si>
  <si>
    <t>2024-12-24 16:29:26.0</t>
  </si>
  <si>
    <t>U金地智慧服务集团公司/UV商业物业事业部/UVZ商业事业部直管项目（虚拟）/UVZAJ商业事业部金地智慧服务总部物业服务中心//</t>
  </si>
  <si>
    <t>3442052</t>
  </si>
  <si>
    <t>PO241126000218</t>
  </si>
  <si>
    <t>UM3652</t>
  </si>
  <si>
    <t>DELI/得力 多功能剥线钳 DL2018 8" 1把</t>
  </si>
  <si>
    <t>工程物资/手动工具/剥线钳</t>
  </si>
  <si>
    <t>2024-12-03 11:35:16.0</t>
  </si>
  <si>
    <t>3377413</t>
  </si>
  <si>
    <t>AE3216664</t>
  </si>
  <si>
    <t>HUAIFENG/淮风 球形门锁 HFXQMS 不锈钢 锁边距60mm 门厚35~45mm 银色 1个</t>
  </si>
  <si>
    <t>工程物资/五金辅料/门锁</t>
  </si>
  <si>
    <t>3377415</t>
  </si>
  <si>
    <t>PO241203000166</t>
  </si>
  <si>
    <t>3388700</t>
  </si>
  <si>
    <t>KV3341</t>
  </si>
  <si>
    <t>SUPERB/超威 杀虫气雾剂 6920174760224 600mL 薰衣草香味 1瓶</t>
  </si>
  <si>
    <t>清洁物资类/有害生物防治（更新中）/综合杀虫剂（更新中）</t>
  </si>
  <si>
    <t>3377416</t>
  </si>
  <si>
    <t>4030030074</t>
  </si>
  <si>
    <t>玻璃刮 白云 AF06102 40CM 不锈钢刮水器，黑色胶条，不含杆子，刮水去污玻璃清洁工具</t>
  </si>
  <si>
    <t>3388702</t>
  </si>
  <si>
    <t>3388701</t>
  </si>
  <si>
    <t>3388703</t>
  </si>
  <si>
    <t>AC0640300</t>
  </si>
  <si>
    <t>UGREEN/绿联 单口USB接口充电器   60714 5V 2.1A 1个</t>
  </si>
  <si>
    <t>办公类/办公设备/外设产品</t>
  </si>
  <si>
    <t>3377414</t>
  </si>
  <si>
    <t>AE6719095</t>
  </si>
  <si>
    <t>SUSHI/苏识 空调挡风板 SS-HYB-006 600×200mm ABS+PVC材质 白色 百叶塑钢款 1个</t>
  </si>
  <si>
    <t>工程物资/空调/空调配件（中央空调维修）</t>
  </si>
  <si>
    <t>3377417</t>
  </si>
  <si>
    <t>PO241203000165</t>
  </si>
  <si>
    <t>3388699</t>
  </si>
  <si>
    <t>PO241125000122</t>
  </si>
  <si>
    <t>2024-11-25 11:36:04.0</t>
  </si>
  <si>
    <t>3376379</t>
  </si>
  <si>
    <t>PO241105000336</t>
  </si>
  <si>
    <t>2024-11-05 17:40:50.0</t>
  </si>
  <si>
    <t>3363535</t>
  </si>
  <si>
    <t>PO241104000107</t>
  </si>
  <si>
    <t>AC5663366</t>
  </si>
  <si>
    <t>NONGBAO/农宝 充电电动喷雾器 20L机身调速 1台</t>
  </si>
  <si>
    <t>绿化类/绿化设备/打药设备</t>
  </si>
  <si>
    <t>3362266</t>
  </si>
  <si>
    <t>AE5761380</t>
  </si>
  <si>
    <t>DELI/得力 无线吸尘器 DL8080 1台</t>
  </si>
  <si>
    <t>清洁物资类/清洁设备/吸尘器/吸水机/吸水吸尘两用机</t>
  </si>
  <si>
    <t>3362267</t>
  </si>
  <si>
    <t>3363532</t>
  </si>
  <si>
    <t>2020010407</t>
  </si>
  <si>
    <t>发绳 优家 细绳 100根/盒 黑色</t>
  </si>
  <si>
    <t>3363533</t>
  </si>
  <si>
    <t>3363534</t>
  </si>
  <si>
    <t>PO241010000451</t>
  </si>
  <si>
    <t>2024-10-10 17:39:19.0</t>
  </si>
  <si>
    <t>3317648</t>
  </si>
  <si>
    <t>4080050671</t>
  </si>
  <si>
    <t>垃圾袋 思达睿 平口垃圾袋 80CMx90CM，1.8丝，克重：15.2g/个，50个/包 黑色</t>
  </si>
  <si>
    <t>3317646</t>
  </si>
  <si>
    <t>4080050672</t>
  </si>
  <si>
    <t>垃圾袋 思达睿 平口垃圾袋 45CMx50CM，1.8丝，克重：3.3g/个，100个/包 黑色</t>
  </si>
  <si>
    <t>3317667</t>
  </si>
  <si>
    <t>PO241008000066</t>
  </si>
  <si>
    <t>3325143</t>
  </si>
  <si>
    <t>3317654</t>
  </si>
  <si>
    <t>4080210087</t>
  </si>
  <si>
    <t>玻璃清洁剂 白云/洁霸 JB113 3.78L/桶 功效：除油污，镜面清洗剂</t>
  </si>
  <si>
    <t>玻璃清洁剂</t>
  </si>
  <si>
    <t>3317647</t>
  </si>
  <si>
    <t>5030100177</t>
  </si>
  <si>
    <t>杀虫剂 野菊 杀虫剂喷雾剂 油基500ML，3瓶/组 室内驱蚊虫，形态液态</t>
  </si>
  <si>
    <t>3317656</t>
  </si>
  <si>
    <t>5030080035</t>
  </si>
  <si>
    <t>高效氯氰菊酯 国产 500ML/瓶 有效成分含量：4.5%</t>
  </si>
  <si>
    <t>绿化类/农药化肥/高效氯氰菊酯</t>
  </si>
  <si>
    <t>3317651</t>
  </si>
  <si>
    <t>3317657</t>
  </si>
  <si>
    <t>3317663</t>
  </si>
  <si>
    <t>4030150052</t>
  </si>
  <si>
    <t>清洗刷 迪新 杯刷约：28.2CMx7CM，2个/组 珍珠白</t>
  </si>
  <si>
    <t>清洁物资类/清洁工具/清洗刷</t>
  </si>
  <si>
    <t>清洗刷</t>
  </si>
  <si>
    <t>3317649</t>
  </si>
  <si>
    <t>AA4989757</t>
  </si>
  <si>
    <t>YIJIESHI/伊洁士 84消毒液 25L 1桶</t>
  </si>
  <si>
    <t>清洁物资类/有害生物防治（更新中）/消毒液（更新中）</t>
  </si>
  <si>
    <t>3325142</t>
  </si>
  <si>
    <t>2020031001</t>
  </si>
  <si>
    <t>发卡 南格 隐形黑色发夹一字夹 6CM一盒（约640个） 材质金属</t>
  </si>
  <si>
    <t>发卡</t>
  </si>
  <si>
    <t>3317655</t>
  </si>
  <si>
    <t>2020010340</t>
  </si>
  <si>
    <t>毛巾 登进 30CMx70CM 蓝色，纤维</t>
  </si>
  <si>
    <t>3317650</t>
  </si>
  <si>
    <t>4080090039</t>
  </si>
  <si>
    <t>百洁布 妙洁 尺寸15CMx10CM，4片/包 材质：进口尼龙，金刚砂，尺寸均以实物为准</t>
  </si>
  <si>
    <t>3317660</t>
  </si>
  <si>
    <t>3317645</t>
  </si>
  <si>
    <t>4080210050</t>
  </si>
  <si>
    <t>全能清洁剂 白云 JB112 3.78L/桶 中性清洁剂，气味请新，渗透力强，轻松去污</t>
  </si>
  <si>
    <t>全能清洁剂</t>
  </si>
  <si>
    <t>3317666</t>
  </si>
  <si>
    <t>3317659</t>
  </si>
  <si>
    <t>3317653</t>
  </si>
  <si>
    <t>3317664</t>
  </si>
  <si>
    <t>3317652</t>
  </si>
  <si>
    <t>3317662</t>
  </si>
  <si>
    <t>4080210028</t>
  </si>
  <si>
    <t>洁厕灵 爱特福 750ML 特点：特选有机酸原料，在瓷面形成保护膜，反复清洗，马桶不伤瓷釉</t>
  </si>
  <si>
    <t>洁厕灵</t>
  </si>
  <si>
    <t>3317665</t>
  </si>
  <si>
    <t>4080210111</t>
  </si>
  <si>
    <t>洁厕灵 蓝月亮 松木香型 4块/组 功效：除垢、除菌</t>
  </si>
  <si>
    <t>3317658</t>
  </si>
  <si>
    <t>3317661</t>
  </si>
  <si>
    <t>AA3476097</t>
  </si>
  <si>
    <t>BAIJIE/百洁 牛筋乳胶手套 YA-698 M 黄色 1双</t>
  </si>
  <si>
    <t>3325144</t>
  </si>
  <si>
    <t>PO241010000378</t>
  </si>
  <si>
    <t>深圳市一格文仪家具有限公司</t>
  </si>
  <si>
    <t>2024-09-26 10:40:17.0</t>
  </si>
  <si>
    <t>3317456</t>
  </si>
  <si>
    <t>3317457</t>
  </si>
  <si>
    <t>PO240912000383</t>
  </si>
  <si>
    <t>3050030068</t>
  </si>
  <si>
    <t>商业管家服（女客服）女长袖衬衣 白色 XL 棉60%木浆40%</t>
  </si>
  <si>
    <t>形象视觉/商业服装/商业管家服装</t>
  </si>
  <si>
    <t>商业管家服（女客服）女长袖衬衣</t>
  </si>
  <si>
    <t>广州为高服饰有限公司</t>
  </si>
  <si>
    <t>2024-09-12 21:26:02.0</t>
  </si>
  <si>
    <t>3293259</t>
  </si>
  <si>
    <t>3050030545</t>
  </si>
  <si>
    <t>商业男机构服高管领带 棕色 均码 真丝</t>
  </si>
  <si>
    <t>商业男机构服高管领带</t>
  </si>
  <si>
    <t>3293260</t>
  </si>
  <si>
    <t>3050030075</t>
  </si>
  <si>
    <t>商业管家服（女客服）女西服外套 藏青 L 羊毛60%天丝10%、涤纶29.5%、导电丝纤维0.5%</t>
  </si>
  <si>
    <t>商业管家服（女客服）女西服外套</t>
  </si>
  <si>
    <t>3293265</t>
  </si>
  <si>
    <t>3050030058</t>
  </si>
  <si>
    <t>商业管家服（男客服）男西服裤 藏青 L 羊毛60%天丝10%、涤纶29.5%、导电丝纤维0.5%</t>
  </si>
  <si>
    <t>商业管家服（男客服）男西服裤</t>
  </si>
  <si>
    <t>3293258</t>
  </si>
  <si>
    <t>3050030066</t>
  </si>
  <si>
    <t>商业管家服（女客服）女长袖衬衣 白色 M 棉60%木浆40%</t>
  </si>
  <si>
    <t>3293261</t>
  </si>
  <si>
    <t>3050030034</t>
  </si>
  <si>
    <t>商业管家服（男客服）男长袖衬衣 白色 L 羊毛60%天丝10%、涤纶29.5%、导电丝纤维0.5%</t>
  </si>
  <si>
    <t>商业管家服（男客服）男长袖衬衣</t>
  </si>
  <si>
    <t>3293257</t>
  </si>
  <si>
    <t>3050030074</t>
  </si>
  <si>
    <t>商业管家服（女客服）女西服外套 藏青 M 羊毛60%天丝10%、涤纶29.5%、导电丝纤维0.5%</t>
  </si>
  <si>
    <t>3293266</t>
  </si>
  <si>
    <t>3050030043</t>
  </si>
  <si>
    <t>商业管家服（男客服）男西服外套 藏青 XL 羊毛60%天丝10%、涤纶29.5%、导电丝纤维0.5%</t>
  </si>
  <si>
    <t>商业管家服（男客服）男西服外套</t>
  </si>
  <si>
    <t>3293267</t>
  </si>
  <si>
    <t>3050030082</t>
  </si>
  <si>
    <t>商业管家服（女客服）女西服马甲 藏青 M 羊毛60%天丝10%、涤纶29.5%、导电丝纤维0.5%</t>
  </si>
  <si>
    <t>商业管家服（女客服）女西服马甲</t>
  </si>
  <si>
    <t>3293263</t>
  </si>
  <si>
    <t>3050030067</t>
  </si>
  <si>
    <t>商业管家服（女客服）女长袖衬衣 白色 L 棉60%木浆40%</t>
  </si>
  <si>
    <t>3293269</t>
  </si>
  <si>
    <t>3050030091</t>
  </si>
  <si>
    <t>商业管家服（女客服）女西服裙 藏青 L 羊毛60%天丝10%、涤纶29.5%、导电丝纤维0.5%</t>
  </si>
  <si>
    <t>商业管家服（女客服）女西服裙</t>
  </si>
  <si>
    <t>3293264</t>
  </si>
  <si>
    <t>3050030097</t>
  </si>
  <si>
    <t>商业管家服（女客服）高管领结 棕色 均码 真丝</t>
  </si>
  <si>
    <t>商业管家服（女客服）高管领结</t>
  </si>
  <si>
    <t>3293270</t>
  </si>
  <si>
    <t>3050030050</t>
  </si>
  <si>
    <t>商业管家服（男客服）男西服马甲 藏青 L 羊毛60%天丝10%、涤纶29.5%、导电丝纤维0.5%</t>
  </si>
  <si>
    <t>商业管家服（男客服）男西服马甲</t>
  </si>
  <si>
    <t>3293256</t>
  </si>
  <si>
    <t>3050030090</t>
  </si>
  <si>
    <t>商业管家服（女客服）女西服裙 藏青 M 羊毛60%天丝10%、涤纶29.5%、导电丝纤维0.5%</t>
  </si>
  <si>
    <t>3293262</t>
  </si>
  <si>
    <t>3050030083</t>
  </si>
  <si>
    <t>商业管家服（女客服）女西服马甲 藏青 L 羊毛60%天丝10%、涤纶29.5%、导电丝纤维0.5%</t>
  </si>
  <si>
    <t>3293268</t>
  </si>
  <si>
    <t>PO240904000240</t>
  </si>
  <si>
    <t>AA2189597</t>
  </si>
  <si>
    <t>NOYAFA/精明鼠 地下线缆测试仪 NF-826 1台</t>
  </si>
  <si>
    <t>工程物资/仪器仪表/其他仪器仪表</t>
  </si>
  <si>
    <t>2024-09-11 18:32:26.0</t>
  </si>
  <si>
    <t>3231887</t>
  </si>
  <si>
    <t>PO240911000377</t>
  </si>
  <si>
    <t>2020031002</t>
  </si>
  <si>
    <t>发卡 南格 隐形黑色发夹一字夹 7CM一盒（约540个） 材质金属</t>
  </si>
  <si>
    <t>3292596</t>
  </si>
  <si>
    <t>3292597</t>
  </si>
  <si>
    <t>3292592</t>
  </si>
  <si>
    <t>3231889</t>
  </si>
  <si>
    <t>AA4697057</t>
  </si>
  <si>
    <t>CHAOBAO/超宝 84消毒液 DFG043 3.8L 1瓶</t>
  </si>
  <si>
    <t>3231888</t>
  </si>
  <si>
    <t>2020030951</t>
  </si>
  <si>
    <t>活性炭 思达睿 5KG/箱 颗粒状，除甲醛</t>
  </si>
  <si>
    <t>活性炭</t>
  </si>
  <si>
    <t>3292594</t>
  </si>
  <si>
    <t>3292595</t>
  </si>
  <si>
    <t>3292599</t>
  </si>
  <si>
    <t>3292593</t>
  </si>
  <si>
    <t>2020030879</t>
  </si>
  <si>
    <t>活性炭 思达睿 8KG炭+2KG硅藻纯/套 吸甲醛</t>
  </si>
  <si>
    <t>3292598</t>
  </si>
  <si>
    <t>PO240801000336</t>
  </si>
  <si>
    <t>2024-08-01 17:00:56.0</t>
  </si>
  <si>
    <t>3196434</t>
  </si>
  <si>
    <t>4080210229</t>
  </si>
  <si>
    <t xml:space="preserve">多功能泡沫清洗剂 君昶 约650ML/瓶 </t>
  </si>
  <si>
    <t>多功能泡沫清洗剂</t>
  </si>
  <si>
    <t>3196435</t>
  </si>
  <si>
    <t>PO240801000338</t>
  </si>
  <si>
    <t>7050080043</t>
  </si>
  <si>
    <t>T5LED灯管 三雄极光 PAK410192 丽致，16W，6500K，1168x22x34MM 白光，一体化支架</t>
  </si>
  <si>
    <t>工程物资/LED灯具/T5LED灯管</t>
  </si>
  <si>
    <t>T5LED灯管</t>
  </si>
  <si>
    <t>广州市鸿志机电工程有限公司</t>
  </si>
  <si>
    <t>3206918</t>
  </si>
  <si>
    <t>4080210125</t>
  </si>
  <si>
    <t>白板清洁剂 得力 7859 100ML/瓶 产品成分：两性表面活性剂、天然香料</t>
  </si>
  <si>
    <t>白板清洁剂</t>
  </si>
  <si>
    <t>3196436</t>
  </si>
  <si>
    <t>PO240729000328</t>
  </si>
  <si>
    <t>3204732</t>
  </si>
  <si>
    <t>PO240801000337</t>
  </si>
  <si>
    <t>7131020148</t>
  </si>
  <si>
    <t>门锁 援邦 防火门门锁 45-55MM 不锈钢</t>
  </si>
  <si>
    <t>门锁</t>
  </si>
  <si>
    <t>浙江援邦消防科技有限公司</t>
  </si>
  <si>
    <t>3196443</t>
  </si>
  <si>
    <t>3196439</t>
  </si>
  <si>
    <t>4030290164</t>
  </si>
  <si>
    <t>拖把 百仕朗 拖把杆长约：130CM，拖布尺寸约：30CMx30CM 绿色</t>
  </si>
  <si>
    <t>3196440</t>
  </si>
  <si>
    <t>3196438</t>
  </si>
  <si>
    <t>AA4724235</t>
  </si>
  <si>
    <t>HYSTIC/海斯迪克 圆筒形垃圾桶 HK-847系列  25×39cm 12L 银色 1个</t>
  </si>
  <si>
    <t>清洁物资类/垃圾桶/大垃圾桶</t>
  </si>
  <si>
    <t>3204734</t>
  </si>
  <si>
    <t>AA3476099</t>
  </si>
  <si>
    <t>BAIJIE/百洁 牛筋乳胶手套 YA-698 XL 黄色 1双</t>
  </si>
  <si>
    <t>3204733</t>
  </si>
  <si>
    <t>4080210113</t>
  </si>
  <si>
    <t>免洗洗手液 健之素 复合醇 500ML/瓶 功效：清洁、除菌、清爽</t>
  </si>
  <si>
    <t>免洗洗手液</t>
  </si>
  <si>
    <t>3196441</t>
  </si>
  <si>
    <t>4030240107</t>
  </si>
  <si>
    <t>拖把桶 朵芙 12L 灰色</t>
  </si>
  <si>
    <t>清洁物资类/清洁工具/水桶</t>
  </si>
  <si>
    <t>拖把桶</t>
  </si>
  <si>
    <t>3196442</t>
  </si>
  <si>
    <t>3196437</t>
  </si>
  <si>
    <t>PO240712000309</t>
  </si>
  <si>
    <t>2024-07-12 17:37:07.0</t>
  </si>
  <si>
    <t>3126449</t>
  </si>
  <si>
    <t>3126465</t>
  </si>
  <si>
    <t>4080210002</t>
  </si>
  <si>
    <t>全能清洁剂 白云/洁霸 JB112 3.78L/桶 除油污，瓷砖地板油渍多功能清洗剂</t>
  </si>
  <si>
    <t>3126463</t>
  </si>
  <si>
    <t>4080210255</t>
  </si>
  <si>
    <t xml:space="preserve">去污剂 洁而亮 约600g/瓶 </t>
  </si>
  <si>
    <t>去污剂</t>
  </si>
  <si>
    <t>3126462</t>
  </si>
  <si>
    <t>3126457</t>
  </si>
  <si>
    <t>3126458</t>
  </si>
  <si>
    <t>4030150054</t>
  </si>
  <si>
    <t xml:space="preserve">鸡毛掸子 格易美 约56CM </t>
  </si>
  <si>
    <t>鸡毛掸子</t>
  </si>
  <si>
    <t>3126460</t>
  </si>
  <si>
    <t>4080210020</t>
  </si>
  <si>
    <t>除油剂 白云 JB116 3.78L/瓶 强力化油剂，液体颜色：浅黄色透明液体，大容量，清洁分解，气味清新</t>
  </si>
  <si>
    <t>除油剂</t>
  </si>
  <si>
    <t>3126453</t>
  </si>
  <si>
    <t>3126469</t>
  </si>
  <si>
    <t>4010120010</t>
  </si>
  <si>
    <t>百洁垫 超宝 17寸，5片/组 白色</t>
  </si>
  <si>
    <t>清洁物资类/清洁设备/清洁设备配件</t>
  </si>
  <si>
    <t>百洁垫</t>
  </si>
  <si>
    <t>3126454</t>
  </si>
  <si>
    <t>3126471</t>
  </si>
  <si>
    <t>3126466</t>
  </si>
  <si>
    <t>4030360002</t>
  </si>
  <si>
    <t>马桶刷 思达睿 厕刷连座 44CM加长手柄 白色</t>
  </si>
  <si>
    <t>清洁物资类/清洁工具/马桶刷</t>
  </si>
  <si>
    <t>马桶刷</t>
  </si>
  <si>
    <t>3126456</t>
  </si>
  <si>
    <t>3126467</t>
  </si>
  <si>
    <t>3126450</t>
  </si>
  <si>
    <t>3126470</t>
  </si>
  <si>
    <t>3126452</t>
  </si>
  <si>
    <t>3126472</t>
  </si>
  <si>
    <t>3126468</t>
  </si>
  <si>
    <t>3126451</t>
  </si>
  <si>
    <t>2020030966</t>
  </si>
  <si>
    <t>活性炭 众晟 20小包/箱，总重1KG 纳米矿晶，强效净化</t>
  </si>
  <si>
    <t>3126459</t>
  </si>
  <si>
    <t>2020010365</t>
  </si>
  <si>
    <t>牙膏 佳洁士 140g 亮白，多效护理</t>
  </si>
  <si>
    <t>3126455</t>
  </si>
  <si>
    <t>3126464</t>
  </si>
  <si>
    <t>3126461</t>
  </si>
  <si>
    <t>PO240703000131</t>
  </si>
  <si>
    <t>2024-07-08 09:45:31.0</t>
  </si>
  <si>
    <t>3118148</t>
  </si>
  <si>
    <t>PO240618000183</t>
  </si>
  <si>
    <t>3020020168</t>
  </si>
  <si>
    <t>其他保洁服装 暄暄 商业保洁短袖上衣（男女同款） S-XXXL 灰色，弹力麻</t>
  </si>
  <si>
    <t>形象视觉/技能序列服装/技能序列保洁服装</t>
  </si>
  <si>
    <t>其他保洁服装</t>
  </si>
  <si>
    <t>深圳市暄暄服装有限公司</t>
  </si>
  <si>
    <t>2024-06-18 15:00:07.0</t>
  </si>
  <si>
    <t>3069615</t>
  </si>
  <si>
    <t>PO240614000285</t>
  </si>
  <si>
    <t>AE2596770</t>
  </si>
  <si>
    <t>YJGH/咏基歌航 翻版下水器 XSQ-001 1个</t>
  </si>
  <si>
    <t>工程物资/阀门/止回阀</t>
  </si>
  <si>
    <t>3067151</t>
  </si>
  <si>
    <t>AE3244372</t>
  </si>
  <si>
    <t>DILINGQU/第零区 感应水龙头 DLQ-3220 单冷 水龙头×1 带直流控制盒×1 防爆软管×2 120×155×59mm 合金 1套</t>
  </si>
  <si>
    <t>工程物资/五金辅料/水龙头</t>
  </si>
  <si>
    <t>3067149</t>
  </si>
  <si>
    <t>AC9871775</t>
  </si>
  <si>
    <t>LANOUDUN/蓝鸥盾 舒适牛皮绝缘电工鞋 D8112 43码 黑色 防砸防刺穿6kV绝缘 1双</t>
  </si>
  <si>
    <t>工程物资/五金辅料/电工鞋（更新中）</t>
  </si>
  <si>
    <t>3067152</t>
  </si>
  <si>
    <t>AC8375187</t>
  </si>
  <si>
    <t>FANJIA/繁佳 伸缩下水管 LBX-PVC材质 管头外直径36mm 伸缩长度约800mm 1根</t>
  </si>
  <si>
    <t>工程物资/五金辅料/下水管</t>
  </si>
  <si>
    <t>3067150</t>
  </si>
  <si>
    <t>PO240723000067</t>
  </si>
  <si>
    <t>深圳市中深建装饰设计工程有限公司</t>
  </si>
  <si>
    <t>2024-05-09 09:24:50.0</t>
  </si>
  <si>
    <t>3201115</t>
  </si>
  <si>
    <t>PO240506000184</t>
  </si>
  <si>
    <t>2024-05-06 11:44:01.0</t>
  </si>
  <si>
    <t>3017505</t>
  </si>
  <si>
    <t>PO240410000048</t>
  </si>
  <si>
    <t>2024-04-10 09:34:18.0</t>
  </si>
  <si>
    <t>2993057</t>
  </si>
  <si>
    <t>2993061</t>
  </si>
  <si>
    <t>PO240410000049</t>
  </si>
  <si>
    <t>4080050650</t>
  </si>
  <si>
    <t>垃圾袋 思达睿 连卷式/点断式 45CMx55CM，30个/卷，6卷/组，双层：1.6丝，克重：3.6g/个 黑色</t>
  </si>
  <si>
    <t>2993066</t>
  </si>
  <si>
    <t>PO240407000563</t>
  </si>
  <si>
    <t>AA2491425</t>
  </si>
  <si>
    <t>NICECLEAN/好清 加厚耐磨型工业手套 FLO2812 L(9) 126±5g 天然橡胶 棉绒内衬 1双</t>
  </si>
  <si>
    <t>2990756</t>
  </si>
  <si>
    <t>2993064</t>
  </si>
  <si>
    <t>2993063</t>
  </si>
  <si>
    <t>4080050660</t>
  </si>
  <si>
    <t>垃圾袋 思达睿 平口袋 70CMx80CM，50只/包，双层：2.5丝，克重：17g/个 黑色</t>
  </si>
  <si>
    <t>2993065</t>
  </si>
  <si>
    <t>4030290138</t>
  </si>
  <si>
    <t>拖把 得力 19501 尘推头尺寸27CM，长1M-1.3M，杆直径约2.5CM 对折挤水胶棉拖把，PVA胶棉头，伸缩杆</t>
  </si>
  <si>
    <t>2993062</t>
  </si>
  <si>
    <t>2993060</t>
  </si>
  <si>
    <t>2993059</t>
  </si>
  <si>
    <t>AA2506772</t>
  </si>
  <si>
    <t>ANDANDA/安丹达 ProCHem 牛筋手套 10363 9码 黄色 天然橡胶 1双</t>
  </si>
  <si>
    <t>2990757</t>
  </si>
  <si>
    <t>4080210091</t>
  </si>
  <si>
    <t>洗洁精 白猫 柠檬红茶 2KG/桶 功效：去油污，祛异味</t>
  </si>
  <si>
    <t>2993058</t>
  </si>
  <si>
    <t>PO240401000229</t>
  </si>
  <si>
    <t>2024-04-01 10:42:03.0</t>
  </si>
  <si>
    <t>UVZAJ商业事业部金地智慧服务总部物业服务中心/////</t>
  </si>
  <si>
    <t>2984300</t>
  </si>
  <si>
    <t>2984299</t>
  </si>
  <si>
    <t>PO240312000118</t>
  </si>
  <si>
    <t>2020100001</t>
  </si>
  <si>
    <t xml:space="preserve">社区文化活动 </t>
  </si>
  <si>
    <t>家居生活/日杂生活/社区文化活动</t>
  </si>
  <si>
    <t>淘宝/天猫/京东C端/其他-商业事业部</t>
  </si>
  <si>
    <t>2024-03-05 18:27:40.0</t>
  </si>
  <si>
    <t>2962942</t>
  </si>
  <si>
    <t>2962941</t>
  </si>
  <si>
    <t>2962943</t>
  </si>
  <si>
    <t>2962940</t>
  </si>
  <si>
    <t>2962944</t>
  </si>
  <si>
    <t>PO240204000044</t>
  </si>
  <si>
    <t>2024-01-24 18:22:03.0</t>
  </si>
  <si>
    <t>2940532</t>
  </si>
  <si>
    <t>2940530</t>
  </si>
  <si>
    <t>2940531</t>
  </si>
  <si>
    <t>2940528</t>
  </si>
  <si>
    <t>2940529</t>
  </si>
  <si>
    <t>PO240122000382</t>
  </si>
  <si>
    <t>2024-01-19 09:25:18.0</t>
  </si>
  <si>
    <t>2927842</t>
  </si>
  <si>
    <t>PO240117000226</t>
  </si>
  <si>
    <t>2024-01-14 11:17:22.0</t>
  </si>
  <si>
    <t>2915713</t>
  </si>
  <si>
    <t>PO240306000128</t>
  </si>
  <si>
    <t>2024-01-10 14:20:12.0</t>
  </si>
  <si>
    <t>2948970</t>
  </si>
  <si>
    <t>PO231221000291</t>
  </si>
  <si>
    <t>2020030914</t>
  </si>
  <si>
    <t>暖宝宝 为伴 9.5CMx12CM，50贴/盒 自发热暖贴</t>
  </si>
  <si>
    <t>暖宝宝</t>
  </si>
  <si>
    <t>2023-12-21 19:05:13.0</t>
  </si>
  <si>
    <t>2884047</t>
  </si>
  <si>
    <t>2884050</t>
  </si>
  <si>
    <t>2884052</t>
  </si>
  <si>
    <t>4080210173</t>
  </si>
  <si>
    <t xml:space="preserve">其他清洁剂 年润 柏油/沥青清洁剂 约450ML/瓶 </t>
  </si>
  <si>
    <t>2884053</t>
  </si>
  <si>
    <t>PO231220000375</t>
  </si>
  <si>
    <t>2873360</t>
  </si>
  <si>
    <t>4080210094</t>
  </si>
  <si>
    <t>漂白水 超宝 DFF043 3.8L/瓶 84消毒液，本品含氯量（5%-7%）是主要用于环境和物体表面消毒的含氯消毒剂，可杀大肠杆菌</t>
  </si>
  <si>
    <t>漂白水</t>
  </si>
  <si>
    <t>2884054</t>
  </si>
  <si>
    <t>2884048</t>
  </si>
  <si>
    <t>2884049</t>
  </si>
  <si>
    <t>2873358</t>
  </si>
  <si>
    <t>PO231221000290</t>
  </si>
  <si>
    <t>2884045</t>
  </si>
  <si>
    <t>2873359</t>
  </si>
  <si>
    <t>2884046</t>
  </si>
  <si>
    <t>2884055</t>
  </si>
  <si>
    <t>2884051</t>
  </si>
  <si>
    <t>PO231225000090</t>
  </si>
  <si>
    <t>深圳市福田区华益机电修理店</t>
  </si>
  <si>
    <t>2023-12-20 22:10:31.0</t>
  </si>
  <si>
    <t>2885297</t>
  </si>
  <si>
    <t>PO231208000158</t>
  </si>
  <si>
    <t>AA2362236</t>
  </si>
  <si>
    <t>PEARLK/派尔科 云石胶 米色 含固化剂 3L 1组</t>
  </si>
  <si>
    <t>2023-12-11 23:12:21.0</t>
  </si>
  <si>
    <t>2842227</t>
  </si>
  <si>
    <t>AE3691259</t>
  </si>
  <si>
    <t>G&amp;G/格之格 硒鼓 NT-PNH118网络专供升级版四支套装 黑色/蓝色/红色/黄色 四色 118A 激光碳粉盒 四色套装 带芯片 适用机型HP Color Laser 150a 150nw MFP 179fnw 178nw 1套</t>
  </si>
  <si>
    <t>办公类/办公设备/设备耗材</t>
  </si>
  <si>
    <t>2842226</t>
  </si>
  <si>
    <t>AG3770</t>
  </si>
  <si>
    <t>DOWSIL/陶熙 建筑胶-好适玻璃胶 好适-C 半透明色 300mL 1支</t>
  </si>
  <si>
    <t>2842228</t>
  </si>
  <si>
    <t>AG3776</t>
  </si>
  <si>
    <t>DOWSIL/陶熙 建筑胶-好适玻璃胶 好适-W 中性硅酮密封胶 白色 1支</t>
  </si>
  <si>
    <t>2842229</t>
  </si>
  <si>
    <t>PO231204000057</t>
  </si>
  <si>
    <t>CX9902</t>
  </si>
  <si>
    <t>BULL/公牛 明装底盒 H2 1个</t>
  </si>
  <si>
    <t>2023-12-06 09:40:44.0</t>
  </si>
  <si>
    <t>2818610</t>
  </si>
  <si>
    <t>FR5060</t>
  </si>
  <si>
    <t>QIFAN/起帆 铜芯聚氯乙烯绝缘布电线 BV-450/750V-1×2.5 红色 100m 1卷</t>
  </si>
  <si>
    <t>工程物资/电工物料/电线</t>
  </si>
  <si>
    <t>2818611</t>
  </si>
  <si>
    <t>EA2025</t>
  </si>
  <si>
    <t>DELIXI/德力西 绝缘胶布 PVC电气胶带 0.15mm*17mm*20米 黑色 1卷</t>
  </si>
  <si>
    <t>工程物资/电工物料/绝缘胶布/防水胶布</t>
  </si>
  <si>
    <t>2818612</t>
  </si>
  <si>
    <t>PO231127000286</t>
  </si>
  <si>
    <t>2023-11-27 16:06:41.0</t>
  </si>
  <si>
    <t>2815129</t>
  </si>
  <si>
    <t>PO231114000132</t>
  </si>
  <si>
    <t>2023-11-14 11:34:52.0</t>
  </si>
  <si>
    <t>2807579</t>
  </si>
  <si>
    <t>2807578</t>
  </si>
  <si>
    <t>PO231103000145</t>
  </si>
  <si>
    <t>2023-10-30 14:58:10.0</t>
  </si>
  <si>
    <t>2800942</t>
  </si>
  <si>
    <t>2800943</t>
  </si>
  <si>
    <t>2800944</t>
  </si>
  <si>
    <t>2800945</t>
  </si>
  <si>
    <t>PO231103000143</t>
  </si>
  <si>
    <t>2023-10-30 14:16:04.0</t>
  </si>
  <si>
    <t>2800937</t>
  </si>
  <si>
    <t>2800939</t>
  </si>
  <si>
    <t>2800938</t>
  </si>
  <si>
    <t>2800940</t>
  </si>
  <si>
    <t>PO231024000258</t>
  </si>
  <si>
    <t>AA2919313</t>
  </si>
  <si>
    <t>XINGONG/星工 高空双背单绳安全带 XGD-1 橘色 1根</t>
  </si>
  <si>
    <t>2023-10-30 10:38:11.0</t>
  </si>
  <si>
    <t>2784958</t>
  </si>
  <si>
    <t>AA2402555</t>
  </si>
  <si>
    <t>YUETONG/月桐 布艺围栏围挡施工护栏 58×97cm 工作进行中，禁止进入 黄色 3片 1套</t>
  </si>
  <si>
    <t>绿化类/绿化工具及辅材/围栏（更新中）</t>
  </si>
  <si>
    <t>2784955</t>
  </si>
  <si>
    <t>AU8117</t>
  </si>
  <si>
    <t>FLUKE/福禄克 非接触式试电笔 FLK2ACC2/200-1000V 200至1000VAC 1支</t>
  </si>
  <si>
    <t>工程物资/仪器仪表/高压验电笔</t>
  </si>
  <si>
    <t>2784954</t>
  </si>
  <si>
    <t>MH0990</t>
  </si>
  <si>
    <t>TAXUE/踏雪 12kV绝缘手套 绝缘手套 均码 1双</t>
  </si>
  <si>
    <t>工程物资/五金辅料/绝缘手套（更新中）</t>
  </si>
  <si>
    <t>2784957</t>
  </si>
  <si>
    <t>AA4092592</t>
  </si>
  <si>
    <t>XUJINGUANG/旭金光 电焊防护眼镜 电焊眼镜 1副</t>
  </si>
  <si>
    <t>工程物资/五金辅料/电焊眼镜（更新中）</t>
  </si>
  <si>
    <t>2784956</t>
  </si>
  <si>
    <t>PO231017000328</t>
  </si>
  <si>
    <t>3050050007</t>
  </si>
  <si>
    <t xml:space="preserve">商业工程夏装夏裤 暄暄 夏裤导电纤维/防静电涤棉纱卡 深蓝 </t>
  </si>
  <si>
    <t>形象视觉/商业服装/商业工程服装</t>
  </si>
  <si>
    <t>商业工程夏装夏裤</t>
  </si>
  <si>
    <t>2023-10-17 16:27:02.0</t>
  </si>
  <si>
    <t>2772814</t>
  </si>
  <si>
    <t>3050050006</t>
  </si>
  <si>
    <t xml:space="preserve">商业工程夏装短袖 暄暄 短袖导电纤维/防静电涤棉纱卡 灰蓝 </t>
  </si>
  <si>
    <t>商业工程夏装短袖</t>
  </si>
  <si>
    <t>2772815</t>
  </si>
  <si>
    <t>PO231016000408</t>
  </si>
  <si>
    <t>201029</t>
  </si>
  <si>
    <t>(橙)益思 UPM Yes orange 纯白复印纸 纯白 A3 70g  500张/包 5包/箱</t>
  </si>
  <si>
    <t>上海晨光科力普办公用品有限公司</t>
  </si>
  <si>
    <t>2023-10-17 16:22:49.0</t>
  </si>
  <si>
    <t>2772016</t>
  </si>
  <si>
    <t>201038</t>
  </si>
  <si>
    <t>科力普 COLIPU 复印纸 CFY004 2星 A4 80g 500张/包</t>
  </si>
  <si>
    <t>2772015</t>
  </si>
  <si>
    <t>PO231012000077</t>
  </si>
  <si>
    <t>2023-10-12 10:11:14.0</t>
  </si>
  <si>
    <t>2768044</t>
  </si>
  <si>
    <t>2768043</t>
  </si>
  <si>
    <t>PO231012000078</t>
  </si>
  <si>
    <t>4080210003</t>
  </si>
  <si>
    <t>鞋油 斯图 200ML/瓶，5.5CMx15CM 通用型液体上光鞋油，白色乳液状</t>
  </si>
  <si>
    <t>鞋油</t>
  </si>
  <si>
    <t>2768046</t>
  </si>
  <si>
    <t>2768047</t>
  </si>
  <si>
    <t>4080050641</t>
  </si>
  <si>
    <t>垃圾袋 思达睿 平口袋 90CMx100CM，50只/包，双层：3丝，克重：24g/个 黑色</t>
  </si>
  <si>
    <t>2768045</t>
  </si>
  <si>
    <t>PO230924000003</t>
  </si>
  <si>
    <t>4080210109</t>
  </si>
  <si>
    <t>其他清洁剂 白云 KY-119 3.78L/桶 强力除垢剂，清洁去污，能快速清除马赛克等石面上的顽固污渍</t>
  </si>
  <si>
    <t>2023-09-24 09:09:37.0</t>
  </si>
  <si>
    <t>2748653</t>
  </si>
  <si>
    <t>2748650</t>
  </si>
  <si>
    <t>2748655</t>
  </si>
  <si>
    <t>2748654</t>
  </si>
  <si>
    <t>2748646</t>
  </si>
  <si>
    <t>PO230921000059</t>
  </si>
  <si>
    <t>2746656</t>
  </si>
  <si>
    <t>AE2960170</t>
  </si>
  <si>
    <t>HUAIFENG/淮风 扁形木制油漆刷 HFBXMZYQS-012 170×36×7mm 原木色 化纤 1把</t>
  </si>
  <si>
    <t>工程物资/建筑材料/毛刷</t>
  </si>
  <si>
    <t>2746654</t>
  </si>
  <si>
    <t>2748642</t>
  </si>
  <si>
    <t>2748648</t>
  </si>
  <si>
    <t>4080210151</t>
  </si>
  <si>
    <t>地毯水 洁霸 JB-109A 高约30CM，直径约16CM，3.78L/瓶 无色粘稠液体，功效：除油污，适用多种地毯，沙发，壁毯</t>
  </si>
  <si>
    <t>2748644</t>
  </si>
  <si>
    <t>4080210036</t>
  </si>
  <si>
    <t>不锈钢清洁剂 超宝 DFF021 3.8升/瓶4瓶/箱 不锈钢保养剂，去污快速，有效除油污、锈迹。形成保护膜，防尘，防手指印残留</t>
  </si>
  <si>
    <t>不锈钢清洁剂</t>
  </si>
  <si>
    <t>2748643</t>
  </si>
  <si>
    <t>PO230924000002</t>
  </si>
  <si>
    <t>2748639</t>
  </si>
  <si>
    <t>2748645</t>
  </si>
  <si>
    <t>2748641</t>
  </si>
  <si>
    <t>2748652</t>
  </si>
  <si>
    <t>2748640</t>
  </si>
  <si>
    <t>2748651</t>
  </si>
  <si>
    <t>AE2754453</t>
  </si>
  <si>
    <t>JIMING/既明 聚四氟乙烯生料带 18mm×0.1mm×15m 1个</t>
  </si>
  <si>
    <t>工程物资/五金辅料/生料带</t>
  </si>
  <si>
    <t>2746657</t>
  </si>
  <si>
    <t>2746658</t>
  </si>
  <si>
    <t>4080210126</t>
  </si>
  <si>
    <t>玻璃清洁剂 白云/洁霸 JB113 3.785L/瓶，4瓶/箱 功效：除油污，镜面清洗剂</t>
  </si>
  <si>
    <t>2748647</t>
  </si>
  <si>
    <t>2748649</t>
  </si>
  <si>
    <t>2746655</t>
  </si>
  <si>
    <t>PO230911000149</t>
  </si>
  <si>
    <t>2023-09-11 10:16:54.0</t>
  </si>
  <si>
    <t>U金地智慧服务集团公司/UV商业物业事业部/UVI商业事业部粤东一管理中心/UVIL商业事业部金地智慧服务总部物业服务中心//</t>
  </si>
  <si>
    <t>2730428</t>
  </si>
  <si>
    <t>PO230804000058</t>
  </si>
  <si>
    <t>2023-08-04 09:50:28.0</t>
  </si>
  <si>
    <t>2669961</t>
  </si>
  <si>
    <t>PO230802000317</t>
  </si>
  <si>
    <t>2023-07-31 10:20:08.0</t>
  </si>
  <si>
    <t>2672022</t>
  </si>
  <si>
    <t>2672020</t>
  </si>
  <si>
    <t>2672021</t>
  </si>
  <si>
    <t>2672023</t>
  </si>
  <si>
    <t>PO230901000003</t>
  </si>
  <si>
    <t>9020110001</t>
  </si>
  <si>
    <t>木地板/PVC地面打蜡</t>
  </si>
  <si>
    <t>服务类/环境服务类/木地板/PVC地面打蜡</t>
  </si>
  <si>
    <t>深圳市南山区怡新佳五金商行</t>
  </si>
  <si>
    <t>2023-07-28 16:29:27.0</t>
  </si>
  <si>
    <t>2700473</t>
  </si>
  <si>
    <t>PO230728000132</t>
  </si>
  <si>
    <t>3070013494</t>
  </si>
  <si>
    <t>PVC 国产优质 防水不干胶贴纸 30x18CM 标识贴</t>
  </si>
  <si>
    <t>形象视觉/标识标牌/亚克力</t>
  </si>
  <si>
    <t>PVC</t>
  </si>
  <si>
    <t>深圳市欢喜创展广告有限公司</t>
  </si>
  <si>
    <t>2023-07-28 13:42:49.0</t>
  </si>
  <si>
    <t>2670214</t>
  </si>
  <si>
    <t>3070013572</t>
  </si>
  <si>
    <t xml:space="preserve">亚克力 上墙制度及内容 600x900MM </t>
  </si>
  <si>
    <t>亚克力</t>
  </si>
  <si>
    <t>2670217</t>
  </si>
  <si>
    <t>3070013564</t>
  </si>
  <si>
    <t>亚克力 洗手间清洁记录标识牌洗手间标识 377x377MM，纸张为A4大小 UV打印，专色印刷</t>
  </si>
  <si>
    <t>2670216</t>
  </si>
  <si>
    <t>3080020914</t>
  </si>
  <si>
    <t>车贴 当心触电供配电系统标识 13x10CM 不干胶</t>
  </si>
  <si>
    <t>形象视觉/广告宣传/背胶</t>
  </si>
  <si>
    <t>车贴</t>
  </si>
  <si>
    <t>2670213</t>
  </si>
  <si>
    <t>3070013524</t>
  </si>
  <si>
    <t>亚克力 车岗人员公示标识 240x160MM 透明亚克力UV打印+盒子，专色印刷</t>
  </si>
  <si>
    <t>2670215</t>
  </si>
  <si>
    <t>PO230731000285</t>
  </si>
  <si>
    <t>7080110173</t>
  </si>
  <si>
    <t>线槽 联塑 6分 PVC线槽</t>
  </si>
  <si>
    <t>工程物资/管材/其他管材配件（更新中）</t>
  </si>
  <si>
    <t>线槽</t>
  </si>
  <si>
    <t>深圳弘佳诚照明科技有限公司</t>
  </si>
  <si>
    <t>2023-07-17 10:52:42.0</t>
  </si>
  <si>
    <t>2667710</t>
  </si>
  <si>
    <t>PO230801000118</t>
  </si>
  <si>
    <t>2030040013</t>
  </si>
  <si>
    <t xml:space="preserve">芳香球 绿之源 薄荷铃兰味Z-5012净含量：330g </t>
  </si>
  <si>
    <t>家居生活/家居家具/家庭环境清洁</t>
  </si>
  <si>
    <t>芳香球</t>
  </si>
  <si>
    <t>深圳市鸿粤实业发展有限公司</t>
  </si>
  <si>
    <t>2667856</t>
  </si>
  <si>
    <t>PO230728000245</t>
  </si>
  <si>
    <t>4080050034</t>
  </si>
  <si>
    <t xml:space="preserve">垃圾袋 妙洁 45*50cm </t>
  </si>
  <si>
    <t>深圳市创洁隆贸易发展商行</t>
  </si>
  <si>
    <t>2670327</t>
  </si>
  <si>
    <t>4090020101</t>
  </si>
  <si>
    <t>空气清新剂 清扬 370ml 茉莉香型</t>
  </si>
  <si>
    <t>清洁物资类/清新剂（更新中）/空气清新剂（更新中）</t>
  </si>
  <si>
    <t>2667858</t>
  </si>
  <si>
    <t>PO230728000248</t>
  </si>
  <si>
    <t>XE2724</t>
  </si>
  <si>
    <t>BULL/公牛 G32系列开关面板 GN-G32K411四位单极带荧光开关 白色 暗装 1个</t>
  </si>
  <si>
    <t>2670344</t>
  </si>
  <si>
    <t>PO230801000119</t>
  </si>
  <si>
    <t>7090040015</t>
  </si>
  <si>
    <t xml:space="preserve">冲水阀 国产优质 脚踏冲水闸阀 </t>
  </si>
  <si>
    <t>工程物资/阀门/冲水阀</t>
  </si>
  <si>
    <t>冲水阀</t>
  </si>
  <si>
    <t>2667869</t>
  </si>
  <si>
    <t>PO230731000284</t>
  </si>
  <si>
    <t>7160010006</t>
  </si>
  <si>
    <t>插座 公牛 86型5孔 插座面板</t>
  </si>
  <si>
    <t>工程物资/开关插座/插座</t>
  </si>
  <si>
    <t>插座</t>
  </si>
  <si>
    <t>2667708</t>
  </si>
  <si>
    <t>4030180005</t>
  </si>
  <si>
    <t xml:space="preserve">喷壶 国产优质 500ml </t>
  </si>
  <si>
    <t>2667863</t>
  </si>
  <si>
    <t>7130990001</t>
  </si>
  <si>
    <t>锁扣 国产 不锈钢 M3 钢丝绳锁扣</t>
  </si>
  <si>
    <t>工程物资/五金辅料/U形挂锁/不锈钢挂锁/挂锁</t>
  </si>
  <si>
    <t>锁扣</t>
  </si>
  <si>
    <t>2667867</t>
  </si>
  <si>
    <t>4110110026</t>
  </si>
  <si>
    <t>蟑螂药 高氯残杀威 500g/瓶，10瓶/箱</t>
  </si>
  <si>
    <t>清洁物资类/有害生物防治（更新中）/蟑螂屋/蟑螂药（更新中）</t>
  </si>
  <si>
    <t>2667715</t>
  </si>
  <si>
    <t>6010240001</t>
  </si>
  <si>
    <t>消防凿子 扁口</t>
  </si>
  <si>
    <t>消防安保/消防工具/消防凿子</t>
  </si>
  <si>
    <t>消防凿子</t>
  </si>
  <si>
    <t>2667871</t>
  </si>
  <si>
    <t>4080120002</t>
  </si>
  <si>
    <t xml:space="preserve">毛巾 国产 普通毛巾35*70cm全棉 </t>
  </si>
  <si>
    <t>清洁物资类/清洁耗材/方巾/毛巾（更新中）</t>
  </si>
  <si>
    <t>2667705</t>
  </si>
  <si>
    <t>4080100043</t>
  </si>
  <si>
    <t>百洁布 益美得 LSL8537 30x60cm单条装 多用途纤维毛巾抹布百洁布（颜色随机）</t>
  </si>
  <si>
    <t>清洁物资类/清洁耗材/百洁布（更新中）</t>
  </si>
  <si>
    <t>2670330</t>
  </si>
  <si>
    <t>4080120129</t>
  </si>
  <si>
    <t xml:space="preserve">毛巾 金号 A类纯棉儿童毛巾洗脸小方巾小毛巾 灰色，31x30CM </t>
  </si>
  <si>
    <t>2667706</t>
  </si>
  <si>
    <t>4060130059</t>
  </si>
  <si>
    <t>洁厕灵 斯图 10条装（50粒） 洁厕剂</t>
  </si>
  <si>
    <t>清洁物资类/清洁剂（更新中）/洁厕灵（更新中）</t>
  </si>
  <si>
    <t>2667857</t>
  </si>
  <si>
    <t>2667704</t>
  </si>
  <si>
    <t>4080050318</t>
  </si>
  <si>
    <t>垃圾袋 国产 新料加厚平口大号垃圾袋 70x80新料加厚2.5s,50只/包 酒店宾馆物业酒店环卫大容量塑料袋加厚</t>
  </si>
  <si>
    <t>2670328</t>
  </si>
  <si>
    <t>4020040006</t>
  </si>
  <si>
    <t>吸水吸尘配件 深圳市嘉洁环保设备有限公司 吸水扒 NT75/2吸水机配件</t>
  </si>
  <si>
    <t>清洁物资类/清洁设备配件（更新中）/吸水吸尘配件（更新中）</t>
  </si>
  <si>
    <t>吸水吸尘配件</t>
  </si>
  <si>
    <t>2670333</t>
  </si>
  <si>
    <t>4030070072</t>
  </si>
  <si>
    <t xml:space="preserve">尘推布 白云 纯棉豪华型尘拖布  90CM </t>
  </si>
  <si>
    <t>清洁物资类/清洁工具/尘推</t>
  </si>
  <si>
    <t>尘推布</t>
  </si>
  <si>
    <t>2667859</t>
  </si>
  <si>
    <t>PO230809000284</t>
  </si>
  <si>
    <t>2020020795</t>
  </si>
  <si>
    <t>垃圾桶 南方 带滤网无盖茶水桶 30L 304不锈钢</t>
  </si>
  <si>
    <t>家居生活/日杂生活/清洁用具（更新中）</t>
  </si>
  <si>
    <t>垃圾桶</t>
  </si>
  <si>
    <t>2675890</t>
  </si>
  <si>
    <t>7010060039</t>
  </si>
  <si>
    <t xml:space="preserve">剥线钳 世达 91202 7寸 </t>
  </si>
  <si>
    <t>剥线钳</t>
  </si>
  <si>
    <t>2667872</t>
  </si>
  <si>
    <t>7131020018</t>
  </si>
  <si>
    <t xml:space="preserve">门锁 国产优质 多功能方向可调304不锈钢家用大门把手通用型 </t>
  </si>
  <si>
    <t>2667714</t>
  </si>
  <si>
    <t>XE2720</t>
  </si>
  <si>
    <t>BULL/公牛 G32系列开关面板 GN-G32K211二位单极带荧光开关 白色 1个</t>
  </si>
  <si>
    <t>2667711</t>
  </si>
  <si>
    <t>5030110024</t>
  </si>
  <si>
    <t>杀菌剂 大灰狼 植物花卉通用杀菌剂 100g 月季白粉病黑斑病黄叶黄斑烂根百菌清土壤农药杀菌剂</t>
  </si>
  <si>
    <t>绿化类/农药化肥/杀菌剂</t>
  </si>
  <si>
    <t>2667860</t>
  </si>
  <si>
    <t>2020020203</t>
  </si>
  <si>
    <t>垃圾桶 五月花 PP+不锈钢+PETKLM-T88L 按概夹缝垃圾桶</t>
  </si>
  <si>
    <t>2667855</t>
  </si>
  <si>
    <t>2020020030</t>
  </si>
  <si>
    <t>拖布 墩布</t>
  </si>
  <si>
    <t>拖布</t>
  </si>
  <si>
    <t>2670331</t>
  </si>
  <si>
    <t>7140230013</t>
  </si>
  <si>
    <t>电表箱 安业 单相 带开关位</t>
  </si>
  <si>
    <t>工程物资/电工物料/电表箱</t>
  </si>
  <si>
    <t>电表箱</t>
  </si>
  <si>
    <t>2667709</t>
  </si>
  <si>
    <t>PO230809000283</t>
  </si>
  <si>
    <t>7020110042</t>
  </si>
  <si>
    <t>工业吹风机 克力威 CG25A 涡轮式吹干机吹地机</t>
  </si>
  <si>
    <t>工程物资/电动工具/吹风机/鼓风机</t>
  </si>
  <si>
    <t>工业吹风机</t>
  </si>
  <si>
    <t>2675889</t>
  </si>
  <si>
    <t>7160010130</t>
  </si>
  <si>
    <t xml:space="preserve">插座 公牛 二三插座 86型5孔10A墙壁 </t>
  </si>
  <si>
    <t>2667713</t>
  </si>
  <si>
    <t>7140360037</t>
  </si>
  <si>
    <t xml:space="preserve">试电笔 五羊 AN2000 </t>
  </si>
  <si>
    <t>工程物资/电工物料/试电笔</t>
  </si>
  <si>
    <t>试电笔</t>
  </si>
  <si>
    <t>2667874</t>
  </si>
  <si>
    <t>7131070069</t>
  </si>
  <si>
    <t xml:space="preserve">铁丝 国产 8#/4mm </t>
  </si>
  <si>
    <t>工程物资/五金辅料/铁丝/铁丝网</t>
  </si>
  <si>
    <t>铁丝</t>
  </si>
  <si>
    <t>2667870</t>
  </si>
  <si>
    <t>AC6480829</t>
  </si>
  <si>
    <t>RIYUE/日月 水表裸电池 ER14505M 3.6V 1颗</t>
  </si>
  <si>
    <t>办公类/办公设备/电脑配件</t>
  </si>
  <si>
    <t>2667873</t>
  </si>
  <si>
    <t>4010070048</t>
  </si>
  <si>
    <t>吸尘器 白云 BF575 30L 吸尘吸水机</t>
  </si>
  <si>
    <t>吸尘器</t>
  </si>
  <si>
    <t>2667864</t>
  </si>
  <si>
    <t>4030060048</t>
  </si>
  <si>
    <t>铲刀 冰禹 总长：19.5cm,刃宽：15cm,柄长：9.5cm,柄厚：1cm（6寸） BY-7070,木柄灰刀,批墙铲刀,腻子刀刮刀,普通木柄油灰刀,6寸</t>
  </si>
  <si>
    <t>清洁物资类/清洁工具/铲刀</t>
  </si>
  <si>
    <t>铲刀</t>
  </si>
  <si>
    <t>2667862</t>
  </si>
  <si>
    <t>2020030038</t>
  </si>
  <si>
    <t>电池 金霸王 3.6V, 单节</t>
  </si>
  <si>
    <t>电池</t>
  </si>
  <si>
    <t>2667865</t>
  </si>
  <si>
    <t>7160010011</t>
  </si>
  <si>
    <t>插座 公牛 五孔 10A 五孔插座</t>
  </si>
  <si>
    <t>2667868</t>
  </si>
  <si>
    <t>XE2722</t>
  </si>
  <si>
    <t>BULL/公牛 G32系列开关面板 GN-G32K311三位单极带荧光开关 白色 暗装 1个</t>
  </si>
  <si>
    <t>2667712</t>
  </si>
  <si>
    <t>4080050601</t>
  </si>
  <si>
    <t>垃圾袋 王子 新料 80x90CM 加厚平口</t>
  </si>
  <si>
    <t>2670329</t>
  </si>
  <si>
    <t>2020020206</t>
  </si>
  <si>
    <t>垃圾桶 图斯 26*26*63.5cm10L不锈钢 圆形落地烟灰垃圾桶</t>
  </si>
  <si>
    <t>2667861</t>
  </si>
  <si>
    <t>4040040124</t>
  </si>
  <si>
    <t>环保分类垃圾桶 南方 分类垃圾桶 50L 201不锈钢，可回收物/其他垃圾/有害垃圾/厨余垃圾</t>
  </si>
  <si>
    <t>清洁物资类/垃圾桶/环保分类垃圾桶</t>
  </si>
  <si>
    <t>2675891</t>
  </si>
  <si>
    <t>5030100112</t>
  </si>
  <si>
    <t xml:space="preserve">杀虫剂 榄菊 杀蝇气雾剂 600ML </t>
  </si>
  <si>
    <t>2670332</t>
  </si>
  <si>
    <t>2020030520</t>
  </si>
  <si>
    <t xml:space="preserve">活性炭 国产 活性炭室内除甲醛除异味碳包 7000g </t>
  </si>
  <si>
    <t>2667707</t>
  </si>
  <si>
    <t>7160010167</t>
  </si>
  <si>
    <t>插座 飞雕 86型空白面板 暗装86型A3嘉润白 开关插座面板，插座盖板空面板白盖板，盖线盒</t>
  </si>
  <si>
    <t>2667866</t>
  </si>
  <si>
    <t>PO230712000069</t>
  </si>
  <si>
    <t>7130550077</t>
  </si>
  <si>
    <t>电源线 金龙羽 BVR 2.5m² 100m，绿色、黄色、红色、蓝色、黑色、黄绿色</t>
  </si>
  <si>
    <t>工程物资/五金辅料/电源线</t>
  </si>
  <si>
    <t>电源线</t>
  </si>
  <si>
    <t>2023-07-12 09:57:52.0</t>
  </si>
  <si>
    <t>2649871</t>
  </si>
  <si>
    <t>7010020167</t>
  </si>
  <si>
    <t xml:space="preserve">十字螺丝刀 五羊 十字 6x125MM </t>
  </si>
  <si>
    <t>工程物资/手动工具/一字螺丝刀/十字螺丝刀/组合螺丝刀</t>
  </si>
  <si>
    <t>十字螺丝刀</t>
  </si>
  <si>
    <t>2649872</t>
  </si>
  <si>
    <t>7050080025</t>
  </si>
  <si>
    <t>T5LED灯管 三雄 T5 28W 白光</t>
  </si>
  <si>
    <t>2649870</t>
  </si>
  <si>
    <t>7010020166</t>
  </si>
  <si>
    <t xml:space="preserve">一字螺丝刀 五羊 一字 6x125MM </t>
  </si>
  <si>
    <t>一字螺丝刀</t>
  </si>
  <si>
    <t>2649873</t>
  </si>
  <si>
    <t>PO230704000374</t>
  </si>
  <si>
    <t>AC2730407</t>
  </si>
  <si>
    <t>ICEY/冰禹 花洒套装 BYll-1161 331×98mm 一套包含花洒头×1+1.5m软管×1+底座×1 1套</t>
  </si>
  <si>
    <t>工程物资/五金辅料/扎带</t>
  </si>
  <si>
    <t>2023-07-06 08:45:25.0</t>
  </si>
  <si>
    <t>2644709</t>
  </si>
  <si>
    <t>PO230625000129</t>
  </si>
  <si>
    <t>AA4898259</t>
  </si>
  <si>
    <t>CHAOBAO/超宝 软毛挤水马桶刷 C-085 40×10cm 1个</t>
  </si>
  <si>
    <t>2023-06-27 10:18:35.0</t>
  </si>
  <si>
    <t>2628013</t>
  </si>
  <si>
    <t>AA1295808</t>
  </si>
  <si>
    <t>LIBY/立白 新金桔洗洁精 6920174736748 2kg 1桶</t>
  </si>
  <si>
    <t>清洁物资类/清洁剂（更新中）/洗洁精（更新中）</t>
  </si>
  <si>
    <t>2628017</t>
  </si>
  <si>
    <t>AA4031960</t>
  </si>
  <si>
    <t>ICEY/冰禹 BYll-02系列马桶刷 圆头 53.5cmx7cm 1个</t>
  </si>
  <si>
    <t>2628014</t>
  </si>
  <si>
    <t>AC5395042</t>
  </si>
  <si>
    <t>GREAT/格利特 布艺摩丝布艺沙发清洁剂 ZC111 500mL 1瓶</t>
  </si>
  <si>
    <t>清洁物资类/清洁剂（更新中）/不锈钢清洁剂（更新中）</t>
  </si>
  <si>
    <t>2628022</t>
  </si>
  <si>
    <t>KM1337</t>
  </si>
  <si>
    <t>3M 一般厨具海绵百洁布 G6215 95×65×30mm 5片 1包</t>
  </si>
  <si>
    <t>2628018</t>
  </si>
  <si>
    <t>UE5261</t>
  </si>
  <si>
    <t>HYSTIC/海斯迪克 HKBS62系列垃圾夹子 320mm 最大张口200mm 1个</t>
  </si>
  <si>
    <t>2628011</t>
  </si>
  <si>
    <t>2628016</t>
  </si>
  <si>
    <t>JA5281</t>
  </si>
  <si>
    <t>BAIYUN/白云 中性全能清洁剂 JB112 3.78L 1桶</t>
  </si>
  <si>
    <t>2628023</t>
  </si>
  <si>
    <t>2628015</t>
  </si>
  <si>
    <t>2628021</t>
  </si>
  <si>
    <t>KV3333</t>
  </si>
  <si>
    <t>SUPERB/超威 强效洁厕净超值装 6920174740967 500g×2瓶 1组</t>
  </si>
  <si>
    <t>2628009</t>
  </si>
  <si>
    <t>CJ1934</t>
  </si>
  <si>
    <t>CHAOBAO/超宝 地毯起渍剂 DFF009 3.8L 1瓶</t>
  </si>
  <si>
    <t>清洁物资类/清洁剂（更新中）/地毯水（更新中）</t>
  </si>
  <si>
    <t>2628012</t>
  </si>
  <si>
    <t>AA8753112</t>
  </si>
  <si>
    <t>CHAOBAO/超宝 除垢剂 DFH005 3.8kg 1桶</t>
  </si>
  <si>
    <t>2628020</t>
  </si>
  <si>
    <t>PO230627000062</t>
  </si>
  <si>
    <t>4030240070</t>
  </si>
  <si>
    <t>水桶 国产优质 加厚 100L 大白桶</t>
  </si>
  <si>
    <t>水桶</t>
  </si>
  <si>
    <t>2629452</t>
  </si>
  <si>
    <t>KM1571</t>
  </si>
  <si>
    <t>DIAOPAI/雕牌 超效加酶无磷洗衣粉 6910019009885 1280g 1袋</t>
  </si>
  <si>
    <t>清洁物资类/清洁剂（更新中）/洗衣粉（更新中）</t>
  </si>
  <si>
    <t>2628019</t>
  </si>
  <si>
    <t>AA2281660</t>
  </si>
  <si>
    <t>ICEY/冰禹 ZHll-76系列粘尘滚筒 100mm粉色 2器2卷纸 4个 1套</t>
  </si>
  <si>
    <t>2628010</t>
  </si>
  <si>
    <t>PO230621000031</t>
  </si>
  <si>
    <t>2023-06-21 09:53:28.0</t>
  </si>
  <si>
    <t>2626428</t>
  </si>
  <si>
    <t>PO230620000116</t>
  </si>
  <si>
    <t>2023-06-21 08:52:48.0</t>
  </si>
  <si>
    <t>2617703</t>
  </si>
  <si>
    <t>PO230718000211</t>
  </si>
  <si>
    <t>9010050001</t>
  </si>
  <si>
    <t>中央空调维保</t>
  </si>
  <si>
    <t>服务类/工程服务类/中央空调维保</t>
  </si>
  <si>
    <t>深圳市智冷环境科技有限公司</t>
  </si>
  <si>
    <t>2023-05-23 15:42:16.0</t>
  </si>
  <si>
    <t>2656210</t>
  </si>
  <si>
    <t>PO230501000010</t>
  </si>
  <si>
    <t>AA5134956</t>
  </si>
  <si>
    <t>DELIXI/德力西 86型防水盒 B8631/01(X) 1个</t>
  </si>
  <si>
    <t>2023-05-04 10:54:50.0</t>
  </si>
  <si>
    <t>2573629</t>
  </si>
  <si>
    <t>AA3979491</t>
  </si>
  <si>
    <t>ICEY/冰禹 水勺水瓢 外尺寸185mm 105mm 小号 红色 1个</t>
  </si>
  <si>
    <t>2573630</t>
  </si>
  <si>
    <t>GW8489</t>
  </si>
  <si>
    <t>CNMF/谋福 消防应急照明灯 80692 线长30cm左右 1个</t>
  </si>
  <si>
    <t>工程物资/电工物料/配电柜指示灯</t>
  </si>
  <si>
    <t>2573628</t>
  </si>
  <si>
    <t>AA5979161</t>
  </si>
  <si>
    <t>MANVA/敏华 LED消防安全出口指示牌 M-BLZD-1LROEⅠ5WCBD M3516 挂墙式 单面出口 5W 1个</t>
  </si>
  <si>
    <t>消防安保/消防设施/消防应急灯</t>
  </si>
  <si>
    <t>2573627</t>
  </si>
  <si>
    <t>PO230421000009</t>
  </si>
  <si>
    <t>3246838</t>
  </si>
  <si>
    <t>信发 铁质四层报刊杂志架 XF-1328 W480*D340*H1450 (雅黑)</t>
  </si>
  <si>
    <t>办公类/办公耗材/文件管理</t>
  </si>
  <si>
    <t>2023-04-21 14:08:21.0</t>
  </si>
  <si>
    <t>2570211</t>
  </si>
  <si>
    <t>PO230423000137</t>
  </si>
  <si>
    <t>9010030001</t>
  </si>
  <si>
    <t>设备维保/施工</t>
  </si>
  <si>
    <t>服务类/工程服务类/设备维保/施工</t>
  </si>
  <si>
    <t>深圳华兆科技有限公司</t>
  </si>
  <si>
    <t>2023-04-17 17:52:42.0</t>
  </si>
  <si>
    <t>2570821</t>
  </si>
  <si>
    <t>PO230423000136</t>
  </si>
  <si>
    <t>2559903</t>
  </si>
  <si>
    <t>PO230811000220</t>
  </si>
  <si>
    <t>2023-04-16 09:48:25.0</t>
  </si>
  <si>
    <t>2683865</t>
  </si>
  <si>
    <t>PO230413000461</t>
  </si>
  <si>
    <t>AA3810972</t>
  </si>
  <si>
    <t>SHENGWEI/胜为 光纤HDMI线 FHC-1010 10m 1根</t>
  </si>
  <si>
    <t>工程物资/电工物料/网线</t>
  </si>
  <si>
    <t>2023-04-14 17:48:46.0</t>
  </si>
  <si>
    <t>2567007</t>
  </si>
  <si>
    <t>PO230411000302</t>
  </si>
  <si>
    <t>3050030001</t>
  </si>
  <si>
    <t xml:space="preserve">商业管家男长袖衬衣（前台接待） 暄暄 60%T20%TS20%D100S/2×100S/2 白色 </t>
  </si>
  <si>
    <t>商业管家男长袖衬衣（前台接待）</t>
  </si>
  <si>
    <t>2023-04-11 16:53:00.0</t>
  </si>
  <si>
    <t>2565026</t>
  </si>
  <si>
    <t>3050030017</t>
  </si>
  <si>
    <t xml:space="preserve">商业管家男马夹（后台辅助） 暄暄 70%W18%D11.5%紫罗娜0.5%PT300G100S/2×100S/2 黑色 </t>
  </si>
  <si>
    <t>商业管家男马夹（后台辅助）</t>
  </si>
  <si>
    <t>2565027</t>
  </si>
  <si>
    <t>3050030016</t>
  </si>
  <si>
    <t xml:space="preserve">商业管家男西服外套（后台辅助） 暄暄 70%W18%D11.5%紫罗娜0.5%PT300G100S/2×100S/2 黑色 </t>
  </si>
  <si>
    <t>商业管家男西服外套（后台辅助）</t>
  </si>
  <si>
    <t>2565028</t>
  </si>
  <si>
    <t>3050030003</t>
  </si>
  <si>
    <t xml:space="preserve">商业管家男夏装西裤（前台接待） 暄暄 70%W18%D11.5%紫罗娜0.5%PT300G100S/2×100S/2 黑色 </t>
  </si>
  <si>
    <t>商业管家男夏装西裤（前台接待）</t>
  </si>
  <si>
    <t>2565024</t>
  </si>
  <si>
    <t>3050030006</t>
  </si>
  <si>
    <t xml:space="preserve">商业管家男领带（前台接待） 暄暄 桑蚕丝 管家岗 </t>
  </si>
  <si>
    <t>商业管家男领带（前台接待）</t>
  </si>
  <si>
    <t>2565025</t>
  </si>
  <si>
    <t>PO230410000095</t>
  </si>
  <si>
    <t>2023-04-10 09:57:07.0</t>
  </si>
  <si>
    <t>2553038</t>
  </si>
  <si>
    <t>PO230410000096</t>
  </si>
  <si>
    <t>6070020032</t>
  </si>
  <si>
    <t>口罩 稳健 医用外科口罩 1片/袋，30袋/中盒，40盒/箱 普通纸糖果蓝色，1S</t>
  </si>
  <si>
    <t>消防安保/常规防疫应急物资（更新中）/口罩（更新中）</t>
  </si>
  <si>
    <t>口罩</t>
  </si>
  <si>
    <t>牧野郭氏（福建）医疗科技有限公司</t>
  </si>
  <si>
    <t>2553039</t>
  </si>
  <si>
    <t>PO230404000090</t>
  </si>
  <si>
    <t>AA5389226</t>
  </si>
  <si>
    <t>ICEY/冰禹 液压闭门器 BYll-731 最大门宽1200mm 适合门重45~ 60kg 最大开门角度180° 1个</t>
  </si>
  <si>
    <t>消防安保/安防设施/门禁</t>
  </si>
  <si>
    <t>2023-04-07 12:24:00.0</t>
  </si>
  <si>
    <t>2538884</t>
  </si>
  <si>
    <t>PO230407000229</t>
  </si>
  <si>
    <t>7130550012</t>
  </si>
  <si>
    <t>电源线 金龙羽 2.5m²BVR 100m 绿色,黄色,红色,蓝色,黑色,黄绿色</t>
  </si>
  <si>
    <t>2551756</t>
  </si>
  <si>
    <t>PO230403000365</t>
  </si>
  <si>
    <t>2023-04-03 16:13:38.0</t>
  </si>
  <si>
    <t>2538373</t>
  </si>
  <si>
    <t>9050230106</t>
  </si>
  <si>
    <t>打印机租赁 爱普生 爱普生L6279/6178/655 复印/打印/扫描3合1，A4彩色，15页/分钟，自动双面打印，ADF自动进稿器，250页纸盒 适合月印量2000页项目，每月随便印</t>
  </si>
  <si>
    <t>2538374</t>
  </si>
  <si>
    <t>PO230403000207</t>
  </si>
  <si>
    <t>2023-04-03 11:57:45.0</t>
  </si>
  <si>
    <t>2538077</t>
  </si>
  <si>
    <t>7140330006</t>
  </si>
  <si>
    <t>绝缘胶布 美迅 厚度：0.19mm 宽度18cm 长度：10m</t>
  </si>
  <si>
    <t>绝缘胶布</t>
  </si>
  <si>
    <t>2538078</t>
  </si>
  <si>
    <t>PO230323000283</t>
  </si>
  <si>
    <t>2023-03-27 09:40:49.0</t>
  </si>
  <si>
    <t>2530481</t>
  </si>
  <si>
    <t>PO230325000054</t>
  </si>
  <si>
    <t>AC9788742</t>
  </si>
  <si>
    <t>JINYIJIE/金易洁 多功能清洁车 S160 含门+锁+顶棚+托盘+双格桶×2 1台</t>
  </si>
  <si>
    <t>清洁物资类/清洁工具/布草车</t>
  </si>
  <si>
    <t>2023-03-27 09:40:08.0</t>
  </si>
  <si>
    <t>2542489</t>
  </si>
  <si>
    <t>PO230321000110</t>
  </si>
  <si>
    <t>AA3332458</t>
  </si>
  <si>
    <t>LAUTEE/兰诗 大号加厚平口垃圾袋 LJD-2055 80×90cm 厚2.8s 黑色 50只 1包</t>
  </si>
  <si>
    <t>2023-03-23 14:20:40.0</t>
  </si>
  <si>
    <t>2518856</t>
  </si>
  <si>
    <t>2518858</t>
  </si>
  <si>
    <t>CM3418</t>
  </si>
  <si>
    <t>CREST/佳洁士 3D炫白劲爽清新牙膏 6903148094501 180g 1支</t>
  </si>
  <si>
    <t>清洁物资类/清新剂（更新中）/花露水/香水（更新中）</t>
  </si>
  <si>
    <t>2518853</t>
  </si>
  <si>
    <t>2518854</t>
  </si>
  <si>
    <t>AE0231379</t>
  </si>
  <si>
    <t>JBL/净佰俐 84消毒液 5L 1桶</t>
  </si>
  <si>
    <t>2518849</t>
  </si>
  <si>
    <t>CJ1932</t>
  </si>
  <si>
    <t>CHAOBAO/超宝 高泡地毯清洁剂 DFF007 3.8L 1瓶</t>
  </si>
  <si>
    <t>2518848</t>
  </si>
  <si>
    <t>2518850</t>
  </si>
  <si>
    <t>CJ1945</t>
  </si>
  <si>
    <t>CHAOBAO/超宝 玻璃清洁剂 DFF022 3.8L 1瓶</t>
  </si>
  <si>
    <t>清洁物资类/清洁剂（更新中）/玻璃清洁剂（更新中）</t>
  </si>
  <si>
    <t>2518857</t>
  </si>
  <si>
    <t>2518855</t>
  </si>
  <si>
    <t>2518851</t>
  </si>
  <si>
    <t>AM2265</t>
  </si>
  <si>
    <t>BOTNY/保赐利 粘胶黏胶去除剂 B1810 450mL 1罐</t>
  </si>
  <si>
    <t>清洁物资类/清洁剂（更新中）/除胶剂（更新中）</t>
  </si>
  <si>
    <t>2518852</t>
  </si>
  <si>
    <t>PO230323000250</t>
  </si>
  <si>
    <t>4110110021</t>
  </si>
  <si>
    <t xml:space="preserve">蟑螂药 德国拜耳 进口杀蟑胶饵 5g </t>
  </si>
  <si>
    <t>2541167</t>
  </si>
  <si>
    <t>PO230516000045</t>
  </si>
  <si>
    <t>4100030019</t>
  </si>
  <si>
    <t>塑胶地毯 3M 朗美4000型塑料地垫 按平方米计价 灰色</t>
  </si>
  <si>
    <t>清洁物资类/地垫地毯/地毯</t>
  </si>
  <si>
    <t>塑胶地毯</t>
  </si>
  <si>
    <t>深圳美商美家商业有限公司</t>
  </si>
  <si>
    <t>2023-03-20 09:49:05.0</t>
  </si>
  <si>
    <t>2589176</t>
  </si>
  <si>
    <t>4100030018</t>
  </si>
  <si>
    <t>塑胶地毯 安肯 S型疏水地垫 四周压边，按平方米计价 灰色</t>
  </si>
  <si>
    <t>2589177</t>
  </si>
  <si>
    <t>PO230309000215</t>
  </si>
  <si>
    <t>AA8727339</t>
  </si>
  <si>
    <t>YMD/益美得 铁杆烤漆硬毛地刷 C-038 配45cm 刷头 1个</t>
  </si>
  <si>
    <t>2023-03-10 11:02:49.0</t>
  </si>
  <si>
    <t>U金地智慧服务集团公司/UV商业物业事业部/UVI商业物业事业部粤东一管理中心/UVIL商业物业事业部金地智慧服务总部物业服务中心//</t>
  </si>
  <si>
    <t>2522953</t>
  </si>
  <si>
    <t>AA8727243</t>
  </si>
  <si>
    <t>YMD/益美得 超细纤维毛巾 DA1079 宝蓝色30×60cm 10条装 1条</t>
  </si>
  <si>
    <t>清洁物资类/清洁耗材/抹布/万用抹布（更新中）</t>
  </si>
  <si>
    <t>2522963</t>
  </si>
  <si>
    <t>AA4165753</t>
  </si>
  <si>
    <t>CHAOBAO/超宝 物业环卫清洁水桶 B-041 22L 灰色 1个</t>
  </si>
  <si>
    <t>2522955</t>
  </si>
  <si>
    <t>AA8727236</t>
  </si>
  <si>
    <t>YMD/益美得 超细纤维毛巾 DA1079 绿色30×60cm 10条装 1条</t>
  </si>
  <si>
    <t>2522960</t>
  </si>
  <si>
    <t>2522958</t>
  </si>
  <si>
    <t>AA2289250</t>
  </si>
  <si>
    <t>ICEY/冰禹 ZHll-96系列鸡毛掸子 灰色 不带杆 总长54cm 1个</t>
  </si>
  <si>
    <t>2522952</t>
  </si>
  <si>
    <t>2522957</t>
  </si>
  <si>
    <t>AC7866248</t>
  </si>
  <si>
    <t>ICEY/冰禹 BYyc-123系列塑料软毛洗衣刷 115×69×15mm 灰色 1个</t>
  </si>
  <si>
    <t>2522954</t>
  </si>
  <si>
    <t>AC9785563</t>
  </si>
  <si>
    <t>JIEBA/洁霸 刷地机 BF522 220~240V 1.2kW 刷盘直径16" 1台</t>
  </si>
  <si>
    <t>清洁物资类/清洁设备/抛光机/结晶机</t>
  </si>
  <si>
    <t>2522966</t>
  </si>
  <si>
    <t>AA3809140</t>
  </si>
  <si>
    <t>DELI/得力 手持式吸尘器 DL8080 60W 1台</t>
  </si>
  <si>
    <t>2522965</t>
  </si>
  <si>
    <t>CJ1173</t>
  </si>
  <si>
    <t>CHAOBAO/超宝 下压式双通榨水车 B-045B 36L 红色+蓝色 尺寸78×42×96.5cm 1台</t>
  </si>
  <si>
    <t>2522956</t>
  </si>
  <si>
    <t>AA8727237</t>
  </si>
  <si>
    <t>YMD/益美得 超细纤维毛巾 DA1079 咖啡色30×60cm 10条装 1条</t>
  </si>
  <si>
    <t>2522961</t>
  </si>
  <si>
    <t>AA8727242</t>
  </si>
  <si>
    <t>YMD/益美得 超细纤维毛巾 DA1079 大红色30×60cm 10条装 1条</t>
  </si>
  <si>
    <t>2522962</t>
  </si>
  <si>
    <t>AA8727244</t>
  </si>
  <si>
    <t>YMD/益美得 超细纤维毛巾 DA1079 白色30×60cm 10条装 1条</t>
  </si>
  <si>
    <t>2522959</t>
  </si>
  <si>
    <t>AA8726543</t>
  </si>
  <si>
    <t>YMD/益美得 防风扫把簸箕套装 MJ1301 97×14cm 3件 黑色 1套</t>
  </si>
  <si>
    <t>2522964</t>
  </si>
  <si>
    <t>PO230417000322</t>
  </si>
  <si>
    <t>9050230024</t>
  </si>
  <si>
    <t>设备租赁</t>
  </si>
  <si>
    <t>深圳通利机电工程有限公司</t>
  </si>
  <si>
    <t>2023-02-23 15:38:44.0</t>
  </si>
  <si>
    <t>U金地智慧服务集团公司/UV商业物业事业部/UVJ商业物业事业部粤东一管理中心/UVJAL商业物业事业部金地智慧服务总部物业服务中心//</t>
  </si>
  <si>
    <t>2557640</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</si>
  <si>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</si>
  <si>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</si>
  <si>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</si>
  <si>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</si>
  <si>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</si>
  <si>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</si>
  <si>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</si>
  <si>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</si>
  <si>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</si>
  <si>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</si>
  <si>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</si>
  <si>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</si>
  <si>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</si>
  <si>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</si>
  <si>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</si>
  <si>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</si>
  <si>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</si>
  <si>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</si>
  <si>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</si>
  <si>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</si>
  <si>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</si>
  <si>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</si>
  <si>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</si>
  <si>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</si>
  <si>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</si>
  <si>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</si>
  <si>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</si>
  <si>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</si>
  <si>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</si>
  <si>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</si>
  <si>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</si>
  <si>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</si>
  <si>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</si>
  <si>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</si>
  <si>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</si>
  <si>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</si>
  <si>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</si>
  <si>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</si>
  <si>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</si>
  <si>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</si>
  <si>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</si>
  <si>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</si>
  <si>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</si>
  <si>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</si>
  <si>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</si>
  <si>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</si>
  <si>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</si>
  <si>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</si>
  <si>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</si>
  <si>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</si>
  <si>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</si>
  <si>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</si>
  <si>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</si>
  <si>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</si>
  <si>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</si>
  <si>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</si>
  <si>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</si>
  <si>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</si>
  <si>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</si>
  <si>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</si>
  <si>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</si>
  <si>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</si>
  <si>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</si>
  <si>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</si>
  <si>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</si>
  <si>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</si>
  <si>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</si>
  <si>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</si>
  <si>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</si>
  <si>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</si>
  <si>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</si>
  <si>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</si>
  <si>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</si>
  <si>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</si>
  <si>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</si>
  <si>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</si>
  <si>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</si>
  <si>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</si>
  <si>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</si>
  <si>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</si>
  <si>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</si>
  <si>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</si>
  <si>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</si>
  <si>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</si>
  <si>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</si>
  <si>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</si>
  <si>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</si>
  <si>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</si>
  <si>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</si>
  <si>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</si>
  <si>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</si>
  <si>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</si>
  <si>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</si>
  <si>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</si>
  <si>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</si>
  <si>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</si>
  <si>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</si>
  <si>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</si>
  <si>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</si>
  <si>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</si>
  <si>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</si>
  <si>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</si>
  <si>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版本</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</si>
  <si>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</si>
  <si>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</si>
  <si>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</si>
  <si>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</si>
  <si>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</si>
  <si>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</si>
  <si>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</si>
  <si>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</si>
  <si>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</si>
  <si>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</si>
  <si>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</si>
  <si>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</si>
  <si>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</si>
  <si>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</si>
  <si>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</si>
  <si>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</si>
  <si>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</si>
  <si>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</si>
  <si>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</si>
  <si>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</si>
  <si>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</si>
  <si>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</si>
  <si>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</si>
  <si>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</si>
  <si>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</si>
  <si>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</si>
  <si>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</si>
  <si>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</si>
  <si>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</si>
  <si>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</si>
  <si>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</si>
  <si>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</si>
  <si>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</si>
  <si>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</si>
  <si>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2241583497368067072</t>
  </si>
  <si>
    <t>审核通过</t>
  </si>
  <si>
    <t>金地物业服务花木租摆养护服务外包采购合同</t>
  </si>
  <si>
    <t>2025-07-31</t>
  </si>
  <si>
    <t>主合同</t>
  </si>
  <si>
    <t>线下签署（智能+物理）</t>
  </si>
  <si>
    <t>001</t>
  </si>
  <si>
    <t>银行转账</t>
  </si>
  <si>
    <t>CNY</t>
  </si>
  <si>
    <t>人民币</t>
  </si>
  <si>
    <t/>
  </si>
  <si>
    <t>增值税专用发票</t>
  </si>
  <si>
    <t>U1015000229</t>
  </si>
  <si>
    <t>2025-01-01</t>
  </si>
  <si>
    <t>11501025</t>
  </si>
  <si>
    <t>王学思</t>
  </si>
  <si>
    <t>V2.0</t>
  </si>
  <si>
    <t>80105465</t>
  </si>
  <si>
    <t>易鑫汝</t>
  </si>
  <si>
    <t>已变更</t>
  </si>
  <si>
    <t>待履约</t>
  </si>
  <si>
    <t>已签章</t>
  </si>
  <si>
    <t>已归档</t>
  </si>
  <si>
    <t>JD-YWLX-050</t>
  </si>
  <si>
    <t>绿化养护</t>
  </si>
  <si>
    <t>环境服务类</t>
  </si>
  <si>
    <t>2241583492443988992</t>
  </si>
  <si>
    <t>SealSign-20250620-0364</t>
  </si>
  <si>
    <t>新签</t>
  </si>
  <si>
    <t>关于深圳区域公司 需求，项目结算主体深圳市金地物业服务有限公司为一般纳税人， 1、项目预算：38617.92元，甲方结算方式：按月支付；
2、绿植租摆面积：3A与3F独立办公室、会议室、工区、洗手间等；
3、绿植租摆要求：具体绿植品种、高度、是否带盆等，详见《金地智慧绿植2025报价清单》；
4、采购限价：6436.32元/月；
5、续签说明：原合同价格为：6437.89元/月，现调整为:：6436.32元/月， 续签供应商为：深圳市心蕊园艺有限公司。</t>
  </si>
  <si>
    <t>2025-06-30 10:47:01:942</t>
  </si>
  <si>
    <t>2025-06-20 16:49:58:841</t>
  </si>
  <si>
    <t>2025-07-03 09:31:08:757</t>
  </si>
  <si>
    <t>eipuser</t>
  </si>
  <si>
    <t>EIP接口用户</t>
  </si>
  <si>
    <t>2241514901128353792</t>
  </si>
  <si>
    <t>fxyz_environmentalservice</t>
  </si>
  <si>
    <t>2241583497368112128</t>
  </si>
  <si>
    <t>792</t>
  </si>
  <si>
    <t>深圳市金地物业服务有限公司</t>
  </si>
  <si>
    <t>2241583497368112129</t>
  </si>
  <si>
    <t>42804</t>
  </si>
  <si>
    <t>2219777619556093952</t>
  </si>
  <si>
    <t>暂存</t>
  </si>
  <si>
    <t>人力资源保洁外包服务合同补充协议</t>
  </si>
  <si>
    <t>2026-05-31</t>
  </si>
  <si>
    <t>从合同</t>
  </si>
  <si>
    <t>壹元</t>
  </si>
  <si>
    <t>2025-06-01</t>
  </si>
  <si>
    <t>20022718</t>
  </si>
  <si>
    <t>康卓妮</t>
  </si>
  <si>
    <t>V1.0</t>
  </si>
  <si>
    <t>HTTZ-068734</t>
  </si>
  <si>
    <t>RLZY-Z-2025-00280</t>
  </si>
  <si>
    <t>正常</t>
  </si>
  <si>
    <t>未签章</t>
  </si>
  <si>
    <t>未归档</t>
  </si>
  <si>
    <t>JD-YWLX-078</t>
  </si>
  <si>
    <t>劳务外包/劳务派遣</t>
  </si>
  <si>
    <t>人力资源类</t>
  </si>
  <si>
    <t>2219777588476266496</t>
  </si>
  <si>
    <t>SealSign-20250521-0204</t>
  </si>
  <si>
    <t>2025-05-21 16:46:42:427</t>
  </si>
  <si>
    <t>2025-05-21 17:08:20:895</t>
  </si>
  <si>
    <t>2219777590053324800</t>
  </si>
  <si>
    <t>fxyz_humanresourcesclass</t>
  </si>
  <si>
    <t>2219777619556094976</t>
  </si>
  <si>
    <t>2219777619556094977</t>
  </si>
  <si>
    <t>132</t>
  </si>
  <si>
    <t>深圳市金地物业管理有限公司</t>
  </si>
  <si>
    <t>2219777619556094978</t>
  </si>
  <si>
    <t>417816</t>
  </si>
  <si>
    <t>广东民企人力资源开发服务中心有限公司</t>
  </si>
  <si>
    <t>1912440936659447808</t>
  </si>
  <si>
    <t>JDZHFW-KF-2023001   2023年商用净水产品三方协议</t>
  </si>
  <si>
    <t>2025-12-31</t>
  </si>
  <si>
    <t>无需用印</t>
  </si>
  <si>
    <t>2023-04-17 17:20:59:925</t>
  </si>
  <si>
    <t>2023-01-01</t>
  </si>
  <si>
    <t>履约中</t>
  </si>
  <si>
    <t>JD-YWLX-048</t>
  </si>
  <si>
    <t>保洁外包</t>
  </si>
  <si>
    <t>1913856724477970432</t>
  </si>
  <si>
    <t>SealSign-20240325-1169</t>
  </si>
  <si>
    <t>20240331业财全国推广上线初始化合同</t>
  </si>
  <si>
    <t>2024-03-25 14:52:11:878</t>
  </si>
  <si>
    <t>2024-03-23 15:58:14:539</t>
  </si>
  <si>
    <t>2025-06-18 20:20:09:926</t>
  </si>
  <si>
    <t>ID-000032</t>
  </si>
  <si>
    <t>王毓龙</t>
  </si>
  <si>
    <t>1912440801326011392</t>
  </si>
  <si>
    <t>1912440936667837440</t>
  </si>
  <si>
    <t>131</t>
  </si>
  <si>
    <t>武汉荣尚荟公寓物业服务有限公司</t>
  </si>
  <si>
    <t>1912440936667837441</t>
  </si>
  <si>
    <t>47487</t>
  </si>
  <si>
    <t>序号</t>
  </si>
  <si>
    <t>业务单号</t>
  </si>
  <si>
    <t>付款金额</t>
  </si>
  <si>
    <t>单据状态</t>
  </si>
  <si>
    <t>交易日期</t>
  </si>
  <si>
    <t>业务日期</t>
  </si>
  <si>
    <t>费用类型名称</t>
  </si>
  <si>
    <t>业务系统名称</t>
  </si>
  <si>
    <t>源单类型</t>
  </si>
  <si>
    <t>源单编码</t>
  </si>
  <si>
    <t>共享状态</t>
  </si>
  <si>
    <t>单据编号</t>
  </si>
  <si>
    <t>组织</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</si>
  <si>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</si>
  <si>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</si>
  <si>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</si>
  <si>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</si>
  <si>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</si>
  <si>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</si>
  <si>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</si>
  <si>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</si>
  <si>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</si>
  <si>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</si>
  <si>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</si>
  <si>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</si>
  <si>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</si>
  <si>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</si>
  <si>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</si>
  <si>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</si>
  <si>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</si>
  <si>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</si>
  <si>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</si>
  <si>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</si>
  <si>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</si>
  <si>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</si>
  <si>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</si>
  <si>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</si>
  <si>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</si>
  <si>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</si>
  <si>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</si>
  <si>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</si>
  <si>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</si>
  <si>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</si>
  <si>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</si>
  <si>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</si>
  <si>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</si>
  <si>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</si>
  <si>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</si>
  <si>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</si>
  <si>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</si>
  <si>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</si>
  <si>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</si>
  <si>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</si>
  <si>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</si>
  <si>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</si>
  <si>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</si>
  <si>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</si>
  <si>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</si>
  <si>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</si>
  <si>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</si>
  <si>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</si>
  <si>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</si>
  <si>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</si>
  <si>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</si>
  <si>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</si>
  <si>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</si>
  <si>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</si>
  <si>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</si>
  <si>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</si>
  <si>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</si>
  <si>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</si>
  <si>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</si>
  <si>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</si>
  <si>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</si>
  <si>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</si>
  <si>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</si>
  <si>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</si>
  <si>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</si>
  <si>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借款单</t>
  </si>
  <si>
    <t>JK-WY.SZ.64.01-20241229-001004</t>
  </si>
  <si>
    <t>已审核</t>
  </si>
  <si>
    <t>FK-WY.SZ.64.01-20250103-000024</t>
  </si>
  <si>
    <t>深圳市福睿金地智慧服务有限公司本部</t>
  </si>
  <si>
    <t>田艳华</t>
  </si>
  <si>
    <t>2025-01-03</t>
  </si>
  <si>
    <t>中国建设银行股份有限公司深圳泰然支行</t>
  </si>
  <si>
    <t>44250100003900004769</t>
  </si>
  <si>
    <t>6214836553634086</t>
  </si>
  <si>
    <t>招商银行深圳分行</t>
  </si>
  <si>
    <t>深圳市福睿金地智慧服务有限公司</t>
  </si>
  <si>
    <t>春节环境布置物资购买</t>
  </si>
  <si>
    <t>方惠云</t>
  </si>
  <si>
    <t>2025-01-09</t>
  </si>
  <si>
    <t>费用</t>
  </si>
  <si>
    <t>未生成</t>
  </si>
  <si>
    <t>个人借款</t>
  </si>
  <si>
    <t>主动付款</t>
  </si>
  <si>
    <t>借款.员工借款</t>
  </si>
  <si>
    <t>其他付款</t>
  </si>
  <si>
    <t>职员</t>
  </si>
  <si>
    <t>对公报销单</t>
  </si>
  <si>
    <t>DGBX-241231-0090220</t>
  </si>
  <si>
    <t>FK-WY.SZ.64.01-20250103-000020</t>
  </si>
  <si>
    <t>吴海霞</t>
  </si>
  <si>
    <t>9558884000001217651</t>
  </si>
  <si>
    <t>中国工商银行股份有限公司深圳国财支行</t>
  </si>
  <si>
    <t>勘察院3栋507房2025年1月租金</t>
  </si>
  <si>
    <t>深圳市福睿金地智慧服务有限公司福投控大厦物业管理服务中心</t>
  </si>
  <si>
    <t>采购付款</t>
  </si>
  <si>
    <t>人工费用.宿舍费</t>
  </si>
  <si>
    <t>DGBX-241231-0090222</t>
  </si>
  <si>
    <t>FK-WY.SZ.64.01-20250103-000019</t>
  </si>
  <si>
    <t>董永平</t>
  </si>
  <si>
    <t>6214867836346669</t>
  </si>
  <si>
    <t>招商银行深圳东滨支行</t>
  </si>
  <si>
    <t>勘察院5栋506房2025年1月租金</t>
  </si>
  <si>
    <t>DGBX-241227-0089588</t>
  </si>
  <si>
    <t>FK-WY.SZ.64.01-20250103-000018</t>
  </si>
  <si>
    <t>裴东晓</t>
  </si>
  <si>
    <t>6214867871901121</t>
  </si>
  <si>
    <t>招商银行深圳爱华支行</t>
  </si>
  <si>
    <t>勘察院4栋708房2025年1月租金</t>
  </si>
  <si>
    <t>DGBX-241227-0089548</t>
  </si>
  <si>
    <t>FK-WY.SZ.64.01-20250102-000015</t>
  </si>
  <si>
    <t>倪昭敏</t>
  </si>
  <si>
    <t>2025-01-02</t>
  </si>
  <si>
    <t>6214830916487399</t>
  </si>
  <si>
    <t>招商银行股份有限公司广州骏景广场支行</t>
  </si>
  <si>
    <t>员工宿舍税费</t>
  </si>
  <si>
    <t>深圳市福睿金地智慧服务有限公司华富村物业管理服务中心</t>
  </si>
  <si>
    <t>DGBX-241227-0089531</t>
  </si>
  <si>
    <t>FK-WY.SZ.64.01-20250102-000014</t>
  </si>
  <si>
    <t>尹显同</t>
  </si>
  <si>
    <t>6222024000029968191</t>
  </si>
  <si>
    <t>中国工商银行深圳市爱华支行</t>
  </si>
  <si>
    <t>员工宿舍租金</t>
  </si>
  <si>
    <t>DGBX-241227-0089545</t>
  </si>
  <si>
    <t>FK-WY.SZ.64.01-20250102-000013</t>
  </si>
  <si>
    <t>付淑琴</t>
  </si>
  <si>
    <t>6217007200090496186</t>
  </si>
  <si>
    <t>中国建设银行股份有限公司深圳上步支行</t>
  </si>
  <si>
    <t>DGBX-241227-0089540</t>
  </si>
  <si>
    <t>FK-WY.SZ.64.01-20250102-000012</t>
  </si>
  <si>
    <t>向玉文</t>
  </si>
  <si>
    <t>6214837858157237</t>
  </si>
  <si>
    <t>招商银行深圳福华支行</t>
  </si>
  <si>
    <t>DGBX-241227-0089536</t>
  </si>
  <si>
    <t>FK-WY.SZ.64.01-20250102-000011</t>
  </si>
  <si>
    <t>伍毓才</t>
  </si>
  <si>
    <t>6214857821203983</t>
  </si>
  <si>
    <t>招商银行深圳笋岗支行</t>
  </si>
  <si>
    <t>DGBX-241227-0089547</t>
  </si>
  <si>
    <t>FK-WY.SZ.64.01-20250102-000010</t>
  </si>
  <si>
    <t>杨旭云</t>
  </si>
  <si>
    <t>6228270128300220574</t>
  </si>
  <si>
    <t>中国农业银行深圳国贸支行</t>
  </si>
  <si>
    <t>DGBX-241227-0066659</t>
  </si>
  <si>
    <t>FK-WY.SZ.64.01-20250102-000009</t>
  </si>
  <si>
    <t>张荣泽</t>
  </si>
  <si>
    <t>6214677200035627958</t>
  </si>
  <si>
    <t>中国建设银行股份有限公司深圳振华支行</t>
  </si>
  <si>
    <t>FK241231000213</t>
  </si>
  <si>
    <t>FK-WY.SZ.64.01-20250103-000022</t>
  </si>
  <si>
    <t>深圳市万江春园绿化有限公司</t>
  </si>
  <si>
    <t>2024-12-31</t>
  </si>
  <si>
    <t>826015655108091001</t>
  </si>
  <si>
    <t>中国银行股份有限公司深圳福强支行</t>
  </si>
  <si>
    <t>金采易购</t>
  </si>
  <si>
    <t>福投控大厦12月绿化苗木采购费用报销申请</t>
  </si>
  <si>
    <t>2025-02-05</t>
  </si>
  <si>
    <t>草本花卉</t>
  </si>
  <si>
    <t>物料消耗.物料消耗</t>
  </si>
  <si>
    <t>XHWZ-Z-2024-0131</t>
  </si>
  <si>
    <t>CF241231000048</t>
  </si>
  <si>
    <t>AP-202412-0149974</t>
  </si>
  <si>
    <t>绿化工具</t>
  </si>
  <si>
    <t>FK241231000158</t>
  </si>
  <si>
    <t>FK-WY.SZ.64.01-20250103-000017</t>
  </si>
  <si>
    <t>深圳市沙头市政服务有限公司</t>
  </si>
  <si>
    <t>44201573600050002898</t>
  </si>
  <si>
    <t>中国建设银行股份有限公司深圳铁路支行</t>
  </si>
  <si>
    <t>福投控大厦2024年11至12月生活垃圾清运费用报销</t>
  </si>
  <si>
    <t>生活垃圾清运</t>
  </si>
  <si>
    <t>外包服务费.生活垃圾清运外包</t>
  </si>
  <si>
    <t>HJFW-Z-2024-3249</t>
  </si>
  <si>
    <t>CF241231000055</t>
  </si>
  <si>
    <t>AP-202412-0149901</t>
  </si>
  <si>
    <t>FK241230000563</t>
  </si>
  <si>
    <t>FK-WY.SZ.64.01-20250103-000021</t>
  </si>
  <si>
    <t>深圳市福田区保安服务有限公司</t>
  </si>
  <si>
    <t>2024-12-30</t>
  </si>
  <si>
    <t>443066302011605170237</t>
  </si>
  <si>
    <t>交通银行深圳金田支行</t>
  </si>
  <si>
    <t>2024年11月福投控大厦安保外包服务费</t>
  </si>
  <si>
    <t>秩序外包</t>
  </si>
  <si>
    <t>外包服务费.安全外包</t>
  </si>
  <si>
    <t>AQFW-Z-2024-0410</t>
  </si>
  <si>
    <t>CF241230000571</t>
  </si>
  <si>
    <t>AP-202412-0149738</t>
  </si>
  <si>
    <t>FK241227000305</t>
  </si>
  <si>
    <t>FK-WY.SZ.64.01-20250103-000023</t>
  </si>
  <si>
    <t>深圳市锦欣物业管理有限公司</t>
  </si>
  <si>
    <t>2024-12-27</t>
  </si>
  <si>
    <t>4000029839200229206</t>
  </si>
  <si>
    <t>中国工商银行股份有限公司深圳景田支行</t>
  </si>
  <si>
    <t>关于华富村8月12日至10月11日清洁服务费付款申请</t>
  </si>
  <si>
    <t>2025-01-13</t>
  </si>
  <si>
    <t>外包服务费.保洁外包</t>
  </si>
  <si>
    <t>HJFW-Z-2024-3105</t>
  </si>
  <si>
    <t>CF241226000390</t>
  </si>
  <si>
    <t>AP-202412-0148441</t>
  </si>
  <si>
    <t>FK241226000451</t>
  </si>
  <si>
    <t>FK-WY.SZ.64.01-20250102-000003</t>
  </si>
  <si>
    <t>2024-12-26</t>
  </si>
  <si>
    <t>450766344103</t>
  </si>
  <si>
    <t>中国银行上海市张江支行</t>
  </si>
  <si>
    <t>关于华富村项目维修工具采购的付款申请单</t>
  </si>
  <si>
    <t>ZB20210901JCWZ02</t>
  </si>
  <si>
    <t>CF241225000700</t>
  </si>
  <si>
    <t>AP-202412-0148158</t>
  </si>
  <si>
    <t>FK241226000338</t>
  </si>
  <si>
    <t>FK-WY.SZ.64.01-20250102-000007</t>
  </si>
  <si>
    <t>关于华富村绿化药品采购的付款申请</t>
  </si>
  <si>
    <t>CF241225000853</t>
  </si>
  <si>
    <t>AP-202412-0148178</t>
  </si>
  <si>
    <t>FK241226000325</t>
  </si>
  <si>
    <t>FK-WY.SZ.64.01-20250102-000004</t>
  </si>
  <si>
    <t>深圳市大众有害生物防治有限公司</t>
  </si>
  <si>
    <t>4000025209200466331</t>
  </si>
  <si>
    <t>中国工商银行股份有限公司深圳黄木岗支行</t>
  </si>
  <si>
    <t>关于华富村2024年11月份消杀服务费支付的申请</t>
  </si>
  <si>
    <t>四害消杀</t>
  </si>
  <si>
    <t>外包服务费.消杀外包</t>
  </si>
  <si>
    <t>HJFW-Z-2024-4218</t>
  </si>
  <si>
    <t>CF241226000223</t>
  </si>
  <si>
    <t>AP-202412-0148177</t>
  </si>
  <si>
    <t>FK241225000258</t>
  </si>
  <si>
    <t>FK-WY.SZ.64.01-20250102-000002</t>
  </si>
  <si>
    <t>2024-12-25</t>
  </si>
  <si>
    <t>关于华富村项目工程部作业维修工具采购的付款申请单</t>
  </si>
  <si>
    <t>工具配件</t>
  </si>
  <si>
    <t>CF241224000202</t>
  </si>
  <si>
    <t>AP-202412-0147434</t>
  </si>
  <si>
    <t>电动工具</t>
  </si>
  <si>
    <t>FK241225000048</t>
  </si>
  <si>
    <t>FK-WY.SZ.64.01-20250102-000008</t>
  </si>
  <si>
    <t>101008512010007505</t>
  </si>
  <si>
    <t>广发银行股份有限公司广州白云机场支行</t>
  </si>
  <si>
    <t>关于福投控大厦写字楼第四季度服装采购（为高4318元）</t>
  </si>
  <si>
    <t>案场服装</t>
  </si>
  <si>
    <t>ZB20220930JCWZ01</t>
  </si>
  <si>
    <t>CF241224000093</t>
  </si>
  <si>
    <t>AP-202412-0147302</t>
  </si>
  <si>
    <t>FK241224000590</t>
  </si>
  <si>
    <t>FK-WY.SZ.64.01-20250102-000001</t>
  </si>
  <si>
    <t>东莞科驱实业投资有限公司</t>
  </si>
  <si>
    <t>2024-12-24</t>
  </si>
  <si>
    <t>110120190010013071</t>
  </si>
  <si>
    <t>东莞农村商业银行股份有限公司南城支行</t>
  </si>
  <si>
    <t>关于华富村项目设备房整改标识采购的付款申请单</t>
  </si>
  <si>
    <t>XHWZ-Z-2024-0138</t>
  </si>
  <si>
    <t>CF241223000386</t>
  </si>
  <si>
    <t>AP-202412-0146611</t>
  </si>
  <si>
    <t>FK241224000505</t>
  </si>
  <si>
    <t>未审核</t>
  </si>
  <si>
    <t>FK-WY.SZ.64.01-20250103-000016</t>
  </si>
  <si>
    <t>深圳市西奥电梯有限公司</t>
  </si>
  <si>
    <t>0202100345912</t>
  </si>
  <si>
    <t>平安银行深圳福景支行</t>
  </si>
  <si>
    <t>田面2栋电梯9、10、11月维保费</t>
  </si>
  <si>
    <t>电梯维保/施工</t>
  </si>
  <si>
    <t>外包服务费.电梯维保外包</t>
  </si>
  <si>
    <t>GCFW-Z-2024-3587</t>
  </si>
  <si>
    <t>CF241127000531</t>
  </si>
  <si>
    <t>AP-202412-0146270</t>
  </si>
  <si>
    <t>FK241224000260</t>
  </si>
  <si>
    <t>FK-WY.SZ.64.01-20250102-000005</t>
  </si>
  <si>
    <t>11014596419008</t>
  </si>
  <si>
    <t>平安银行深圳罗岗支行</t>
  </si>
  <si>
    <t>关于华富村项目采购修复材料的付款申请单</t>
  </si>
  <si>
    <t>XHWZ-Z-2024-0118</t>
  </si>
  <si>
    <t>CF241223000243</t>
  </si>
  <si>
    <t>AP-202412-0146014,AP-202412-0146012</t>
  </si>
  <si>
    <t>CF241223000245</t>
  </si>
  <si>
    <t>FK241224000167</t>
  </si>
  <si>
    <t>FK-WY.SZ.64.01-20250102-000006</t>
  </si>
  <si>
    <t>关于华富村采购水泥等物料的付款申请</t>
  </si>
  <si>
    <t>XHWZ-Z-2023-0160</t>
  </si>
  <si>
    <t>CF241223000244</t>
  </si>
  <si>
    <t>AP-202412-0146013</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</si>
  <si>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</si>
  <si>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</si>
  <si>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</si>
  <si>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</si>
  <si>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</si>
  <si>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</si>
  <si>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</si>
  <si>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</si>
  <si>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</si>
  <si>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</si>
  <si>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</si>
  <si>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</si>
  <si>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</si>
  <si>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</si>
  <si>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</si>
  <si>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</si>
  <si>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</si>
  <si>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</si>
  <si>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</si>
  <si>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</si>
  <si>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</si>
  <si>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</si>
  <si>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</si>
  <si>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</si>
  <si>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</si>
  <si>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</si>
  <si>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</si>
  <si>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</si>
  <si>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</si>
  <si>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</si>
  <si>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</si>
  <si>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</si>
  <si>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</si>
  <si>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</si>
  <si>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</si>
  <si>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</si>
  <si>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</si>
  <si>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</si>
  <si>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</si>
  <si>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</si>
  <si>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</si>
  <si>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</si>
  <si>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</si>
  <si>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</si>
  <si>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</si>
  <si>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</si>
  <si>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</si>
  <si>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</si>
  <si>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</si>
  <si>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</si>
  <si>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</si>
  <si>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办公类/办公设备/电脑组件</t>
  </si>
  <si>
    <t>办公类/办公设备/摄影摄像</t>
  </si>
  <si>
    <t>办公类/办公设备/手机通讯</t>
  </si>
  <si>
    <t>办公类/办公设备/台式电脑/一体机/主机/笔记本</t>
  </si>
  <si>
    <t>办公类/办公设备/投影及配件</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</si>
  <si>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</si>
  <si>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</si>
  <si>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</si>
  <si>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</si>
  <si>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</si>
  <si>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</si>
  <si>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</si>
  <si>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</si>
  <si>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</si>
  <si>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</si>
  <si>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</si>
  <si>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</si>
  <si>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</si>
  <si>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</si>
  <si>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</si>
  <si>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</si>
  <si>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</si>
  <si>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</si>
  <si>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</si>
  <si>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</si>
  <si>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</si>
  <si>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服务类/工程服务类/水箱/水池清洁</t>
  </si>
  <si>
    <t>服务类/工程服务类/消防维保/施工</t>
  </si>
  <si>
    <t>服务类/工程服务类/智能化工程</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</si>
  <si>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</si>
  <si>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</si>
  <si>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</si>
  <si>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</si>
  <si>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</si>
  <si>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</si>
  <si>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</si>
  <si>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</si>
  <si>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</si>
  <si>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</si>
  <si>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</si>
  <si>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</si>
  <si>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</si>
  <si>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</si>
  <si>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</si>
  <si>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</si>
  <si>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</si>
  <si>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</si>
  <si>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</si>
  <si>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</si>
  <si>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</si>
  <si>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</si>
  <si>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</si>
  <si>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</si>
  <si>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</si>
  <si>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</si>
  <si>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</si>
  <si>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</si>
  <si>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</si>
  <si>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</si>
  <si>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</si>
  <si>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</si>
  <si>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</si>
  <si>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</si>
  <si>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</si>
  <si>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</si>
  <si>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</si>
  <si>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</si>
  <si>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</si>
  <si>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</si>
  <si>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</si>
  <si>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</si>
  <si>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</si>
  <si>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</si>
  <si>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</si>
  <si>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</si>
  <si>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</si>
  <si>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</si>
  <si>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</si>
  <si>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</si>
  <si>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</si>
  <si>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</si>
  <si>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</si>
  <si>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</si>
  <si>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</si>
  <si>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</si>
  <si>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</si>
  <si>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</si>
  <si>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</si>
  <si>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</si>
  <si>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</si>
  <si>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</si>
  <si>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</si>
  <si>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</si>
  <si>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</si>
  <si>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</si>
  <si>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</si>
  <si>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</si>
  <si>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</si>
  <si>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</si>
  <si>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</si>
  <si>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</si>
  <si>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</si>
  <si>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</si>
  <si>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</si>
  <si>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</si>
  <si>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</si>
  <si>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</si>
  <si>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</si>
  <si>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</si>
  <si>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</si>
  <si>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</si>
  <si>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</si>
  <si>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</si>
  <si>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</si>
  <si>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</si>
  <si>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</si>
  <si>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</si>
  <si>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</si>
  <si>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</si>
  <si>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</si>
  <si>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</si>
  <si>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</si>
  <si>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</si>
  <si>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</si>
  <si>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</si>
  <si>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</si>
  <si>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</si>
  <si>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</si>
  <si>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</si>
  <si>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</si>
  <si>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</si>
  <si>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</si>
  <si>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</si>
  <si>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</si>
  <si>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</si>
  <si>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</si>
  <si>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</si>
  <si>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</si>
  <si>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</si>
  <si>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</si>
  <si>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</si>
  <si>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工程物资/电工物料/熔断器</t>
  </si>
  <si>
    <t>工程物资/电工物料/视频线</t>
  </si>
  <si>
    <t>工程物资/电工物料/陶瓷保险管/玻璃保险管</t>
  </si>
  <si>
    <t>工程物资/电工物料/铜芯线</t>
  </si>
  <si>
    <t>工程物资/电工物料/镇流器</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</si>
  <si>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</si>
  <si>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</si>
  <si>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</si>
  <si>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</si>
  <si>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</si>
  <si>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</si>
  <si>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</si>
  <si>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</si>
  <si>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</si>
  <si>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</si>
  <si>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</si>
  <si>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</si>
  <si>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</si>
  <si>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</si>
  <si>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</si>
  <si>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</si>
  <si>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</si>
  <si>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</si>
  <si>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</si>
  <si>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</si>
  <si>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</si>
  <si>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</si>
  <si>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</si>
  <si>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</si>
  <si>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</si>
  <si>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</si>
  <si>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</si>
  <si>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</si>
  <si>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</si>
  <si>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</si>
  <si>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</si>
  <si>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</si>
  <si>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</si>
  <si>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</si>
  <si>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</si>
  <si>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</si>
  <si>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</si>
  <si>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</si>
  <si>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</si>
  <si>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</si>
  <si>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</si>
  <si>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</si>
  <si>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</si>
  <si>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</si>
  <si>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</si>
  <si>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</si>
  <si>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</si>
  <si>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</si>
  <si>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</si>
  <si>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</si>
  <si>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</si>
  <si>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</si>
  <si>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</si>
  <si>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</si>
  <si>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</si>
  <si>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</si>
  <si>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</si>
  <si>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</si>
  <si>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</si>
  <si>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</si>
  <si>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</si>
  <si>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</si>
  <si>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</si>
  <si>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</si>
  <si>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</si>
  <si>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</si>
  <si>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</si>
  <si>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</si>
  <si>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</si>
  <si>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</si>
  <si>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</si>
  <si>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</si>
  <si>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</si>
  <si>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</si>
  <si>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</si>
  <si>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</si>
  <si>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</si>
  <si>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</si>
  <si>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</si>
  <si>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</si>
  <si>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</si>
  <si>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</si>
  <si>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</si>
  <si>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</si>
  <si>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</si>
  <si>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</si>
  <si>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</si>
  <si>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</si>
  <si>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</si>
  <si>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</si>
  <si>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</si>
  <si>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</si>
  <si>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</si>
  <si>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</si>
  <si>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</si>
  <si>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</si>
  <si>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</si>
  <si>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</si>
  <si>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</si>
  <si>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</si>
  <si>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</si>
  <si>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</si>
  <si>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</si>
  <si>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</si>
  <si>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</si>
  <si>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</si>
  <si>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</si>
  <si>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</si>
  <si>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</si>
  <si>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</si>
  <si>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</si>
  <si>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</si>
  <si>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</si>
  <si>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</si>
  <si>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</si>
  <si>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</si>
  <si>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</si>
  <si>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</si>
  <si>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</si>
  <si>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</si>
  <si>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</si>
  <si>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</si>
  <si>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</si>
  <si>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</si>
  <si>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</si>
  <si>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</si>
  <si>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</si>
  <si>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</si>
  <si>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</si>
  <si>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</si>
  <si>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</si>
  <si>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</si>
  <si>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</si>
  <si>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</si>
  <si>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</si>
  <si>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</si>
  <si>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</si>
  <si>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</si>
  <si>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</si>
  <si>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</si>
  <si>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</si>
  <si>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</si>
  <si>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</si>
  <si>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</si>
  <si>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</si>
  <si>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</si>
  <si>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</si>
  <si>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</si>
  <si>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</si>
  <si>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</si>
  <si>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</si>
  <si>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</si>
  <si>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</si>
  <si>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</si>
  <si>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</si>
  <si>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</si>
  <si>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</si>
  <si>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</si>
  <si>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</si>
  <si>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</si>
  <si>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</si>
  <si>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</si>
  <si>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</si>
  <si>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</si>
  <si>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</si>
  <si>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</si>
  <si>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</si>
  <si>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</si>
  <si>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</si>
  <si>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</si>
  <si>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</si>
  <si>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</si>
  <si>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</si>
  <si>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</si>
  <si>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</si>
  <si>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工程物资/手动工具/游标卡尺</t>
  </si>
  <si>
    <t>工程物资/五金辅料/IC卡（更新中）</t>
  </si>
  <si>
    <t>工程物资/五金辅料/PVC胶水</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</si>
  <si>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</si>
  <si>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</si>
  <si>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</si>
  <si>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</si>
  <si>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</si>
  <si>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</si>
  <si>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</si>
  <si>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</si>
  <si>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</si>
  <si>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</si>
  <si>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</si>
  <si>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</si>
  <si>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</si>
  <si>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</si>
  <si>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</si>
  <si>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</si>
  <si>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</si>
  <si>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</si>
  <si>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</si>
  <si>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</si>
  <si>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</si>
  <si>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工程物资/五金辅料/电焊面罩（更新中）</t>
  </si>
  <si>
    <t>工程物资/五金辅料/电焊手套（更新中）</t>
  </si>
  <si>
    <t>工程物资/五金辅料/电源适配器</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</si>
  <si>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</si>
  <si>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</si>
  <si>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</si>
  <si>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</si>
  <si>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</si>
  <si>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</si>
  <si>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</si>
  <si>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</si>
  <si>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</si>
  <si>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</si>
  <si>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</si>
  <si>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</si>
  <si>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</si>
  <si>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</si>
  <si>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</si>
  <si>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</si>
  <si>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工程物资/五金辅料/井盖/排水沟盖板</t>
  </si>
  <si>
    <t>工程物资/五金辅料/井盖提钩</t>
  </si>
  <si>
    <t>工程物资/五金辅料/警示贴/警示胶带</t>
  </si>
  <si>
    <t>工程物资/五金辅料/绝缘垫</t>
  </si>
  <si>
    <t>工程物资/五金辅料/绝缘鞋（更新中）</t>
  </si>
  <si>
    <t>工程物资/五金辅料/螺钉</t>
  </si>
  <si>
    <t>工程物资/五金辅料/螺母</t>
  </si>
  <si>
    <t>工程物资/五金辅料/螺丝/燕尾螺丝/拉爆螺丝</t>
  </si>
  <si>
    <t>工程物资/五金辅料/铝塑板</t>
  </si>
  <si>
    <t>工程物资/五金辅料/马桶水箱（更新中）</t>
  </si>
  <si>
    <t>工程物资/五金辅料/毛巾架</t>
  </si>
  <si>
    <t>工程物资/五金辅料/门把手套</t>
  </si>
  <si>
    <t>工程物资/五金辅料/门合页/不锈钢合页</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</si>
  <si>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</si>
  <si>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</si>
  <si>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</si>
  <si>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</si>
  <si>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</si>
  <si>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</si>
  <si>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</si>
  <si>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</si>
  <si>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</si>
  <si>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</si>
  <si>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</si>
  <si>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</si>
  <si>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</si>
  <si>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</si>
  <si>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</si>
  <si>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</si>
  <si>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</si>
  <si>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</si>
  <si>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工程物资/五金辅料/时控器</t>
  </si>
  <si>
    <t>工程物资/五金辅料/室外消防栓防冻护套</t>
  </si>
  <si>
    <t>工程物资/五金辅料/手电筒</t>
  </si>
  <si>
    <t>工程物资/五金辅料/水表</t>
  </si>
  <si>
    <t>工程物资/五金辅料/水晶头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</si>
  <si>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</si>
  <si>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</si>
  <si>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</si>
  <si>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</si>
  <si>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</si>
  <si>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</si>
  <si>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</si>
  <si>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</si>
  <si>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工程物资/五金辅料/头灯</t>
  </si>
  <si>
    <t>工程物资/五金辅料/拖线盘</t>
  </si>
  <si>
    <t>工程物资/五金辅料/万能胶/502胶水</t>
  </si>
  <si>
    <t>工程物资/五金辅料/吸盘</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</si>
  <si>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</si>
  <si>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</si>
  <si>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</si>
  <si>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</si>
  <si>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</si>
  <si>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</si>
  <si>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</si>
  <si>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</si>
  <si>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工程物资/五金辅料/栅栏（更新中）</t>
  </si>
  <si>
    <t>工程物资/仪器仪表/测距仪</t>
  </si>
  <si>
    <t>工程物资/仪器仪表/电流表</t>
  </si>
  <si>
    <t>工程物资/仪器仪表/风速仪</t>
  </si>
  <si>
    <t>工程物资/仪器仪表/干湿温度计</t>
  </si>
  <si>
    <t>工程物资/仪器仪表/红外线测温仪</t>
  </si>
  <si>
    <t>工程物资/仪器仪表/接地电阻测试仪</t>
  </si>
  <si>
    <t>工程物资/仪器仪表/欧姆表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</si>
  <si>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</si>
  <si>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</si>
  <si>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</si>
  <si>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</si>
  <si>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</si>
  <si>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</si>
  <si>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</si>
  <si>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</si>
  <si>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</si>
  <si>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</si>
  <si>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</si>
  <si>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</si>
  <si>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</si>
  <si>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</si>
  <si>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</si>
  <si>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</si>
  <si>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</si>
  <si>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</si>
  <si>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</si>
  <si>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</si>
  <si>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</si>
  <si>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</si>
  <si>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</si>
  <si>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</si>
  <si>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</si>
  <si>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</si>
  <si>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</si>
  <si>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</si>
  <si>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</si>
  <si>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</si>
  <si>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家居生活/厨房卫浴/厨具</t>
  </si>
  <si>
    <t>家居生活/厨房卫浴/厨卫大电</t>
  </si>
  <si>
    <t>家居生活/厨房卫浴/厨卫建材</t>
  </si>
  <si>
    <t>家居生活/厨房卫浴/商用电器</t>
  </si>
  <si>
    <t>家居生活/厨房卫浴/生活电器</t>
  </si>
  <si>
    <t>家居生活/家居家具/户外玩具/游乐设施/户外装饰</t>
  </si>
  <si>
    <t>家居生活/家居家具/家纺</t>
  </si>
  <si>
    <t>家居生活/家居家具/家具</t>
  </si>
  <si>
    <t>家居生活/家居家具/饰品</t>
  </si>
  <si>
    <t>家居生活/日杂生活/动物</t>
  </si>
  <si>
    <t>活动物资及礼品</t>
  </si>
  <si>
    <t>家居生活/日杂生活/食品饮料酒水</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</si>
  <si>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</si>
  <si>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</si>
  <si>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</si>
  <si>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</si>
  <si>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</si>
  <si>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</si>
  <si>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</si>
  <si>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</si>
  <si>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</si>
  <si>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</si>
  <si>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</si>
  <si>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</si>
  <si>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</si>
  <si>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</si>
  <si>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</si>
  <si>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</si>
  <si>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</si>
  <si>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</si>
  <si>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</si>
  <si>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</si>
  <si>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</si>
  <si>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</si>
  <si>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</si>
  <si>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</si>
  <si>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</si>
  <si>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</si>
  <si>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</si>
  <si>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</si>
  <si>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</si>
  <si>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</si>
  <si>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</si>
  <si>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</si>
  <si>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</si>
  <si>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</si>
  <si>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</si>
  <si>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</si>
  <si>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</si>
  <si>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绿化类/绿化工具及辅材/竹杆（更新中）</t>
  </si>
  <si>
    <t>绿化类/绿化设备/草坪机</t>
  </si>
  <si>
    <t>绿化类/绿化设备/吹叶机</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</si>
  <si>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</si>
  <si>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</si>
  <si>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</si>
  <si>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</si>
  <si>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</si>
  <si>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</si>
  <si>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</si>
  <si>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</si>
  <si>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</si>
  <si>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</si>
  <si>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</si>
  <si>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</si>
  <si>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</si>
  <si>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</si>
  <si>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绿化类/农药化肥/工业盐</t>
  </si>
  <si>
    <t>绿化类/农药化肥/泥炭土/营养土</t>
  </si>
  <si>
    <t>绿化类/农药化肥/尿素</t>
  </si>
  <si>
    <t>绿化类/农药化肥/其他化肥</t>
  </si>
  <si>
    <t>绿化类/农药化肥/其他农药</t>
  </si>
  <si>
    <t>绿化类/农药化肥/生石灰粉</t>
  </si>
  <si>
    <t>绿化类/农药化肥/营养液</t>
  </si>
  <si>
    <t>清洁物资类/地垫地毯/地垫</t>
  </si>
  <si>
    <t>清洁物资类/地垫地毯/其他地毯地垫</t>
  </si>
  <si>
    <t>清洁物资类/翻新护理/护理腊水</t>
  </si>
  <si>
    <t>清洁物资类/翻新护理/木地板护理</t>
  </si>
  <si>
    <t>清洁物资类/翻新护理/石材护理</t>
  </si>
  <si>
    <t>清洁物资类/垃圾桶/户外垃圾桶</t>
  </si>
  <si>
    <t>清洁物资类/垃圾桶/垃圾篓/小垃圾桶</t>
  </si>
  <si>
    <t>清洁物资类/清洁工具/杯刷</t>
  </si>
  <si>
    <t>清洁物资类/清洁工具/玻璃擦</t>
  </si>
  <si>
    <t>清洁物资类/清洁工具/布草袋</t>
  </si>
  <si>
    <t>清洁物资类/清洁工具/厕所泵</t>
  </si>
  <si>
    <t>清洁物资类/清洁工具/地拖把（更新中）</t>
  </si>
  <si>
    <t>清洁物资类/清洁工具/斗车</t>
  </si>
  <si>
    <t>清洁物资类/清洁工具/火钳</t>
  </si>
  <si>
    <t>清洁物资类/清洁工具/垃圾铲</t>
  </si>
  <si>
    <t>清洁物资类/清洁工具/清洁手推车</t>
  </si>
  <si>
    <t>清洁物资类/清洁工具/清洁套装</t>
  </si>
  <si>
    <t>清洁物资类/清洁工具/伸缩杆</t>
  </si>
  <si>
    <t>清洁物资类/清洁工具/拾物夹</t>
  </si>
  <si>
    <t>清洁物资类/清洁工具/收纳工具</t>
  </si>
  <si>
    <t>清洁物资类/清洁工具/水刮</t>
  </si>
  <si>
    <t>清洁物资类/清洁工具/水管</t>
  </si>
  <si>
    <t>清洁物资类/清洁工具/水瓢</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</si>
  <si>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</si>
  <si>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</si>
  <si>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</si>
  <si>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</si>
  <si>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</si>
  <si>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</si>
  <si>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清洁物资类/清洁耗材/草帽（更新中）</t>
  </si>
  <si>
    <t>清洁物资类/清洁耗材/刀片（更新中）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</si>
  <si>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</si>
  <si>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</si>
  <si>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</si>
  <si>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</si>
  <si>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</si>
  <si>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</si>
  <si>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</si>
  <si>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</si>
  <si>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</si>
  <si>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</si>
  <si>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</si>
  <si>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</si>
  <si>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</si>
  <si>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清洁物资类/清洁剂（更新中）/草酸/盐酸（更新中）</t>
  </si>
  <si>
    <t>清洁物资类/清洁剂（更新中）/尘推油（更新中）</t>
  </si>
  <si>
    <t>清洁物资类/清洁剂（更新中）/除锈清洁剂（更新中）</t>
  </si>
  <si>
    <t>清洁物资类/清洁剂（更新中）/除油剂/化油剂（更新中）</t>
  </si>
  <si>
    <t>清洁物资类/清洁剂（更新中）/肥皂（更新中）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</si>
  <si>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</si>
  <si>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</si>
  <si>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</si>
  <si>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</si>
  <si>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</si>
  <si>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</si>
  <si>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</si>
  <si>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</si>
  <si>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</si>
  <si>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</si>
  <si>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</si>
  <si>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</si>
  <si>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清洁物资类/清洁剂（更新中）/洗手液（更新中）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</si>
  <si>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</si>
  <si>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</si>
  <si>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</si>
  <si>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</si>
  <si>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</si>
  <si>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</si>
  <si>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清洁物资类/清洁设备/其他清洁设备</t>
  </si>
  <si>
    <t>清洁物资类/清洁设备/扫雪机</t>
  </si>
  <si>
    <t>清洁物资类/清洁设备/洗地机</t>
  </si>
  <si>
    <t>清洁物资类/清洁设备配件（更新中）/扫雪机配件（更新中）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</si>
  <si>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</si>
  <si>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</si>
  <si>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</si>
  <si>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</si>
  <si>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</si>
  <si>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</si>
  <si>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</si>
  <si>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</si>
  <si>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</si>
  <si>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</si>
  <si>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</si>
  <si>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</si>
  <si>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</si>
  <si>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</si>
  <si>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</si>
  <si>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</si>
  <si>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</si>
  <si>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</si>
  <si>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</si>
  <si>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</si>
  <si>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</si>
  <si>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</si>
  <si>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</si>
  <si>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</si>
  <si>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</si>
  <si>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</si>
  <si>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</si>
  <si>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</si>
  <si>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</si>
  <si>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</si>
  <si>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清洁物资类/有害生物防治（更新中）/雄黄粉（更新中）</t>
  </si>
  <si>
    <t>清洁物资类/有害生物防治（更新中）/粘鼠板（更新中）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</si>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</sst>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5">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8"/>
      <name val="宋体"/>
      <charset val="134"/>
    </font>
    <font>
      <sz val="11"/>
      <color rgb="FFFF000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sz val="9"/>
      <name val="宋体"/>
      <charset val="134"/>
    </font>
    <font>
      <b/>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rgb="FFC0C0C0"/>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92D050"/>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0" fillId="46" borderId="35"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36"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57" fillId="47" borderId="38" applyNumberFormat="0" applyAlignment="0" applyProtection="0">
      <alignment vertical="center"/>
    </xf>
    <xf numFmtId="0" fontId="58" fillId="48" borderId="39" applyNumberFormat="0" applyAlignment="0" applyProtection="0">
      <alignment vertical="center"/>
    </xf>
    <xf numFmtId="0" fontId="59" fillId="48" borderId="38" applyNumberFormat="0" applyAlignment="0" applyProtection="0">
      <alignment vertical="center"/>
    </xf>
    <xf numFmtId="0" fontId="60" fillId="49" borderId="40" applyNumberFormat="0" applyAlignment="0" applyProtection="0">
      <alignment vertical="center"/>
    </xf>
    <xf numFmtId="0" fontId="61" fillId="0" borderId="41" applyNumberFormat="0" applyFill="0" applyAlignment="0" applyProtection="0">
      <alignment vertical="center"/>
    </xf>
    <xf numFmtId="0" fontId="62" fillId="0" borderId="42" applyNumberFormat="0" applyFill="0" applyAlignment="0" applyProtection="0">
      <alignment vertical="center"/>
    </xf>
    <xf numFmtId="0" fontId="63" fillId="50" borderId="0" applyNumberFormat="0" applyBorder="0" applyAlignment="0" applyProtection="0">
      <alignment vertical="center"/>
    </xf>
    <xf numFmtId="0" fontId="64" fillId="51" borderId="0" applyNumberFormat="0" applyBorder="0" applyAlignment="0" applyProtection="0">
      <alignment vertical="center"/>
    </xf>
    <xf numFmtId="0" fontId="65" fillId="52" borderId="0" applyNumberFormat="0" applyBorder="0" applyAlignment="0" applyProtection="0">
      <alignment vertical="center"/>
    </xf>
    <xf numFmtId="0" fontId="66" fillId="15" borderId="0" applyNumberFormat="0" applyBorder="0" applyAlignment="0" applyProtection="0">
      <alignment vertical="center"/>
    </xf>
    <xf numFmtId="0" fontId="67" fillId="39" borderId="0" applyNumberFormat="0" applyBorder="0" applyAlignment="0" applyProtection="0">
      <alignment vertical="center"/>
    </xf>
    <xf numFmtId="0" fontId="67" fillId="34" borderId="0" applyNumberFormat="0" applyBorder="0" applyAlignment="0" applyProtection="0">
      <alignment vertical="center"/>
    </xf>
    <xf numFmtId="0" fontId="66" fillId="53" borderId="0" applyNumberFormat="0" applyBorder="0" applyAlignment="0" applyProtection="0">
      <alignment vertical="center"/>
    </xf>
    <xf numFmtId="0" fontId="66" fillId="19" borderId="0" applyNumberFormat="0" applyBorder="0" applyAlignment="0" applyProtection="0">
      <alignment vertical="center"/>
    </xf>
    <xf numFmtId="0" fontId="67" fillId="54" borderId="0" applyNumberFormat="0" applyBorder="0" applyAlignment="0" applyProtection="0">
      <alignment vertical="center"/>
    </xf>
    <xf numFmtId="0" fontId="67" fillId="55" borderId="0" applyNumberFormat="0" applyBorder="0" applyAlignment="0" applyProtection="0">
      <alignment vertical="center"/>
    </xf>
    <xf numFmtId="0" fontId="66" fillId="56" borderId="0" applyNumberFormat="0" applyBorder="0" applyAlignment="0" applyProtection="0">
      <alignment vertical="center"/>
    </xf>
    <xf numFmtId="0" fontId="66" fillId="5" borderId="0" applyNumberFormat="0" applyBorder="0" applyAlignment="0" applyProtection="0">
      <alignment vertical="center"/>
    </xf>
    <xf numFmtId="0" fontId="67" fillId="38" borderId="0" applyNumberFormat="0" applyBorder="0" applyAlignment="0" applyProtection="0">
      <alignment vertical="center"/>
    </xf>
    <xf numFmtId="0" fontId="67" fillId="57" borderId="0" applyNumberFormat="0" applyBorder="0" applyAlignment="0" applyProtection="0">
      <alignment vertical="center"/>
    </xf>
    <xf numFmtId="0" fontId="66" fillId="58" borderId="0" applyNumberFormat="0" applyBorder="0" applyAlignment="0" applyProtection="0">
      <alignment vertical="center"/>
    </xf>
    <xf numFmtId="0" fontId="66" fillId="8" borderId="0" applyNumberFormat="0" applyBorder="0" applyAlignment="0" applyProtection="0">
      <alignment vertical="center"/>
    </xf>
    <xf numFmtId="0" fontId="67" fillId="40" borderId="0" applyNumberFormat="0" applyBorder="0" applyAlignment="0" applyProtection="0">
      <alignment vertical="center"/>
    </xf>
    <xf numFmtId="0" fontId="67" fillId="59" borderId="0" applyNumberFormat="0" applyBorder="0" applyAlignment="0" applyProtection="0">
      <alignment vertical="center"/>
    </xf>
    <xf numFmtId="0" fontId="66" fillId="60" borderId="0" applyNumberFormat="0" applyBorder="0" applyAlignment="0" applyProtection="0">
      <alignment vertical="center"/>
    </xf>
    <xf numFmtId="0" fontId="66" fillId="61" borderId="0" applyNumberFormat="0" applyBorder="0" applyAlignment="0" applyProtection="0">
      <alignment vertical="center"/>
    </xf>
    <xf numFmtId="0" fontId="67" fillId="62" borderId="0" applyNumberFormat="0" applyBorder="0" applyAlignment="0" applyProtection="0">
      <alignment vertical="center"/>
    </xf>
    <xf numFmtId="0" fontId="67" fillId="63" borderId="0" applyNumberFormat="0" applyBorder="0" applyAlignment="0" applyProtection="0">
      <alignment vertical="center"/>
    </xf>
    <xf numFmtId="0" fontId="66" fillId="64" borderId="0" applyNumberFormat="0" applyBorder="0" applyAlignment="0" applyProtection="0">
      <alignment vertical="center"/>
    </xf>
    <xf numFmtId="0" fontId="66" fillId="65" borderId="0" applyNumberFormat="0" applyBorder="0" applyAlignment="0" applyProtection="0">
      <alignment vertical="center"/>
    </xf>
    <xf numFmtId="0" fontId="67" fillId="66" borderId="0" applyNumberFormat="0" applyBorder="0" applyAlignment="0" applyProtection="0">
      <alignment vertical="center"/>
    </xf>
    <xf numFmtId="0" fontId="67" fillId="67" borderId="0" applyNumberFormat="0" applyBorder="0" applyAlignment="0" applyProtection="0">
      <alignment vertical="center"/>
    </xf>
    <xf numFmtId="0" fontId="66" fillId="68" borderId="0" applyNumberFormat="0" applyBorder="0" applyAlignment="0" applyProtection="0">
      <alignment vertical="center"/>
    </xf>
    <xf numFmtId="176" fontId="9" fillId="0" borderId="0" applyNumberFormat="0" applyFill="0" applyBorder="0" applyAlignment="0" applyProtection="0"/>
    <xf numFmtId="0" fontId="0" fillId="0" borderId="0"/>
    <xf numFmtId="176" fontId="0" fillId="0" borderId="0">
      <alignment vertical="center"/>
    </xf>
    <xf numFmtId="176" fontId="5" fillId="0" borderId="0"/>
    <xf numFmtId="0" fontId="9" fillId="0" borderId="0" applyFill="0" applyBorder="0">
      <alignment vertical="top"/>
    </xf>
    <xf numFmtId="0" fontId="68" fillId="0" borderId="0" applyFill="0" applyBorder="0">
      <alignment vertical="top"/>
    </xf>
  </cellStyleXfs>
  <cellXfs count="46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 fontId="0" fillId="0" borderId="0" xfId="0" applyNumberFormat="1" applyAlignment="1">
      <alignment horizontal="right" vertical="center"/>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3" borderId="7" xfId="0" applyFill="1" applyBorder="1" applyAlignment="1">
      <alignment vertical="center"/>
    </xf>
    <xf numFmtId="0" fontId="0" fillId="0" borderId="0" xfId="0" applyFont="1" applyFill="1" applyAlignment="1">
      <alignment horizontal="center"/>
    </xf>
    <xf numFmtId="0" fontId="3" fillId="0" borderId="0" xfId="0" applyFont="1">
      <alignment vertical="center"/>
    </xf>
    <xf numFmtId="0" fontId="7" fillId="0" borderId="0" xfId="0" applyFont="1" applyFill="1" applyAlignment="1">
      <alignment vertical="center"/>
    </xf>
    <xf numFmtId="178" fontId="7" fillId="0" borderId="0" xfId="0" applyNumberFormat="1" applyFont="1" applyFill="1" applyAlignment="1">
      <alignment horizontal="left" vertical="center"/>
    </xf>
    <xf numFmtId="49" fontId="8" fillId="0" borderId="0" xfId="0" applyNumberFormat="1" applyFont="1" applyFill="1" applyAlignment="1">
      <alignment vertical="top" wrapText="1"/>
    </xf>
    <xf numFmtId="0" fontId="7" fillId="14" borderId="0" xfId="0" applyFont="1" applyFill="1" applyAlignment="1">
      <alignment vertical="center"/>
    </xf>
    <xf numFmtId="0" fontId="8" fillId="14" borderId="0" xfId="0" applyFont="1" applyFill="1" applyAlignment="1">
      <alignment vertical="center"/>
    </xf>
    <xf numFmtId="49" fontId="7" fillId="0" borderId="0" xfId="0" applyNumberFormat="1" applyFont="1" applyFill="1" applyAlignment="1">
      <alignment vertical="center" wrapText="1"/>
    </xf>
    <xf numFmtId="3" fontId="7" fillId="0" borderId="0" xfId="0" applyNumberFormat="1" applyFont="1" applyFill="1" applyAlignment="1">
      <alignment horizontal="right" vertical="center"/>
    </xf>
    <xf numFmtId="179" fontId="7" fillId="0" borderId="0" xfId="0" applyNumberFormat="1" applyFont="1" applyFill="1" applyAlignment="1">
      <alignment horizontal="right" vertical="center"/>
    </xf>
    <xf numFmtId="4" fontId="7" fillId="0" borderId="0" xfId="0" applyNumberFormat="1" applyFont="1" applyFill="1" applyAlignment="1">
      <alignment horizontal="right" vertical="center"/>
    </xf>
    <xf numFmtId="180" fontId="7" fillId="0" borderId="0" xfId="0" applyNumberFormat="1" applyFont="1" applyFill="1" applyAlignment="1">
      <alignment horizontal="right" vertical="center"/>
    </xf>
    <xf numFmtId="181" fontId="7" fillId="0" borderId="0" xfId="0" applyNumberFormat="1" applyFont="1" applyFill="1" applyAlignment="1">
      <alignment horizontal="left" vertical="center"/>
    </xf>
    <xf numFmtId="0" fontId="9" fillId="0" borderId="0" xfId="0" applyFont="1" applyFill="1" applyAlignment="1">
      <alignment horizontal="left" vertical="center" wrapText="1"/>
    </xf>
    <xf numFmtId="0" fontId="3" fillId="0" borderId="0" xfId="0" applyFont="1" applyFill="1" applyAlignment="1">
      <alignment vertical="center"/>
    </xf>
    <xf numFmtId="0" fontId="9"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10" fillId="15" borderId="7" xfId="0" applyFont="1" applyFill="1" applyBorder="1" applyAlignment="1">
      <alignment horizontal="center" vertical="center" wrapText="1"/>
    </xf>
    <xf numFmtId="0" fontId="10" fillId="16"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1" fillId="11" borderId="7" xfId="0" applyFont="1" applyFill="1" applyBorder="1">
      <alignment vertical="center"/>
    </xf>
    <xf numFmtId="0" fontId="11" fillId="17" borderId="7" xfId="0" applyFont="1" applyFill="1" applyBorder="1">
      <alignment vertical="center"/>
    </xf>
    <xf numFmtId="0" fontId="11" fillId="0" borderId="7" xfId="0" applyFont="1" applyBorder="1">
      <alignment vertical="center"/>
    </xf>
    <xf numFmtId="0" fontId="4" fillId="0" borderId="7" xfId="0" applyFont="1" applyBorder="1" applyAlignment="1">
      <alignment horizontal="left" vertical="center" wrapText="1"/>
    </xf>
    <xf numFmtId="0" fontId="12" fillId="0" borderId="7" xfId="0" applyFont="1" applyBorder="1" applyAlignment="1">
      <alignment horizontal="left" vertical="center" wrapText="1"/>
    </xf>
    <xf numFmtId="0" fontId="13" fillId="0" borderId="7" xfId="0" applyFont="1" applyBorder="1" applyAlignment="1">
      <alignment horizontal="left" vertical="center" wrapText="1"/>
    </xf>
    <xf numFmtId="0" fontId="12" fillId="0" borderId="7" xfId="0" applyFont="1" applyBorder="1" applyAlignment="1">
      <alignment horizontal="center" vertical="center" wrapText="1"/>
    </xf>
    <xf numFmtId="0" fontId="10" fillId="15" borderId="8" xfId="0" applyFont="1" applyFill="1" applyBorder="1" applyAlignment="1">
      <alignment horizontal="center" vertical="center" wrapText="1"/>
    </xf>
    <xf numFmtId="0" fontId="10" fillId="18" borderId="8" xfId="0" applyFont="1" applyFill="1" applyBorder="1" applyAlignment="1">
      <alignment horizontal="center" vertical="center" wrapText="1"/>
    </xf>
    <xf numFmtId="0" fontId="10" fillId="18" borderId="7" xfId="0" applyFont="1" applyFill="1" applyBorder="1" applyAlignment="1">
      <alignment horizontal="center" vertical="center" wrapText="1"/>
    </xf>
    <xf numFmtId="0" fontId="4" fillId="18" borderId="7" xfId="0" applyFont="1" applyFill="1" applyBorder="1" applyAlignment="1">
      <alignment horizontal="center" vertical="center" wrapText="1"/>
    </xf>
    <xf numFmtId="0" fontId="10" fillId="15" borderId="9" xfId="0" applyFont="1" applyFill="1" applyBorder="1" applyAlignment="1">
      <alignment horizontal="center" vertical="center" wrapText="1"/>
    </xf>
    <xf numFmtId="0" fontId="10" fillId="15" borderId="10" xfId="0" applyFont="1" applyFill="1" applyBorder="1" applyAlignment="1">
      <alignment horizontal="center" vertical="center" wrapText="1"/>
    </xf>
    <xf numFmtId="0" fontId="10" fillId="18" borderId="10" xfId="0" applyFont="1" applyFill="1" applyBorder="1" applyAlignment="1">
      <alignment horizontal="center" vertical="center" wrapText="1"/>
    </xf>
    <xf numFmtId="0" fontId="10" fillId="15" borderId="11" xfId="0" applyFont="1" applyFill="1" applyBorder="1" applyAlignment="1">
      <alignment horizontal="center" vertical="center" wrapText="1"/>
    </xf>
    <xf numFmtId="0" fontId="10" fillId="15" borderId="12" xfId="0" applyFont="1" applyFill="1" applyBorder="1" applyAlignment="1">
      <alignment horizontal="center" vertical="center" wrapText="1"/>
    </xf>
    <xf numFmtId="0" fontId="10" fillId="18" borderId="12" xfId="0" applyFont="1" applyFill="1" applyBorder="1" applyAlignment="1">
      <alignment horizontal="center" vertical="center" wrapText="1"/>
    </xf>
    <xf numFmtId="0" fontId="10" fillId="18" borderId="7" xfId="0" applyFont="1" applyFill="1" applyBorder="1" applyAlignment="1">
      <alignment horizontal="left" vertical="center" wrapText="1"/>
    </xf>
    <xf numFmtId="0" fontId="14" fillId="16" borderId="7" xfId="0" applyFont="1" applyFill="1" applyBorder="1" applyAlignment="1">
      <alignment horizontal="center" vertical="center" wrapText="1"/>
    </xf>
    <xf numFmtId="0" fontId="10" fillId="16" borderId="7" xfId="0" applyFont="1" applyFill="1" applyBorder="1" applyAlignment="1">
      <alignment horizontal="left" vertical="center" wrapText="1"/>
    </xf>
    <xf numFmtId="0" fontId="14" fillId="16" borderId="7" xfId="0" applyFont="1" applyFill="1" applyBorder="1" applyAlignment="1">
      <alignment horizontal="left" vertical="center" wrapText="1"/>
    </xf>
    <xf numFmtId="0" fontId="4" fillId="16" borderId="7" xfId="0" applyFont="1" applyFill="1" applyBorder="1" applyAlignment="1">
      <alignment horizontal="center" vertical="center" wrapText="1"/>
    </xf>
    <xf numFmtId="182" fontId="10" fillId="16"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2"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4" fillId="19" borderId="7" xfId="0" applyNumberFormat="1" applyFont="1" applyFill="1" applyBorder="1" applyAlignment="1">
      <alignment horizontal="right" vertical="center" wrapText="1"/>
    </xf>
    <xf numFmtId="43" fontId="12"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2" fillId="5" borderId="7" xfId="0" applyNumberFormat="1" applyFont="1" applyFill="1" applyBorder="1" applyAlignment="1">
      <alignment horizontal="right" vertical="center" wrapText="1"/>
    </xf>
    <xf numFmtId="43" fontId="12"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2" fillId="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12" fillId="20" borderId="7" xfId="0" applyNumberFormat="1" applyFont="1" applyFill="1" applyBorder="1" applyAlignment="1">
      <alignment horizontal="center" vertical="center" wrapText="1"/>
    </xf>
    <xf numFmtId="49" fontId="4" fillId="20" borderId="7" xfId="0" applyNumberFormat="1" applyFont="1" applyFill="1" applyBorder="1" applyAlignment="1">
      <alignment horizontal="left" vertical="center" wrapText="1"/>
    </xf>
    <xf numFmtId="182" fontId="12" fillId="20"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2"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2" fillId="0" borderId="7" xfId="0" applyNumberFormat="1" applyFont="1" applyBorder="1" applyAlignment="1">
      <alignment horizontal="right" vertical="center" wrapText="1"/>
    </xf>
    <xf numFmtId="43" fontId="4" fillId="21" borderId="13" xfId="0" applyNumberFormat="1" applyFont="1" applyFill="1" applyBorder="1" applyAlignment="1">
      <alignment horizontal="left" vertical="center" wrapText="1"/>
    </xf>
    <xf numFmtId="43" fontId="4" fillId="21" borderId="14" xfId="0" applyNumberFormat="1" applyFont="1" applyFill="1" applyBorder="1" applyAlignment="1">
      <alignment horizontal="left" vertical="center" wrapText="1"/>
    </xf>
    <xf numFmtId="43" fontId="4" fillId="21" borderId="15" xfId="0" applyNumberFormat="1" applyFont="1" applyFill="1" applyBorder="1" applyAlignment="1">
      <alignment horizontal="left" vertical="center" wrapText="1"/>
    </xf>
    <xf numFmtId="182" fontId="12" fillId="21" borderId="7" xfId="0" applyNumberFormat="1" applyFont="1" applyFill="1" applyBorder="1" applyAlignment="1">
      <alignment horizontal="right" vertical="center" wrapText="1"/>
    </xf>
    <xf numFmtId="43" fontId="4" fillId="22"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2"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2" fillId="11" borderId="7" xfId="0" applyNumberFormat="1" applyFont="1" applyFill="1" applyBorder="1" applyAlignment="1">
      <alignment horizontal="right" vertical="center" wrapText="1"/>
    </xf>
    <xf numFmtId="0" fontId="10" fillId="23" borderId="7" xfId="0" applyFont="1" applyFill="1" applyBorder="1" applyAlignment="1">
      <alignment horizontal="center" vertical="center" wrapText="1"/>
    </xf>
    <xf numFmtId="0" fontId="10" fillId="24"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9" xfId="0" applyFont="1" applyFill="1" applyBorder="1" applyAlignment="1">
      <alignment horizontal="left" vertical="center" wrapText="1"/>
    </xf>
    <xf numFmtId="0" fontId="10" fillId="24" borderId="12"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11" xfId="0" applyFont="1" applyFill="1" applyBorder="1" applyAlignment="1">
      <alignment horizontal="left" vertical="center" wrapText="1"/>
    </xf>
    <xf numFmtId="0" fontId="10" fillId="24"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5" fillId="8" borderId="7" xfId="0" applyFont="1" applyFill="1" applyBorder="1" applyAlignment="1">
      <alignment horizontal="center" vertical="center" wrapText="1"/>
    </xf>
    <xf numFmtId="182" fontId="10" fillId="16" borderId="7" xfId="0" applyNumberFormat="1" applyFont="1" applyFill="1" applyBorder="1" applyAlignment="1">
      <alignment horizontal="left" vertical="center" wrapText="1"/>
    </xf>
    <xf numFmtId="182" fontId="4" fillId="19" borderId="7" xfId="0" applyNumberFormat="1" applyFont="1" applyFill="1" applyBorder="1" applyAlignment="1">
      <alignment horizontal="left" vertical="center" wrapText="1"/>
    </xf>
    <xf numFmtId="182" fontId="12" fillId="5" borderId="7" xfId="0" applyNumberFormat="1" applyFont="1" applyFill="1" applyBorder="1" applyAlignment="1">
      <alignment horizontal="left" vertical="center" wrapText="1"/>
    </xf>
    <xf numFmtId="182" fontId="12" fillId="9" borderId="7" xfId="0" applyNumberFormat="1" applyFont="1" applyFill="1" applyBorder="1" applyAlignment="1">
      <alignment horizontal="left" vertical="center" wrapText="1"/>
    </xf>
    <xf numFmtId="182" fontId="12" fillId="20" borderId="7" xfId="0" applyNumberFormat="1" applyFont="1" applyFill="1" applyBorder="1" applyAlignment="1">
      <alignment horizontal="left" vertical="center" wrapText="1"/>
    </xf>
    <xf numFmtId="182" fontId="12" fillId="2" borderId="7" xfId="0" applyNumberFormat="1" applyFont="1" applyFill="1" applyBorder="1" applyAlignment="1">
      <alignment horizontal="left" vertical="center" wrapText="1"/>
    </xf>
    <xf numFmtId="182" fontId="12" fillId="0" borderId="7" xfId="0" applyNumberFormat="1" applyFont="1" applyBorder="1" applyAlignment="1">
      <alignment horizontal="left" vertical="center" wrapText="1"/>
    </xf>
    <xf numFmtId="182" fontId="12" fillId="21" borderId="7" xfId="0" applyNumberFormat="1" applyFont="1" applyFill="1" applyBorder="1" applyAlignment="1">
      <alignment horizontal="left" vertical="center" wrapText="1"/>
    </xf>
    <xf numFmtId="182" fontId="12" fillId="0" borderId="7" xfId="0" applyNumberFormat="1" applyFont="1" applyFill="1" applyBorder="1" applyAlignment="1">
      <alignment horizontal="right" vertical="center" wrapText="1"/>
    </xf>
    <xf numFmtId="182" fontId="12" fillId="0" borderId="7" xfId="0" applyNumberFormat="1" applyFont="1" applyFill="1" applyBorder="1" applyAlignment="1">
      <alignment horizontal="left" vertical="center" wrapText="1"/>
    </xf>
    <xf numFmtId="182" fontId="12" fillId="11" borderId="7" xfId="0" applyNumberFormat="1" applyFont="1" applyFill="1" applyBorder="1" applyAlignment="1">
      <alignment horizontal="left" vertical="center" wrapText="1"/>
    </xf>
    <xf numFmtId="0" fontId="10" fillId="18" borderId="13" xfId="0" applyFont="1" applyFill="1" applyBorder="1" applyAlignment="1">
      <alignment horizontal="center" vertical="center" wrapText="1"/>
    </xf>
    <xf numFmtId="183" fontId="12" fillId="0" borderId="7" xfId="0" applyNumberFormat="1" applyFont="1" applyBorder="1" applyAlignment="1">
      <alignment horizontal="right" vertical="center" wrapText="1"/>
    </xf>
    <xf numFmtId="183" fontId="12" fillId="11" borderId="7" xfId="0" applyNumberFormat="1" applyFont="1" applyFill="1" applyBorder="1" applyAlignment="1">
      <alignment horizontal="right" vertical="center" wrapText="1"/>
    </xf>
    <xf numFmtId="0" fontId="10" fillId="18" borderId="14" xfId="0" applyFont="1" applyFill="1" applyBorder="1" applyAlignment="1">
      <alignment horizontal="center" vertical="center" wrapText="1"/>
    </xf>
    <xf numFmtId="0" fontId="10" fillId="18" borderId="15" xfId="0" applyFont="1" applyFill="1" applyBorder="1" applyAlignment="1">
      <alignment horizontal="center" vertical="center" wrapText="1"/>
    </xf>
    <xf numFmtId="182" fontId="12" fillId="10" borderId="7" xfId="0" applyNumberFormat="1" applyFont="1" applyFill="1" applyBorder="1" applyAlignment="1">
      <alignment horizontal="right" vertical="center" wrapText="1"/>
    </xf>
    <xf numFmtId="183" fontId="12" fillId="0" borderId="7" xfId="0" applyNumberFormat="1" applyFont="1" applyFill="1" applyBorder="1" applyAlignment="1">
      <alignment horizontal="right" vertical="center" wrapText="1"/>
    </xf>
    <xf numFmtId="0" fontId="10" fillId="25" borderId="13" xfId="0" applyFont="1" applyFill="1" applyBorder="1" applyAlignment="1">
      <alignment horizontal="center" vertical="center" wrapText="1"/>
    </xf>
    <xf numFmtId="0" fontId="10" fillId="25" borderId="14" xfId="0" applyFont="1" applyFill="1" applyBorder="1" applyAlignment="1">
      <alignment horizontal="center" vertical="center" wrapText="1"/>
    </xf>
    <xf numFmtId="0" fontId="10" fillId="25" borderId="15" xfId="0" applyFont="1" applyFill="1" applyBorder="1" applyAlignment="1">
      <alignment horizontal="center" vertical="center" wrapText="1"/>
    </xf>
    <xf numFmtId="182" fontId="12" fillId="26" borderId="7" xfId="0" applyNumberFormat="1" applyFont="1" applyFill="1" applyBorder="1" applyAlignment="1">
      <alignment horizontal="right" vertical="center" wrapText="1"/>
    </xf>
    <xf numFmtId="182" fontId="12" fillId="19" borderId="7" xfId="0" applyNumberFormat="1" applyFont="1" applyFill="1" applyBorder="1" applyAlignment="1">
      <alignment horizontal="right" vertical="center" wrapText="1"/>
    </xf>
    <xf numFmtId="182" fontId="12" fillId="19" borderId="7" xfId="0" applyNumberFormat="1" applyFont="1" applyFill="1" applyBorder="1" applyAlignment="1">
      <alignment horizontal="left" vertical="center" wrapText="1"/>
    </xf>
    <xf numFmtId="43" fontId="4" fillId="17" borderId="7" xfId="0" applyNumberFormat="1" applyFont="1" applyFill="1" applyBorder="1" applyAlignment="1">
      <alignment horizontal="center" vertical="center" wrapText="1"/>
    </xf>
    <xf numFmtId="43" fontId="12"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12" fillId="17" borderId="7" xfId="0" applyNumberFormat="1" applyFont="1" applyFill="1" applyBorder="1" applyAlignment="1">
      <alignment horizontal="right" vertical="center" wrapText="1"/>
    </xf>
    <xf numFmtId="182" fontId="12" fillId="17" borderId="7" xfId="0" applyNumberFormat="1" applyFont="1" applyFill="1" applyBorder="1" applyAlignment="1">
      <alignment horizontal="left" vertical="center" wrapText="1"/>
    </xf>
    <xf numFmtId="0" fontId="0" fillId="0" borderId="7" xfId="0" applyBorder="1">
      <alignment vertical="center"/>
    </xf>
    <xf numFmtId="43" fontId="12" fillId="27" borderId="7" xfId="0" applyNumberFormat="1" applyFont="1" applyFill="1" applyBorder="1" applyAlignment="1">
      <alignment horizontal="center" vertical="center" wrapText="1"/>
    </xf>
    <xf numFmtId="43" fontId="12" fillId="27" borderId="0" xfId="0" applyNumberFormat="1" applyFont="1" applyFill="1" applyAlignment="1">
      <alignment horizontal="center" vertical="center" wrapText="1"/>
    </xf>
    <xf numFmtId="184" fontId="16" fillId="11" borderId="7" xfId="0" applyNumberFormat="1" applyFont="1" applyFill="1" applyBorder="1" applyAlignment="1">
      <alignment horizontal="center" vertical="center" wrapText="1"/>
    </xf>
    <xf numFmtId="184" fontId="16" fillId="11" borderId="8"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6" fillId="11" borderId="10" xfId="0" applyNumberFormat="1" applyFont="1" applyFill="1" applyBorder="1" applyAlignment="1">
      <alignment horizontal="center" vertical="center" wrapText="1"/>
    </xf>
    <xf numFmtId="184" fontId="16" fillId="11" borderId="12" xfId="0" applyNumberFormat="1" applyFont="1" applyFill="1" applyBorder="1" applyAlignment="1">
      <alignment horizontal="center" vertical="center" wrapText="1"/>
    </xf>
    <xf numFmtId="184" fontId="18" fillId="11" borderId="7" xfId="0" applyNumberFormat="1" applyFont="1" applyFill="1" applyBorder="1" applyAlignment="1">
      <alignment horizontal="center" vertical="center" wrapText="1"/>
    </xf>
    <xf numFmtId="184" fontId="19" fillId="11" borderId="8" xfId="0" applyNumberFormat="1" applyFont="1" applyFill="1" applyBorder="1" applyAlignment="1">
      <alignment vertical="center" wrapText="1"/>
    </xf>
    <xf numFmtId="184" fontId="20"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20"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20" fillId="11" borderId="7" xfId="0" applyNumberFormat="1" applyFont="1" applyFill="1" applyBorder="1" applyAlignment="1">
      <alignment vertical="center" wrapText="1"/>
    </xf>
    <xf numFmtId="184" fontId="21" fillId="11" borderId="7" xfId="0" applyNumberFormat="1" applyFont="1" applyFill="1" applyBorder="1" applyAlignment="1">
      <alignment vertical="center" wrapText="1"/>
    </xf>
    <xf numFmtId="184" fontId="20" fillId="11" borderId="13" xfId="0" applyNumberFormat="1" applyFont="1" applyFill="1" applyBorder="1" applyAlignment="1">
      <alignment vertical="center" wrapText="1"/>
    </xf>
    <xf numFmtId="184" fontId="20"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1" fillId="11" borderId="8" xfId="0" applyNumberFormat="1" applyFont="1" applyFill="1" applyBorder="1" applyAlignment="1">
      <alignment vertical="center" wrapText="1"/>
    </xf>
    <xf numFmtId="184" fontId="20" fillId="11" borderId="16" xfId="0" applyNumberFormat="1" applyFont="1" applyFill="1" applyBorder="1" applyAlignment="1">
      <alignment vertical="center" wrapText="1"/>
    </xf>
    <xf numFmtId="184" fontId="20" fillId="11" borderId="17" xfId="0" applyNumberFormat="1" applyFont="1" applyFill="1" applyBorder="1" applyAlignment="1">
      <alignment vertical="center" wrapText="1"/>
    </xf>
    <xf numFmtId="0" fontId="22" fillId="0" borderId="0" xfId="0" applyFont="1" applyAlignment="1">
      <alignment horizontal="center" vertical="center" wrapText="1"/>
    </xf>
    <xf numFmtId="0" fontId="23" fillId="11" borderId="7" xfId="0" applyFont="1" applyFill="1" applyBorder="1" applyAlignment="1">
      <alignment horizontal="center" vertical="center"/>
    </xf>
    <xf numFmtId="0" fontId="24" fillId="2" borderId="7" xfId="0" applyFont="1" applyFill="1" applyBorder="1" applyAlignment="1">
      <alignment horizontal="center" vertical="center"/>
    </xf>
    <xf numFmtId="0" fontId="24" fillId="28" borderId="7" xfId="0" applyFont="1" applyFill="1" applyBorder="1" applyAlignment="1">
      <alignment horizontal="center" vertical="center"/>
    </xf>
    <xf numFmtId="0" fontId="24" fillId="29" borderId="7" xfId="0" applyFont="1" applyFill="1" applyBorder="1" applyAlignment="1">
      <alignment horizontal="center" vertical="center"/>
    </xf>
    <xf numFmtId="0" fontId="24" fillId="0" borderId="7" xfId="0" applyFont="1" applyBorder="1" applyAlignment="1">
      <alignment horizontal="center" vertical="center"/>
    </xf>
    <xf numFmtId="184" fontId="25" fillId="0" borderId="7" xfId="0" applyNumberFormat="1" applyFont="1" applyBorder="1" applyAlignment="1">
      <alignment horizontal="center" vertical="center" wrapText="1"/>
    </xf>
    <xf numFmtId="184" fontId="18"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6" fillId="0" borderId="7" xfId="0" applyNumberFormat="1" applyFont="1" applyBorder="1" applyAlignment="1">
      <alignment horizontal="center" vertical="center"/>
    </xf>
    <xf numFmtId="1" fontId="26" fillId="0" borderId="7" xfId="0" applyNumberFormat="1" applyFont="1" applyBorder="1" applyAlignment="1">
      <alignment horizontal="center" vertical="center"/>
    </xf>
    <xf numFmtId="184" fontId="17"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wrapText="1"/>
    </xf>
    <xf numFmtId="185" fontId="28" fillId="0" borderId="7" xfId="0" applyNumberFormat="1" applyFont="1" applyBorder="1" applyAlignment="1">
      <alignment horizontal="center" vertical="center"/>
    </xf>
    <xf numFmtId="184" fontId="25" fillId="11" borderId="7" xfId="0" applyNumberFormat="1" applyFont="1" applyFill="1" applyBorder="1" applyAlignment="1">
      <alignment horizontal="center" vertical="center" wrapText="1"/>
    </xf>
    <xf numFmtId="185" fontId="26" fillId="11" borderId="7" xfId="0" applyNumberFormat="1" applyFont="1" applyFill="1" applyBorder="1" applyAlignment="1">
      <alignment horizontal="center" vertical="center"/>
    </xf>
    <xf numFmtId="1" fontId="26" fillId="11" borderId="7" xfId="0" applyNumberFormat="1" applyFont="1" applyFill="1" applyBorder="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alignment horizontal="center" vertical="center"/>
    </xf>
    <xf numFmtId="43" fontId="31" fillId="0" borderId="0" xfId="0" applyNumberFormat="1" applyFont="1" applyAlignment="1">
      <alignment horizontal="center" vertical="center"/>
    </xf>
    <xf numFmtId="186" fontId="32" fillId="30" borderId="7" xfId="52" applyNumberFormat="1" applyFont="1" applyFill="1" applyBorder="1" applyAlignment="1">
      <alignment horizontal="center" vertical="center" wrapText="1"/>
    </xf>
    <xf numFmtId="43" fontId="32" fillId="30" borderId="7" xfId="52" applyNumberFormat="1" applyFont="1" applyFill="1" applyBorder="1" applyAlignment="1">
      <alignment horizontal="center" vertical="center" wrapText="1"/>
    </xf>
    <xf numFmtId="176" fontId="32" fillId="30" borderId="7" xfId="52" applyFont="1" applyFill="1" applyBorder="1" applyAlignment="1">
      <alignment horizontal="center" vertical="center" wrapText="1"/>
    </xf>
    <xf numFmtId="0" fontId="10" fillId="31" borderId="7" xfId="0" applyFont="1" applyFill="1" applyBorder="1" applyAlignment="1">
      <alignment horizontal="center" vertical="center"/>
    </xf>
    <xf numFmtId="43" fontId="10" fillId="31" borderId="7" xfId="0" applyNumberFormat="1" applyFont="1" applyFill="1" applyBorder="1" applyAlignment="1">
      <alignment horizontal="center" vertical="center"/>
    </xf>
    <xf numFmtId="187" fontId="10" fillId="31" borderId="7" xfId="0" applyNumberFormat="1" applyFont="1" applyFill="1" applyBorder="1">
      <alignment vertical="center"/>
    </xf>
    <xf numFmtId="0" fontId="31" fillId="9" borderId="7" xfId="0" applyFont="1" applyFill="1" applyBorder="1" applyAlignment="1">
      <alignment horizontal="center" vertical="center"/>
    </xf>
    <xf numFmtId="43" fontId="31" fillId="9" borderId="7" xfId="0" applyNumberFormat="1" applyFont="1" applyFill="1" applyBorder="1" applyAlignment="1">
      <alignment horizontal="center" vertical="center"/>
    </xf>
    <xf numFmtId="187" fontId="31" fillId="9" borderId="7" xfId="0" applyNumberFormat="1" applyFont="1" applyFill="1" applyBorder="1">
      <alignment vertical="center"/>
    </xf>
    <xf numFmtId="0" fontId="31" fillId="32" borderId="7" xfId="0" applyFont="1" applyFill="1" applyBorder="1" applyAlignment="1">
      <alignment horizontal="center" vertical="center"/>
    </xf>
    <xf numFmtId="43" fontId="31" fillId="32" borderId="7" xfId="0" applyNumberFormat="1" applyFont="1" applyFill="1" applyBorder="1" applyAlignment="1">
      <alignment horizontal="center" vertical="center"/>
    </xf>
    <xf numFmtId="187" fontId="31" fillId="32" borderId="7" xfId="0" applyNumberFormat="1" applyFont="1" applyFill="1" applyBorder="1">
      <alignment vertical="center"/>
    </xf>
    <xf numFmtId="0" fontId="31" fillId="33" borderId="7" xfId="0" applyFont="1" applyFill="1" applyBorder="1" applyAlignment="1">
      <alignment horizontal="center" vertical="center"/>
    </xf>
    <xf numFmtId="43" fontId="31" fillId="33" borderId="7" xfId="0" applyNumberFormat="1" applyFont="1" applyFill="1" applyBorder="1" applyAlignment="1">
      <alignment horizontal="center" vertical="center"/>
    </xf>
    <xf numFmtId="187" fontId="31" fillId="33" borderId="7" xfId="0" applyNumberFormat="1" applyFont="1" applyFill="1" applyBorder="1">
      <alignment vertical="center"/>
    </xf>
    <xf numFmtId="0" fontId="10" fillId="15" borderId="7" xfId="0" applyFont="1" applyFill="1" applyBorder="1" applyAlignment="1">
      <alignment horizontal="center" vertical="center"/>
    </xf>
    <xf numFmtId="43" fontId="10" fillId="15" borderId="7" xfId="0" applyNumberFormat="1" applyFont="1" applyFill="1" applyBorder="1" applyAlignment="1">
      <alignment horizontal="center" vertical="center"/>
    </xf>
    <xf numFmtId="187" fontId="10" fillId="15" borderId="7" xfId="0" applyNumberFormat="1" applyFont="1" applyFill="1" applyBorder="1">
      <alignment vertical="center"/>
    </xf>
    <xf numFmtId="0" fontId="4" fillId="34" borderId="7" xfId="0" applyFont="1" applyFill="1" applyBorder="1" applyAlignment="1">
      <alignment horizontal="center" vertical="center" wrapText="1"/>
    </xf>
    <xf numFmtId="0" fontId="31" fillId="34" borderId="7" xfId="0" applyFont="1" applyFill="1" applyBorder="1" applyAlignment="1">
      <alignment horizontal="center" vertical="center"/>
    </xf>
    <xf numFmtId="43" fontId="31" fillId="34" borderId="7" xfId="0" applyNumberFormat="1" applyFont="1" applyFill="1" applyBorder="1" applyAlignment="1">
      <alignment horizontal="center" vertical="center"/>
    </xf>
    <xf numFmtId="187" fontId="31" fillId="34" borderId="7" xfId="0" applyNumberFormat="1" applyFont="1" applyFill="1" applyBorder="1">
      <alignment vertical="center"/>
    </xf>
    <xf numFmtId="187" fontId="31" fillId="2" borderId="7" xfId="0" applyNumberFormat="1" applyFont="1" applyFill="1" applyBorder="1" applyProtection="1">
      <alignment vertical="center"/>
      <protection locked="0"/>
    </xf>
    <xf numFmtId="0" fontId="31" fillId="34" borderId="7" xfId="0" applyFont="1" applyFill="1" applyBorder="1">
      <alignment vertical="center"/>
    </xf>
    <xf numFmtId="0" fontId="31" fillId="2" borderId="7" xfId="0" applyFont="1" applyFill="1" applyBorder="1" applyProtection="1">
      <alignment vertical="center"/>
      <protection locked="0"/>
    </xf>
    <xf numFmtId="0" fontId="12" fillId="35" borderId="0" xfId="0" applyFont="1" applyFill="1">
      <alignment vertical="center"/>
    </xf>
    <xf numFmtId="0" fontId="12" fillId="0" borderId="0" xfId="0" applyFont="1">
      <alignment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2" fillId="35" borderId="0" xfId="0" applyFont="1" applyFill="1" applyAlignment="1">
      <alignment horizontal="center" vertical="center"/>
    </xf>
    <xf numFmtId="0" fontId="12" fillId="35" borderId="0" xfId="0" applyFont="1" applyFill="1" applyAlignment="1">
      <alignment horizontal="center" vertical="center" wrapText="1"/>
    </xf>
    <xf numFmtId="0" fontId="33" fillId="0" borderId="0" xfId="0" applyFont="1" applyAlignment="1">
      <alignment horizontal="left" vertical="center"/>
    </xf>
    <xf numFmtId="0" fontId="12" fillId="2" borderId="7" xfId="0" applyFont="1" applyFill="1" applyBorder="1" applyAlignment="1" applyProtection="1">
      <alignment horizontal="center" vertical="center" wrapText="1"/>
      <protection locked="0"/>
    </xf>
    <xf numFmtId="0" fontId="10" fillId="16" borderId="13" xfId="0" applyFont="1" applyFill="1" applyBorder="1" applyAlignment="1">
      <alignment horizontal="center" vertical="center" wrapText="1"/>
    </xf>
    <xf numFmtId="0" fontId="10" fillId="16" borderId="14" xfId="0" applyFont="1" applyFill="1" applyBorder="1" applyAlignment="1">
      <alignment horizontal="center" vertical="center" wrapText="1"/>
    </xf>
    <xf numFmtId="0" fontId="10" fillId="16" borderId="8" xfId="0" applyFont="1" applyFill="1" applyBorder="1" applyAlignment="1">
      <alignment horizontal="center" vertical="center" wrapText="1"/>
    </xf>
    <xf numFmtId="0" fontId="10" fillId="16" borderId="12" xfId="0" applyFont="1" applyFill="1" applyBorder="1" applyAlignment="1">
      <alignment horizontal="center" vertical="center" wrapText="1"/>
    </xf>
    <xf numFmtId="187" fontId="12" fillId="2" borderId="7" xfId="0" applyNumberFormat="1" applyFont="1" applyFill="1" applyBorder="1" applyAlignment="1" applyProtection="1">
      <alignment horizontal="center" vertical="center" wrapText="1"/>
      <protection locked="0"/>
    </xf>
    <xf numFmtId="0" fontId="12" fillId="36" borderId="7" xfId="0" applyFont="1" applyFill="1" applyBorder="1" applyAlignment="1" applyProtection="1">
      <alignment horizontal="center" vertical="center" wrapText="1"/>
      <protection locked="0"/>
    </xf>
    <xf numFmtId="0" fontId="10" fillId="16" borderId="15" xfId="0" applyFont="1" applyFill="1" applyBorder="1" applyAlignment="1">
      <alignment horizontal="center" vertical="center" wrapText="1"/>
    </xf>
    <xf numFmtId="43" fontId="10" fillId="15" borderId="7" xfId="0" applyNumberFormat="1" applyFont="1" applyFill="1" applyBorder="1" applyAlignment="1">
      <alignment horizontal="center" vertical="center" wrapText="1"/>
    </xf>
    <xf numFmtId="43" fontId="10" fillId="15" borderId="7" xfId="0" applyNumberFormat="1" applyFont="1" applyFill="1" applyBorder="1" applyAlignment="1">
      <alignment horizontal="center" vertical="top" wrapText="1"/>
    </xf>
    <xf numFmtId="43" fontId="10" fillId="16" borderId="7" xfId="0" applyNumberFormat="1" applyFont="1" applyFill="1" applyBorder="1" applyAlignment="1">
      <alignment horizontal="center" vertical="center" wrapText="1"/>
    </xf>
    <xf numFmtId="43" fontId="4" fillId="27" borderId="7" xfId="0" applyNumberFormat="1" applyFont="1" applyFill="1" applyBorder="1" applyAlignment="1">
      <alignment horizontal="center" vertical="center" wrapText="1"/>
    </xf>
    <xf numFmtId="43" fontId="11" fillId="0" borderId="7" xfId="0" applyNumberFormat="1" applyFont="1" applyBorder="1" applyAlignment="1">
      <alignment horizontal="center" vertical="center"/>
    </xf>
    <xf numFmtId="43" fontId="13" fillId="0" borderId="7" xfId="0" applyNumberFormat="1" applyFont="1" applyBorder="1" applyAlignment="1">
      <alignment horizontal="center" vertical="center" wrapText="1"/>
    </xf>
    <xf numFmtId="43" fontId="12" fillId="0" borderId="13" xfId="0" applyNumberFormat="1" applyFont="1" applyBorder="1" applyAlignment="1">
      <alignment horizontal="center" vertical="center" wrapText="1"/>
    </xf>
    <xf numFmtId="43" fontId="11" fillId="33" borderId="10" xfId="0" applyNumberFormat="1" applyFont="1" applyFill="1" applyBorder="1" applyAlignment="1">
      <alignment horizontal="center" vertical="center"/>
    </xf>
    <xf numFmtId="43" fontId="11" fillId="0" borderId="15" xfId="0" applyNumberFormat="1" applyFont="1" applyBorder="1" applyAlignment="1">
      <alignment horizontal="center" vertical="center"/>
    </xf>
    <xf numFmtId="43" fontId="10" fillId="15" borderId="8" xfId="0" applyNumberFormat="1" applyFont="1" applyFill="1" applyBorder="1" applyAlignment="1">
      <alignment horizontal="center" vertical="center" wrapText="1"/>
    </xf>
    <xf numFmtId="43" fontId="10" fillId="18" borderId="8" xfId="0" applyNumberFormat="1" applyFont="1" applyFill="1" applyBorder="1" applyAlignment="1">
      <alignment horizontal="center" vertical="center" wrapText="1"/>
    </xf>
    <xf numFmtId="49" fontId="10" fillId="18" borderId="7" xfId="0" applyNumberFormat="1" applyFont="1" applyFill="1" applyBorder="1" applyAlignment="1">
      <alignment vertical="center" wrapText="1"/>
    </xf>
    <xf numFmtId="43" fontId="10" fillId="15" borderId="9" xfId="0" applyNumberFormat="1" applyFont="1" applyFill="1" applyBorder="1" applyAlignment="1">
      <alignment horizontal="center" vertical="center" wrapText="1"/>
    </xf>
    <xf numFmtId="43" fontId="10" fillId="15" borderId="10" xfId="0" applyNumberFormat="1" applyFont="1" applyFill="1" applyBorder="1" applyAlignment="1">
      <alignment horizontal="center" vertical="center" wrapText="1"/>
    </xf>
    <xf numFmtId="43" fontId="10" fillId="18" borderId="10" xfId="0" applyNumberFormat="1" applyFont="1" applyFill="1" applyBorder="1" applyAlignment="1">
      <alignment horizontal="center" vertical="center" wrapText="1"/>
    </xf>
    <xf numFmtId="43" fontId="10" fillId="15" borderId="11" xfId="0" applyNumberFormat="1" applyFont="1" applyFill="1" applyBorder="1" applyAlignment="1">
      <alignment horizontal="center" vertical="center" wrapText="1"/>
    </xf>
    <xf numFmtId="43" fontId="10" fillId="15" borderId="12" xfId="0" applyNumberFormat="1" applyFont="1" applyFill="1" applyBorder="1" applyAlignment="1">
      <alignment horizontal="center" vertical="top" wrapText="1"/>
    </xf>
    <xf numFmtId="43" fontId="10" fillId="18" borderId="12" xfId="0" applyNumberFormat="1" applyFont="1" applyFill="1" applyBorder="1" applyAlignment="1">
      <alignment horizontal="center" vertical="top" wrapText="1"/>
    </xf>
    <xf numFmtId="49" fontId="10" fillId="18" borderId="7" xfId="0" applyNumberFormat="1" applyFont="1" applyFill="1" applyBorder="1" applyAlignment="1">
      <alignment horizontal="left" vertical="top" wrapText="1"/>
    </xf>
    <xf numFmtId="43" fontId="10" fillId="18" borderId="7" xfId="0" applyNumberFormat="1" applyFont="1" applyFill="1" applyBorder="1" applyAlignment="1">
      <alignment horizontal="center" vertical="top" wrapText="1"/>
    </xf>
    <xf numFmtId="43" fontId="14" fillId="16" borderId="7" xfId="0" applyNumberFormat="1" applyFont="1" applyFill="1" applyBorder="1" applyAlignment="1">
      <alignment horizontal="center" vertical="center" wrapText="1"/>
    </xf>
    <xf numFmtId="49" fontId="10" fillId="16"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9" fontId="4" fillId="27" borderId="7" xfId="0" applyNumberFormat="1" applyFont="1" applyFill="1" applyBorder="1" applyAlignment="1">
      <alignment horizontal="left" vertical="center" wrapText="1"/>
    </xf>
    <xf numFmtId="43" fontId="10" fillId="15" borderId="8" xfId="0" applyNumberFormat="1" applyFont="1" applyFill="1" applyBorder="1" applyAlignment="1">
      <alignment horizontal="center" vertical="top" wrapText="1"/>
    </xf>
    <xf numFmtId="43" fontId="10" fillId="16"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12" fillId="5" borderId="15" xfId="0" applyNumberFormat="1" applyFont="1" applyFill="1" applyBorder="1" applyAlignment="1">
      <alignment horizontal="center" vertical="center" wrapText="1"/>
    </xf>
    <xf numFmtId="43" fontId="12" fillId="9" borderId="15" xfId="0" applyNumberFormat="1" applyFont="1" applyFill="1" applyBorder="1" applyAlignment="1">
      <alignment horizontal="center" vertical="center" wrapText="1"/>
    </xf>
    <xf numFmtId="43" fontId="12" fillId="20" borderId="15" xfId="0" applyNumberFormat="1" applyFont="1" applyFill="1" applyBorder="1" applyAlignment="1">
      <alignment horizontal="center" vertical="center" wrapText="1"/>
    </xf>
    <xf numFmtId="43" fontId="12" fillId="27" borderId="15" xfId="0" applyNumberFormat="1" applyFont="1" applyFill="1" applyBorder="1" applyAlignment="1">
      <alignment horizontal="center" vertical="center" wrapText="1"/>
    </xf>
    <xf numFmtId="43" fontId="34" fillId="15" borderId="7" xfId="0" applyNumberFormat="1" applyFont="1" applyFill="1" applyBorder="1" applyAlignment="1">
      <alignment horizontal="center" vertical="center" wrapText="1"/>
    </xf>
    <xf numFmtId="43" fontId="10" fillId="15" borderId="12" xfId="0" applyNumberFormat="1" applyFont="1" applyFill="1" applyBorder="1" applyAlignment="1">
      <alignment horizontal="center" vertical="center" wrapText="1"/>
    </xf>
    <xf numFmtId="43" fontId="10" fillId="15" borderId="13" xfId="0" applyNumberFormat="1" applyFont="1" applyFill="1" applyBorder="1" applyAlignment="1">
      <alignment horizontal="center" vertical="center"/>
    </xf>
    <xf numFmtId="43" fontId="10" fillId="15" borderId="14" xfId="0" applyNumberFormat="1" applyFont="1" applyFill="1" applyBorder="1" applyAlignment="1">
      <alignment horizontal="center" vertical="center"/>
    </xf>
    <xf numFmtId="43" fontId="10" fillId="15" borderId="15" xfId="0" applyNumberFormat="1" applyFont="1" applyFill="1" applyBorder="1" applyAlignment="1">
      <alignment horizontal="center" vertical="center"/>
    </xf>
    <xf numFmtId="43" fontId="10" fillId="15" borderId="13" xfId="0" applyNumberFormat="1" applyFont="1" applyFill="1" applyBorder="1" applyAlignment="1">
      <alignment horizontal="center" vertical="center" wrapText="1"/>
    </xf>
    <xf numFmtId="43" fontId="34" fillId="15" borderId="7" xfId="0" applyNumberFormat="1" applyFont="1" applyFill="1" applyBorder="1" applyAlignment="1">
      <alignment horizontal="center" vertical="top" wrapText="1"/>
    </xf>
    <xf numFmtId="43" fontId="12" fillId="2" borderId="7" xfId="0" applyNumberFormat="1" applyFont="1" applyFill="1" applyBorder="1" applyAlignment="1" applyProtection="1">
      <alignment horizontal="center" vertical="center" wrapText="1"/>
      <protection locked="0"/>
    </xf>
    <xf numFmtId="43" fontId="10" fillId="15" borderId="14" xfId="0" applyNumberFormat="1" applyFont="1" applyFill="1" applyBorder="1" applyAlignment="1">
      <alignment horizontal="center" vertical="center" wrapText="1"/>
    </xf>
    <xf numFmtId="43" fontId="10" fillId="15" borderId="15" xfId="0" applyNumberFormat="1" applyFont="1" applyFill="1" applyBorder="1" applyAlignment="1">
      <alignment horizontal="center" vertical="center" wrapText="1"/>
    </xf>
    <xf numFmtId="43" fontId="10" fillId="15" borderId="13" xfId="0" applyNumberFormat="1" applyFont="1" applyFill="1" applyBorder="1" applyAlignment="1">
      <alignment horizontal="center" vertical="top" wrapText="1"/>
    </xf>
    <xf numFmtId="43" fontId="10" fillId="16" borderId="13" xfId="0" applyNumberFormat="1" applyFont="1" applyFill="1" applyBorder="1" applyAlignment="1">
      <alignment horizontal="center" vertical="center" wrapText="1"/>
    </xf>
    <xf numFmtId="43" fontId="4" fillId="19" borderId="13" xfId="0" applyNumberFormat="1" applyFont="1" applyFill="1" applyBorder="1" applyAlignment="1">
      <alignment horizontal="center" vertical="center" wrapText="1"/>
    </xf>
    <xf numFmtId="43" fontId="12" fillId="5" borderId="13" xfId="0" applyNumberFormat="1" applyFont="1" applyFill="1" applyBorder="1" applyAlignment="1">
      <alignment horizontal="center" vertical="center" wrapText="1"/>
    </xf>
    <xf numFmtId="43" fontId="12" fillId="9" borderId="13" xfId="0" applyNumberFormat="1" applyFont="1" applyFill="1" applyBorder="1" applyAlignment="1">
      <alignment horizontal="center" vertical="center" wrapText="1"/>
    </xf>
    <xf numFmtId="43" fontId="12" fillId="20" borderId="13" xfId="0" applyNumberFormat="1" applyFont="1" applyFill="1" applyBorder="1" applyAlignment="1">
      <alignment horizontal="center" vertical="center" wrapText="1"/>
    </xf>
    <xf numFmtId="43" fontId="12" fillId="2" borderId="13" xfId="0" applyNumberFormat="1" applyFont="1" applyFill="1" applyBorder="1" applyAlignment="1" applyProtection="1">
      <alignment horizontal="center" vertical="center" wrapText="1"/>
      <protection locked="0"/>
    </xf>
    <xf numFmtId="43" fontId="10" fillId="33" borderId="10" xfId="0" applyNumberFormat="1" applyFont="1" applyFill="1" applyBorder="1" applyAlignment="1">
      <alignment horizontal="center" vertical="center" wrapText="1"/>
    </xf>
    <xf numFmtId="43" fontId="10" fillId="33" borderId="10" xfId="0" applyNumberFormat="1" applyFont="1" applyFill="1" applyBorder="1" applyAlignment="1">
      <alignment horizontal="center" vertical="top" wrapText="1"/>
    </xf>
    <xf numFmtId="43" fontId="10" fillId="15"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20" borderId="15" xfId="0" applyNumberFormat="1" applyFont="1" applyFill="1" applyBorder="1" applyAlignment="1">
      <alignment horizontal="center" vertical="center" wrapText="1"/>
    </xf>
    <xf numFmtId="43" fontId="4" fillId="27" borderId="15" xfId="0" applyNumberFormat="1" applyFont="1" applyFill="1" applyBorder="1" applyAlignment="1">
      <alignment horizontal="center" vertical="center" wrapText="1"/>
    </xf>
    <xf numFmtId="43" fontId="12" fillId="2" borderId="8" xfId="0" applyNumberFormat="1" applyFont="1" applyFill="1" applyBorder="1" applyAlignment="1" applyProtection="1">
      <alignment horizontal="center" vertical="center" wrapText="1"/>
      <protection locked="0"/>
    </xf>
    <xf numFmtId="43" fontId="12" fillId="2" borderId="12" xfId="0" applyNumberFormat="1" applyFont="1" applyFill="1" applyBorder="1" applyAlignment="1" applyProtection="1">
      <alignment horizontal="center" vertical="center" wrapText="1"/>
      <protection locked="0"/>
    </xf>
    <xf numFmtId="43" fontId="12" fillId="20" borderId="7" xfId="0" applyNumberFormat="1" applyFont="1" applyFill="1" applyBorder="1" applyAlignment="1" applyProtection="1">
      <alignment horizontal="center" vertical="center" wrapText="1"/>
      <protection locked="0"/>
    </xf>
    <xf numFmtId="43" fontId="12" fillId="20" borderId="13" xfId="0" applyNumberFormat="1" applyFont="1" applyFill="1" applyBorder="1" applyAlignment="1" applyProtection="1">
      <alignment horizontal="center" vertical="center" wrapText="1"/>
      <protection locked="0"/>
    </xf>
    <xf numFmtId="43" fontId="12" fillId="27" borderId="13" xfId="0" applyNumberFormat="1" applyFont="1" applyFill="1" applyBorder="1" applyAlignment="1">
      <alignment horizontal="center" vertical="center" wrapText="1"/>
    </xf>
    <xf numFmtId="43" fontId="12" fillId="2" borderId="10" xfId="0" applyNumberFormat="1" applyFont="1" applyFill="1" applyBorder="1" applyAlignment="1" applyProtection="1">
      <alignment horizontal="center" vertical="center" wrapText="1"/>
      <protection locked="0"/>
    </xf>
    <xf numFmtId="188" fontId="12" fillId="20" borderId="7" xfId="3" applyNumberFormat="1" applyFont="1" applyFill="1" applyBorder="1" applyAlignment="1">
      <alignment horizontal="center" vertical="center" wrapText="1"/>
    </xf>
    <xf numFmtId="0" fontId="4" fillId="19" borderId="7" xfId="0" applyFont="1" applyFill="1" applyBorder="1" applyAlignment="1">
      <alignment horizontal="left" vertical="center" wrapText="1"/>
    </xf>
    <xf numFmtId="43" fontId="4" fillId="5" borderId="13" xfId="0" applyNumberFormat="1" applyFont="1" applyFill="1" applyBorder="1" applyAlignment="1">
      <alignment horizontal="center" vertical="center" wrapText="1"/>
    </xf>
    <xf numFmtId="4" fontId="12" fillId="5" borderId="7" xfId="0" applyNumberFormat="1" applyFont="1" applyFill="1" applyBorder="1" applyAlignment="1">
      <alignment horizontal="center" vertical="center" wrapText="1"/>
    </xf>
    <xf numFmtId="4" fontId="12" fillId="5" borderId="13" xfId="0" applyNumberFormat="1" applyFont="1" applyFill="1" applyBorder="1" applyAlignment="1">
      <alignment horizontal="center" vertical="center" wrapText="1"/>
    </xf>
    <xf numFmtId="0" fontId="0" fillId="2" borderId="0" xfId="0" applyFill="1">
      <alignment vertical="center"/>
    </xf>
    <xf numFmtId="0" fontId="0" fillId="37" borderId="0" xfId="0" applyFill="1">
      <alignment vertical="center"/>
    </xf>
    <xf numFmtId="0" fontId="0" fillId="0" borderId="0" xfId="0" applyFill="1">
      <alignment vertical="center"/>
    </xf>
    <xf numFmtId="0" fontId="35" fillId="0" borderId="0" xfId="0" applyFont="1">
      <alignment vertical="center"/>
    </xf>
    <xf numFmtId="0" fontId="0" fillId="0" borderId="0" xfId="0" applyAlignment="1">
      <alignment vertical="center"/>
    </xf>
    <xf numFmtId="0" fontId="36" fillId="0" borderId="0" xfId="0" applyFont="1" applyAlignment="1">
      <alignment horizontal="center" vertical="center"/>
    </xf>
    <xf numFmtId="0" fontId="36" fillId="0" borderId="0" xfId="0" applyFont="1" applyFill="1">
      <alignment vertical="center"/>
    </xf>
    <xf numFmtId="0" fontId="36" fillId="0" borderId="0" xfId="0" applyFont="1">
      <alignment vertical="center"/>
    </xf>
    <xf numFmtId="0" fontId="37"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5" fillId="0" borderId="0" xfId="0" applyFont="1" applyFill="1">
      <alignment vertical="center"/>
    </xf>
    <xf numFmtId="0" fontId="39" fillId="18" borderId="7" xfId="0" applyFont="1" applyFill="1" applyBorder="1" applyAlignment="1">
      <alignment horizontal="center" vertical="center"/>
    </xf>
    <xf numFmtId="0" fontId="40" fillId="0" borderId="7" xfId="0" applyFont="1" applyFill="1" applyBorder="1" applyAlignment="1">
      <alignment horizontal="center" vertical="center"/>
    </xf>
    <xf numFmtId="0" fontId="36" fillId="0" borderId="0" xfId="0" applyFont="1" applyFill="1" applyAlignment="1">
      <alignment vertical="center"/>
    </xf>
    <xf numFmtId="0" fontId="39" fillId="18" borderId="7" xfId="0" applyFont="1" applyFill="1" applyBorder="1" applyAlignment="1">
      <alignment horizontal="right" wrapText="1"/>
    </xf>
    <xf numFmtId="187" fontId="41" fillId="11" borderId="7" xfId="0" applyNumberFormat="1" applyFont="1" applyFill="1" applyBorder="1" applyAlignment="1">
      <alignment horizontal="right"/>
    </xf>
    <xf numFmtId="0" fontId="39" fillId="18" borderId="7" xfId="0" applyFont="1" applyFill="1" applyBorder="1" applyAlignment="1">
      <alignment horizontal="right"/>
    </xf>
    <xf numFmtId="9" fontId="41" fillId="0" borderId="7" xfId="3" applyFont="1" applyFill="1" applyBorder="1" applyAlignment="1">
      <alignment horizontal="center"/>
    </xf>
    <xf numFmtId="0" fontId="39" fillId="18"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8" borderId="15" xfId="0" applyFont="1" applyFill="1" applyBorder="1" applyAlignment="1">
      <alignment horizontal="right" wrapText="1"/>
    </xf>
    <xf numFmtId="9" fontId="41" fillId="38"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39" borderId="7" xfId="3" applyNumberFormat="1" applyFont="1" applyFill="1" applyBorder="1" applyAlignment="1">
      <alignment horizontal="center"/>
    </xf>
    <xf numFmtId="0" fontId="41" fillId="2" borderId="13" xfId="3" applyNumberFormat="1" applyFont="1" applyFill="1" applyBorder="1" applyAlignment="1">
      <alignment horizontal="right"/>
    </xf>
    <xf numFmtId="9" fontId="42" fillId="0" borderId="15" xfId="3" applyFont="1" applyFill="1" applyBorder="1" applyAlignment="1">
      <alignment horizontal="left"/>
    </xf>
    <xf numFmtId="9" fontId="41" fillId="40"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21" borderId="18" xfId="0" applyFont="1" applyFill="1" applyBorder="1" applyAlignment="1">
      <alignment horizontal="center" vertical="center"/>
    </xf>
    <xf numFmtId="0" fontId="36" fillId="21" borderId="0" xfId="0" applyFont="1" applyFill="1" applyBorder="1" applyAlignment="1">
      <alignment horizontal="center" vertical="center"/>
    </xf>
    <xf numFmtId="0" fontId="44" fillId="18" borderId="16" xfId="0" applyFont="1" applyFill="1" applyBorder="1" applyAlignment="1">
      <alignment horizontal="left" vertical="center"/>
    </xf>
    <xf numFmtId="0" fontId="44" fillId="18" borderId="9" xfId="0" applyFont="1" applyFill="1" applyBorder="1" applyAlignment="1">
      <alignment horizontal="left" vertical="center"/>
    </xf>
    <xf numFmtId="0" fontId="36" fillId="0" borderId="18" xfId="0" applyFont="1" applyBorder="1">
      <alignment vertical="center"/>
    </xf>
    <xf numFmtId="0" fontId="36" fillId="0" borderId="0" xfId="0" applyFont="1" applyBorder="1">
      <alignment vertical="center"/>
    </xf>
    <xf numFmtId="0" fontId="36" fillId="0" borderId="0" xfId="0" applyFont="1" applyFill="1" applyAlignment="1">
      <alignment horizontal="center" vertical="center"/>
    </xf>
    <xf numFmtId="0" fontId="36" fillId="0" borderId="18" xfId="0" applyFont="1" applyBorder="1" applyAlignment="1">
      <alignment horizontal="center" vertical="center"/>
    </xf>
    <xf numFmtId="0" fontId="36" fillId="0" borderId="0" xfId="0" applyFont="1" applyBorder="1" applyAlignment="1">
      <alignment horizontal="center" vertical="center"/>
    </xf>
    <xf numFmtId="0" fontId="36" fillId="0" borderId="19" xfId="0" applyFont="1" applyBorder="1" applyAlignment="1">
      <alignment horizontal="center" vertical="center"/>
    </xf>
    <xf numFmtId="0" fontId="36" fillId="0" borderId="11" xfId="0" applyFont="1" applyBorder="1" applyAlignment="1">
      <alignment horizontal="center" vertical="center"/>
    </xf>
    <xf numFmtId="0" fontId="36" fillId="0" borderId="19" xfId="0" applyFont="1" applyBorder="1">
      <alignment vertical="center"/>
    </xf>
    <xf numFmtId="0" fontId="36" fillId="0" borderId="11" xfId="0" applyFont="1" applyBorder="1">
      <alignment vertical="center"/>
    </xf>
    <xf numFmtId="0" fontId="45" fillId="0" borderId="18" xfId="0" applyFont="1" applyFill="1" applyBorder="1" applyAlignment="1">
      <alignment horizontal="left" vertical="center"/>
    </xf>
    <xf numFmtId="0" fontId="45" fillId="0" borderId="0" xfId="0" applyFont="1" applyFill="1" applyBorder="1" applyAlignment="1">
      <alignment horizontal="left" vertical="center"/>
    </xf>
    <xf numFmtId="0" fontId="45" fillId="0" borderId="19" xfId="0" applyFont="1" applyFill="1" applyBorder="1" applyAlignment="1">
      <alignment horizontal="left" vertical="center"/>
    </xf>
    <xf numFmtId="0" fontId="45" fillId="0" borderId="11" xfId="0" applyFont="1" applyFill="1" applyBorder="1" applyAlignment="1">
      <alignment horizontal="left" vertical="center"/>
    </xf>
    <xf numFmtId="0" fontId="36" fillId="0" borderId="0" xfId="0" applyFont="1" applyFill="1" applyBorder="1">
      <alignment vertical="center"/>
    </xf>
    <xf numFmtId="0" fontId="39" fillId="18"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5" fillId="33" borderId="15" xfId="0" applyFont="1" applyFill="1" applyBorder="1">
      <alignment vertical="center"/>
    </xf>
    <xf numFmtId="0" fontId="39" fillId="18" borderId="14" xfId="0" applyFont="1" applyFill="1" applyBorder="1" applyAlignment="1">
      <alignment horizontal="center" vertical="center"/>
    </xf>
    <xf numFmtId="9" fontId="36" fillId="0" borderId="16" xfId="3" applyFont="1" applyBorder="1">
      <alignment vertical="center"/>
    </xf>
    <xf numFmtId="9" fontId="36"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9" fillId="15" borderId="13" xfId="0" applyFont="1" applyFill="1" applyBorder="1" applyAlignment="1">
      <alignment horizontal="center" vertical="center" wrapText="1"/>
    </xf>
    <xf numFmtId="189" fontId="35" fillId="11" borderId="21" xfId="0" applyNumberFormat="1" applyFont="1" applyFill="1" applyBorder="1" applyAlignment="1">
      <alignment horizontal="center" vertical="center"/>
    </xf>
    <xf numFmtId="9" fontId="36" fillId="0" borderId="18" xfId="3" applyFont="1" applyBorder="1">
      <alignment vertical="center"/>
    </xf>
    <xf numFmtId="9" fontId="36" fillId="0" borderId="0" xfId="3" applyFont="1" applyBorder="1">
      <alignment vertical="center"/>
    </xf>
    <xf numFmtId="0" fontId="36" fillId="0" borderId="16" xfId="0" applyFont="1" applyBorder="1" applyAlignment="1">
      <alignment horizontal="center" vertical="center"/>
    </xf>
    <xf numFmtId="0" fontId="36" fillId="0" borderId="9" xfId="0" applyFont="1" applyBorder="1" applyAlignment="1">
      <alignment vertical="center"/>
    </xf>
    <xf numFmtId="9" fontId="36" fillId="0" borderId="19" xfId="3" applyFont="1" applyBorder="1">
      <alignment vertical="center"/>
    </xf>
    <xf numFmtId="9" fontId="36"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6" fillId="0" borderId="0" xfId="0" applyNumberFormat="1" applyFont="1" applyAlignment="1">
      <alignment vertical="center"/>
    </xf>
    <xf numFmtId="9" fontId="41" fillId="38"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39" borderId="7" xfId="3" applyFont="1" applyFill="1" applyBorder="1" applyAlignment="1">
      <alignment horizontal="center"/>
    </xf>
    <xf numFmtId="187" fontId="36" fillId="0" borderId="0" xfId="0" applyNumberFormat="1" applyFont="1" applyAlignment="1">
      <alignment horizontal="center" vertical="center"/>
    </xf>
    <xf numFmtId="9" fontId="41" fillId="40" borderId="7" xfId="3" applyFont="1" applyFill="1" applyBorder="1" applyAlignment="1">
      <alignment horizontal="center"/>
    </xf>
    <xf numFmtId="187" fontId="0" fillId="0" borderId="0" xfId="0" applyNumberFormat="1" applyAlignment="1">
      <alignment vertical="center"/>
    </xf>
    <xf numFmtId="0" fontId="43" fillId="11" borderId="7" xfId="0" applyNumberFormat="1" applyFont="1" applyFill="1" applyBorder="1" applyAlignment="1">
      <alignment horizontal="center"/>
    </xf>
    <xf numFmtId="0" fontId="36" fillId="33" borderId="0" xfId="0" applyFont="1" applyFill="1" applyAlignment="1">
      <alignment horizontal="center" vertical="center"/>
    </xf>
    <xf numFmtId="187" fontId="36" fillId="0" borderId="11" xfId="0" applyNumberFormat="1" applyFont="1" applyBorder="1" applyAlignment="1">
      <alignment horizontal="center" vertical="center"/>
    </xf>
    <xf numFmtId="0" fontId="37" fillId="21" borderId="0" xfId="0" applyFont="1" applyFill="1" applyBorder="1" applyAlignment="1">
      <alignment horizontal="center" vertical="center"/>
    </xf>
    <xf numFmtId="0" fontId="36" fillId="21" borderId="0" xfId="0" applyFont="1" applyFill="1" applyBorder="1">
      <alignment vertical="center"/>
    </xf>
    <xf numFmtId="0" fontId="36" fillId="21" borderId="0" xfId="0" applyFont="1" applyFill="1" applyAlignment="1">
      <alignment horizontal="center" vertical="center"/>
    </xf>
    <xf numFmtId="0" fontId="36" fillId="21" borderId="0" xfId="0" applyFont="1" applyFill="1">
      <alignment vertical="center"/>
    </xf>
    <xf numFmtId="49" fontId="39" fillId="15" borderId="7" xfId="0" applyNumberFormat="1" applyFont="1" applyFill="1" applyBorder="1" applyAlignment="1">
      <alignment horizontal="center" vertical="center" wrapText="1"/>
    </xf>
    <xf numFmtId="43" fontId="39" fillId="15" borderId="7" xfId="0" applyNumberFormat="1" applyFont="1" applyFill="1" applyBorder="1" applyAlignment="1">
      <alignment horizontal="center" vertical="center" wrapText="1"/>
    </xf>
    <xf numFmtId="49" fontId="33" fillId="19" borderId="7" xfId="0" applyNumberFormat="1" applyFont="1" applyFill="1" applyBorder="1" applyAlignment="1">
      <alignment horizontal="center" vertical="center" wrapText="1"/>
    </xf>
    <xf numFmtId="43" fontId="33" fillId="19" borderId="7" xfId="0" applyNumberFormat="1" applyFont="1" applyFill="1" applyBorder="1" applyAlignment="1">
      <alignment horizontal="center" vertical="center" wrapText="1"/>
    </xf>
    <xf numFmtId="190" fontId="46" fillId="11" borderId="7" xfId="0" applyNumberFormat="1" applyFont="1" applyFill="1" applyBorder="1" applyAlignment="1">
      <alignment horizontal="center" vertical="center"/>
    </xf>
    <xf numFmtId="0" fontId="33" fillId="19" borderId="7" xfId="0" applyFont="1" applyFill="1" applyBorder="1" applyAlignment="1">
      <alignment horizontal="center" vertical="center" wrapText="1"/>
    </xf>
    <xf numFmtId="49" fontId="33" fillId="5" borderId="7" xfId="0" applyNumberFormat="1" applyFont="1" applyFill="1" applyBorder="1" applyAlignment="1">
      <alignment horizontal="center" vertical="center" wrapText="1"/>
    </xf>
    <xf numFmtId="43" fontId="33" fillId="5" borderId="7" xfId="0" applyNumberFormat="1" applyFont="1" applyFill="1" applyBorder="1" applyAlignment="1">
      <alignment horizontal="center" vertical="center" wrapText="1"/>
    </xf>
    <xf numFmtId="0" fontId="36" fillId="0" borderId="11" xfId="0" applyFont="1" applyFill="1" applyBorder="1">
      <alignment vertical="center"/>
    </xf>
    <xf numFmtId="0" fontId="39" fillId="18" borderId="15" xfId="0" applyFont="1" applyFill="1" applyBorder="1" applyAlignment="1">
      <alignment horizontal="center" vertical="center"/>
    </xf>
    <xf numFmtId="0" fontId="39" fillId="15" borderId="14" xfId="0" applyFont="1" applyFill="1" applyBorder="1" applyAlignment="1">
      <alignment horizontal="center" vertical="center" wrapText="1"/>
    </xf>
    <xf numFmtId="0" fontId="35" fillId="11" borderId="21" xfId="0" applyFont="1" applyFill="1" applyBorder="1" applyAlignment="1">
      <alignment horizontal="center" vertical="center"/>
    </xf>
    <xf numFmtId="0" fontId="35" fillId="11" borderId="15" xfId="0" applyFont="1" applyFill="1" applyBorder="1" applyAlignment="1">
      <alignment horizontal="center" vertical="center"/>
    </xf>
    <xf numFmtId="0" fontId="36" fillId="0" borderId="0" xfId="0" applyFont="1" applyAlignment="1">
      <alignment vertical="center"/>
    </xf>
    <xf numFmtId="187" fontId="36" fillId="0" borderId="9" xfId="0" applyNumberFormat="1" applyFont="1" applyBorder="1" applyAlignment="1">
      <alignment vertical="center"/>
    </xf>
    <xf numFmtId="0" fontId="36" fillId="0" borderId="20" xfId="0" applyFont="1" applyBorder="1" applyAlignment="1">
      <alignment vertical="center"/>
    </xf>
    <xf numFmtId="187" fontId="36" fillId="0" borderId="11" xfId="0" applyNumberFormat="1" applyFont="1" applyBorder="1" applyAlignment="1">
      <alignment vertical="center"/>
    </xf>
    <xf numFmtId="0" fontId="36" fillId="0" borderId="22" xfId="0" applyFont="1" applyBorder="1" applyAlignment="1">
      <alignment vertical="center"/>
    </xf>
    <xf numFmtId="0" fontId="36" fillId="21" borderId="20" xfId="0" applyFont="1" applyFill="1" applyBorder="1">
      <alignment vertical="center"/>
    </xf>
    <xf numFmtId="0" fontId="44" fillId="18" borderId="17" xfId="0" applyFont="1" applyFill="1" applyBorder="1" applyAlignment="1">
      <alignment horizontal="left" vertical="center"/>
    </xf>
    <xf numFmtId="0" fontId="36" fillId="0" borderId="20" xfId="0" applyFont="1" applyBorder="1">
      <alignment vertical="center"/>
    </xf>
    <xf numFmtId="0" fontId="36" fillId="0" borderId="20" xfId="0" applyFont="1" applyBorder="1" applyAlignment="1">
      <alignment horizontal="center" vertical="center"/>
    </xf>
    <xf numFmtId="0" fontId="36" fillId="0" borderId="22" xfId="0" applyFont="1" applyBorder="1" applyAlignment="1">
      <alignment horizontal="center" vertical="center"/>
    </xf>
    <xf numFmtId="0" fontId="36" fillId="0" borderId="22"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6" fillId="0" borderId="20" xfId="0" applyFont="1" applyFill="1" applyBorder="1">
      <alignment vertical="center"/>
    </xf>
    <xf numFmtId="0" fontId="35" fillId="0" borderId="0" xfId="0" applyFont="1" applyAlignment="1">
      <alignment vertical="center"/>
    </xf>
    <xf numFmtId="187" fontId="41" fillId="11" borderId="8" xfId="0" applyNumberFormat="1" applyFont="1" applyFill="1" applyBorder="1" applyAlignment="1">
      <alignment horizontal="right"/>
    </xf>
    <xf numFmtId="0" fontId="0" fillId="0" borderId="7" xfId="0" applyBorder="1" applyAlignment="1">
      <alignment horizontal="center" vertical="center"/>
    </xf>
    <xf numFmtId="4" fontId="47" fillId="41" borderId="23" xfId="0" applyNumberFormat="1" applyFont="1" applyFill="1" applyBorder="1" applyAlignment="1" applyProtection="1">
      <alignment horizontal="center" vertical="center"/>
      <protection locked="0"/>
    </xf>
    <xf numFmtId="0" fontId="47" fillId="41"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7" fillId="42" borderId="26" xfId="0" applyNumberFormat="1" applyFont="1" applyFill="1" applyBorder="1" applyAlignment="1" applyProtection="1">
      <alignment horizontal="center" vertical="center"/>
      <protection locked="0"/>
    </xf>
    <xf numFmtId="0" fontId="47" fillId="42"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8" fillId="42" borderId="26" xfId="0" applyNumberFormat="1" applyFont="1" applyFill="1" applyBorder="1" applyAlignment="1" applyProtection="1">
      <alignment horizontal="center" vertical="center"/>
      <protection locked="0"/>
    </xf>
    <xf numFmtId="0" fontId="48" fillId="42" borderId="27" xfId="0" applyFont="1" applyFill="1" applyBorder="1" applyAlignment="1" applyProtection="1">
      <alignment horizontal="center" vertical="center"/>
      <protection locked="0"/>
    </xf>
    <xf numFmtId="49" fontId="4" fillId="20" borderId="7" xfId="0" applyNumberFormat="1" applyFont="1" applyFill="1" applyBorder="1" applyAlignment="1">
      <alignment horizontal="center" vertical="center" wrapText="1"/>
    </xf>
    <xf numFmtId="4" fontId="48" fillId="42" borderId="29" xfId="0" applyNumberFormat="1" applyFont="1" applyFill="1" applyBorder="1" applyAlignment="1" applyProtection="1">
      <alignment horizontal="center" vertical="center"/>
      <protection locked="0"/>
    </xf>
    <xf numFmtId="0" fontId="48" fillId="42" borderId="30"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8" fillId="42" borderId="23" xfId="0" applyNumberFormat="1" applyFont="1" applyFill="1" applyBorder="1" applyAlignment="1" applyProtection="1">
      <alignment horizontal="center" vertical="center"/>
      <protection locked="0"/>
    </xf>
    <xf numFmtId="0" fontId="48" fillId="42" borderId="31" xfId="0" applyFont="1" applyFill="1" applyBorder="1" applyAlignment="1" applyProtection="1">
      <alignment horizontal="center" vertical="center"/>
      <protection locked="0"/>
    </xf>
    <xf numFmtId="0" fontId="48" fillId="42" borderId="32"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 fontId="48" fillId="42" borderId="33" xfId="0" applyNumberFormat="1" applyFont="1" applyFill="1" applyBorder="1" applyAlignment="1" applyProtection="1">
      <alignment horizontal="center" vertical="center"/>
      <protection locked="0"/>
    </xf>
    <xf numFmtId="0" fontId="48" fillId="42" borderId="34" xfId="0" applyFont="1" applyFill="1" applyBorder="1" applyAlignment="1" applyProtection="1">
      <alignment horizontal="center" vertical="center"/>
      <protection locked="0"/>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xf numFmtId="43" fontId="15"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FFF00"/>
      <color rgb="00F2BA0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customXml" Target="../customXml/item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3</c:v>
                </c:pt>
                <c:pt idx="1">
                  <c:v>3</c:v>
                </c:pt>
                <c:pt idx="2">
                  <c:v>3</c:v>
                </c:pt>
                <c:pt idx="3">
                  <c:v>3</c:v>
                </c:pt>
                <c:pt idx="4">
                  <c:v>3</c:v>
                </c:pt>
                <c:pt idx="5">
                  <c:v>5</c:v>
                </c:pt>
                <c:pt idx="6">
                  <c:v>5</c:v>
                </c:pt>
                <c:pt idx="7">
                  <c:v>2</c:v>
                </c:pt>
                <c:pt idx="8">
                  <c:v>2</c:v>
                </c:pt>
                <c:pt idx="9">
                  <c:v>2</c:v>
                </c:pt>
                <c:pt idx="10">
                  <c:v>2</c:v>
                </c:pt>
                <c:pt idx="11">
                  <c:v>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7</c:v>
                </c:pt>
                <c:pt idx="1">
                  <c:v>0</c:v>
                </c:pt>
                <c:pt idx="2">
                  <c:v>8</c:v>
                </c:pt>
                <c:pt idx="3">
                  <c:v>6</c:v>
                </c:pt>
                <c:pt idx="4">
                  <c:v>4</c:v>
                </c:pt>
                <c:pt idx="5">
                  <c:v>8</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1</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1</c:v>
                </c:pt>
                <c:pt idx="3">
                  <c:v>0</c:v>
                </c:pt>
                <c:pt idx="4">
                  <c:v>1</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11</c:v>
                </c:pt>
                <c:pt idx="1">
                  <c:v>3</c:v>
                </c:pt>
                <c:pt idx="2">
                  <c:v>13</c:v>
                </c:pt>
                <c:pt idx="3">
                  <c:v>9</c:v>
                </c:pt>
                <c:pt idx="4">
                  <c:v>8</c:v>
                </c:pt>
                <c:pt idx="5">
                  <c:v>14</c:v>
                </c:pt>
                <c:pt idx="6">
                  <c:v>5</c:v>
                </c:pt>
                <c:pt idx="7">
                  <c:v>2</c:v>
                </c:pt>
                <c:pt idx="8">
                  <c:v>2</c:v>
                </c:pt>
                <c:pt idx="9">
                  <c:v>2</c:v>
                </c:pt>
                <c:pt idx="10">
                  <c:v>2</c:v>
                </c:pt>
                <c:pt idx="11">
                  <c:v>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0.024745160303956</c:v>
                </c:pt>
                <c:pt idx="1">
                  <c:v>0.975254839696044</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0.0479584234005548</c:v>
                </c:pt>
                <c:pt idx="1">
                  <c:v>0.952041576599445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0.0945736905897042</c:v>
                </c:pt>
                <c:pt idx="1">
                  <c:v>0.905426309410296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4</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7</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5.25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0.035082169189026</c:v>
                </c:pt>
                <c:pt idx="1">
                  <c:v>0.0356758568687879</c:v>
                </c:pt>
                <c:pt idx="2">
                  <c:v>0.044709486033535</c:v>
                </c:pt>
                <c:pt idx="3">
                  <c:v>0.0449036751576943</c:v>
                </c:pt>
                <c:pt idx="4">
                  <c:v>0.0446280685956958</c:v>
                </c:pt>
                <c:pt idx="5">
                  <c:v>0.0479584234005548</c:v>
                </c:pt>
                <c:pt idx="6">
                  <c:v>0.0469776077692779</c:v>
                </c:pt>
                <c:pt idx="7">
                  <c:v>0.04322431430375</c:v>
                </c:pt>
                <c:pt idx="8">
                  <c:v>0.0401908742244305</c:v>
                </c:pt>
                <c:pt idx="9">
                  <c:v>0.0378230292985463</c:v>
                </c:pt>
                <c:pt idx="10">
                  <c:v>0.0358845186759142</c:v>
                </c:pt>
                <c:pt idx="11">
                  <c:v>0.0342968173298527</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11221.8805109489</c:v>
                </c:pt>
                <c:pt idx="1">
                  <c:v>19634.8422627737</c:v>
                </c:pt>
                <c:pt idx="2">
                  <c:v>35039.3327737226</c:v>
                </c:pt>
                <c:pt idx="3">
                  <c:v>45541.5303649635</c:v>
                </c:pt>
                <c:pt idx="4">
                  <c:v>55831.8808759124</c:v>
                </c:pt>
                <c:pt idx="5">
                  <c:v>71023.6506589341</c:v>
                </c:pt>
                <c:pt idx="6">
                  <c:v>80338.0861013899</c:v>
                </c:pt>
                <c:pt idx="7">
                  <c:v>84005.5615438457</c:v>
                </c:pt>
                <c:pt idx="8">
                  <c:v>87554.7313268674</c:v>
                </c:pt>
                <c:pt idx="9">
                  <c:v>91222.2067693231</c:v>
                </c:pt>
                <c:pt idx="10">
                  <c:v>94771.3765523448</c:v>
                </c:pt>
                <c:pt idx="11">
                  <c:v>98438.8519948006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319874.191658</c:v>
                </c:pt>
                <c:pt idx="1">
                  <c:v>550367.783316</c:v>
                </c:pt>
                <c:pt idx="2">
                  <c:v>783711.374974</c:v>
                </c:pt>
                <c:pt idx="3">
                  <c:v>1014204.966632</c:v>
                </c:pt>
                <c:pt idx="4">
                  <c:v>1251048.55829</c:v>
                </c:pt>
                <c:pt idx="5">
                  <c:v>1480942.149948</c:v>
                </c:pt>
                <c:pt idx="6">
                  <c:v>1710135.741606</c:v>
                </c:pt>
                <c:pt idx="7">
                  <c:v>1943479.333264</c:v>
                </c:pt>
                <c:pt idx="8">
                  <c:v>2178472.924922</c:v>
                </c:pt>
                <c:pt idx="9">
                  <c:v>2411816.51658</c:v>
                </c:pt>
                <c:pt idx="10">
                  <c:v>2641010.108238</c:v>
                </c:pt>
                <c:pt idx="11">
                  <c:v>2870203.699896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268.5359089896</c:v>
                </c:pt>
                <c:pt idx="1">
                  <c:v>4.31646</c:v>
                </c:pt>
                <c:pt idx="2">
                  <c:v>0</c:v>
                </c:pt>
                <c:pt idx="3">
                  <c:v>0</c:v>
                </c:pt>
                <c:pt idx="4">
                  <c:v>14.168001</c:v>
                </c:pt>
                <c:pt idx="5">
                  <c:v>0</c:v>
                </c:pt>
                <c:pt idx="6">
                  <c:v>268.5359089896</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134.8937544948</c:v>
                </c:pt>
                <c:pt idx="1">
                  <c:v>4.31646</c:v>
                </c:pt>
                <c:pt idx="2">
                  <c:v>0</c:v>
                </c:pt>
                <c:pt idx="3">
                  <c:v>0</c:v>
                </c:pt>
                <c:pt idx="4">
                  <c:v>8.8840005</c:v>
                </c:pt>
                <c:pt idx="5">
                  <c:v>0</c:v>
                </c:pt>
                <c:pt idx="6">
                  <c:v>134.8937544948</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5.43838706589341</c:v>
                </c:pt>
                <c:pt idx="1">
                  <c:v>0.680058</c:v>
                </c:pt>
                <c:pt idx="2">
                  <c:v>0</c:v>
                </c:pt>
                <c:pt idx="3">
                  <c:v>0</c:v>
                </c:pt>
                <c:pt idx="4">
                  <c:v>0.94232</c:v>
                </c:pt>
                <c:pt idx="5">
                  <c:v>0.0416</c:v>
                </c:pt>
                <c:pt idx="6">
                  <c:v>2.14129106589341</c:v>
                </c:pt>
                <c:pt idx="7">
                  <c:v>0</c:v>
                </c:pt>
                <c:pt idx="8">
                  <c:v>3.351744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0.0202519919453455</c:v>
                </c:pt>
                <c:pt idx="1">
                  <c:v>0.157549936753729</c:v>
                </c:pt>
                <c:pt idx="2">
                  <c:v>0</c:v>
                </c:pt>
                <c:pt idx="3">
                  <c:v>0</c:v>
                </c:pt>
                <c:pt idx="4">
                  <c:v>0.0665104413812506</c:v>
                </c:pt>
                <c:pt idx="5">
                  <c:v>0</c:v>
                </c:pt>
                <c:pt idx="6">
                  <c:v>0.00797394685109446</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0.0403160775401433</c:v>
                </c:pt>
                <c:pt idx="1">
                  <c:v>0.157549936753729</c:v>
                </c:pt>
                <c:pt idx="2">
                  <c:v>0</c:v>
                </c:pt>
                <c:pt idx="3">
                  <c:v>0</c:v>
                </c:pt>
                <c:pt idx="4">
                  <c:v>0.106069332166292</c:v>
                </c:pt>
                <c:pt idx="5">
                  <c:v>0</c:v>
                </c:pt>
                <c:pt idx="6">
                  <c:v>0.0158739081280146</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0.035082169189026</c:v>
                </c:pt>
                <c:pt idx="1">
                  <c:v>0.0364997642290539</c:v>
                </c:pt>
                <c:pt idx="2">
                  <c:v>0.0660163426880241</c:v>
                </c:pt>
                <c:pt idx="3">
                  <c:v>0.0455639461196985</c:v>
                </c:pt>
                <c:pt idx="4">
                  <c:v>0.0434478739277357</c:v>
                </c:pt>
                <c:pt idx="5">
                  <c:v>0.0660817453564415</c:v>
                </c:pt>
                <c:pt idx="6">
                  <c:v>0.0406400343703966</c:v>
                </c:pt>
                <c:pt idx="7">
                  <c:v>0.0157170609074664</c:v>
                </c:pt>
                <c:pt idx="8">
                  <c:v>0.0151032619995315</c:v>
                </c:pt>
                <c:pt idx="9">
                  <c:v>0.0157170609074664</c:v>
                </c:pt>
                <c:pt idx="10">
                  <c:v>0.0154854669249118</c:v>
                </c:pt>
                <c:pt idx="11">
                  <c:v>0.0160016491557422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0.035082169189026</c:v>
                      </c:pt>
                      <c:pt idx="1">
                        <c:v>0.0356758568687879</c:v>
                      </c:pt>
                      <c:pt idx="2">
                        <c:v>0.044709486033535</c:v>
                      </c:pt>
                      <c:pt idx="3">
                        <c:v>0.0449036751576943</c:v>
                      </c:pt>
                      <c:pt idx="4">
                        <c:v>0.0446280685956958</c:v>
                      </c:pt>
                      <c:pt idx="5">
                        <c:v>0.0479584234005548</c:v>
                      </c:pt>
                      <c:pt idx="6">
                        <c:v>0.0469776077692779</c:v>
                      </c:pt>
                      <c:pt idx="7">
                        <c:v>0.04322431430375</c:v>
                      </c:pt>
                      <c:pt idx="8">
                        <c:v>0.0401908742244305</c:v>
                      </c:pt>
                      <c:pt idx="9">
                        <c:v>0.0378230292985463</c:v>
                      </c:pt>
                      <c:pt idx="10">
                        <c:v>0.0358845186759142</c:v>
                      </c:pt>
                      <c:pt idx="11">
                        <c:v>0.0342968173298527</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11221.8805109489</c:v>
                </c:pt>
                <c:pt idx="1">
                  <c:v>8412.96175182482</c:v>
                </c:pt>
                <c:pt idx="2">
                  <c:v>15404.4905109489</c:v>
                </c:pt>
                <c:pt idx="3">
                  <c:v>10502.1975912409</c:v>
                </c:pt>
                <c:pt idx="4">
                  <c:v>10290.3505109489</c:v>
                </c:pt>
                <c:pt idx="5">
                  <c:v>15191.7697830217</c:v>
                </c:pt>
                <c:pt idx="6">
                  <c:v>9314.43544245576</c:v>
                </c:pt>
                <c:pt idx="7">
                  <c:v>3667.47544245576</c:v>
                </c:pt>
                <c:pt idx="8">
                  <c:v>3549.1697830217</c:v>
                </c:pt>
                <c:pt idx="9">
                  <c:v>3667.47544245576</c:v>
                </c:pt>
                <c:pt idx="10">
                  <c:v>3549.1697830217</c:v>
                </c:pt>
                <c:pt idx="11">
                  <c:v>3667.47544245576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319874.191658</c:v>
                </c:pt>
                <c:pt idx="1">
                  <c:v>230493.591658</c:v>
                </c:pt>
                <c:pt idx="2">
                  <c:v>233343.591658</c:v>
                </c:pt>
                <c:pt idx="3">
                  <c:v>230493.591658</c:v>
                </c:pt>
                <c:pt idx="4">
                  <c:v>236843.591658</c:v>
                </c:pt>
                <c:pt idx="5">
                  <c:v>229893.591658</c:v>
                </c:pt>
                <c:pt idx="6">
                  <c:v>229193.591658</c:v>
                </c:pt>
                <c:pt idx="7">
                  <c:v>233343.591658</c:v>
                </c:pt>
                <c:pt idx="8">
                  <c:v>234993.591658</c:v>
                </c:pt>
                <c:pt idx="9">
                  <c:v>233343.591658</c:v>
                </c:pt>
                <c:pt idx="10">
                  <c:v>229193.591658</c:v>
                </c:pt>
                <c:pt idx="11">
                  <c:v>229193.591658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3</c:v>
                </c:pt>
                <c:pt idx="1">
                  <c:v>3</c:v>
                </c:pt>
                <c:pt idx="2">
                  <c:v>3</c:v>
                </c:pt>
                <c:pt idx="3">
                  <c:v>3</c:v>
                </c:pt>
                <c:pt idx="4">
                  <c:v>3</c:v>
                </c:pt>
                <c:pt idx="5">
                  <c:v>5</c:v>
                </c:pt>
                <c:pt idx="6">
                  <c:v>5</c:v>
                </c:pt>
                <c:pt idx="7">
                  <c:v>2</c:v>
                </c:pt>
                <c:pt idx="8">
                  <c:v>2</c:v>
                </c:pt>
                <c:pt idx="9">
                  <c:v>2</c:v>
                </c:pt>
                <c:pt idx="10">
                  <c:v>2</c:v>
                </c:pt>
                <c:pt idx="11">
                  <c:v>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7</c:v>
                </c:pt>
                <c:pt idx="1">
                  <c:v>0</c:v>
                </c:pt>
                <c:pt idx="2">
                  <c:v>8</c:v>
                </c:pt>
                <c:pt idx="3">
                  <c:v>6</c:v>
                </c:pt>
                <c:pt idx="4">
                  <c:v>4</c:v>
                </c:pt>
                <c:pt idx="5">
                  <c:v>8</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1</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1</c:v>
                </c:pt>
                <c:pt idx="3">
                  <c:v>0</c:v>
                </c:pt>
                <c:pt idx="4">
                  <c:v>1</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11</c:v>
                </c:pt>
                <c:pt idx="1">
                  <c:v>3</c:v>
                </c:pt>
                <c:pt idx="2">
                  <c:v>13</c:v>
                </c:pt>
                <c:pt idx="3">
                  <c:v>9</c:v>
                </c:pt>
                <c:pt idx="4">
                  <c:v>8</c:v>
                </c:pt>
                <c:pt idx="5">
                  <c:v>14</c:v>
                </c:pt>
                <c:pt idx="6">
                  <c:v>5</c:v>
                </c:pt>
                <c:pt idx="7">
                  <c:v>2</c:v>
                </c:pt>
                <c:pt idx="8">
                  <c:v>2</c:v>
                </c:pt>
                <c:pt idx="9">
                  <c:v>2</c:v>
                </c:pt>
                <c:pt idx="10">
                  <c:v>2</c:v>
                </c:pt>
                <c:pt idx="11">
                  <c:v>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0.024745160303956</c:v>
                </c:pt>
                <c:pt idx="1">
                  <c:v>0.975254839696044</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0.289641645695451</c:v>
                </c:pt>
                <c:pt idx="1">
                  <c:v>0.710358354304549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0.0945736905897042</c:v>
                </c:pt>
                <c:pt idx="1">
                  <c:v>0.905426309410296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2</c:v>
                </c:pt>
                <c:pt idx="1">
                  <c:v>0</c:v>
                </c:pt>
                <c:pt idx="2">
                  <c:v>4</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7</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5.25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0.035082169189026</c:v>
                </c:pt>
                <c:pt idx="1">
                  <c:v>0.0356758568687879</c:v>
                </c:pt>
                <c:pt idx="2">
                  <c:v>0.044709486033535</c:v>
                </c:pt>
                <c:pt idx="3">
                  <c:v>0.0449036751576943</c:v>
                </c:pt>
                <c:pt idx="4">
                  <c:v>0.0446280685956958</c:v>
                </c:pt>
                <c:pt idx="5">
                  <c:v>0.0479584234005548</c:v>
                </c:pt>
                <c:pt idx="6">
                  <c:v>0.0469776077692779</c:v>
                </c:pt>
                <c:pt idx="7">
                  <c:v>0.04322431430375</c:v>
                </c:pt>
                <c:pt idx="8">
                  <c:v>0.0401908742244305</c:v>
                </c:pt>
                <c:pt idx="9">
                  <c:v>0.0378230292985463</c:v>
                </c:pt>
                <c:pt idx="10">
                  <c:v>0.0358845186759142</c:v>
                </c:pt>
                <c:pt idx="11">
                  <c:v>0.0342968173298527</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11221.8805109489</c:v>
                </c:pt>
                <c:pt idx="1">
                  <c:v>19634.8422627737</c:v>
                </c:pt>
                <c:pt idx="2">
                  <c:v>35039.3327737226</c:v>
                </c:pt>
                <c:pt idx="3">
                  <c:v>45541.5303649635</c:v>
                </c:pt>
                <c:pt idx="4">
                  <c:v>55831.8808759124</c:v>
                </c:pt>
                <c:pt idx="5">
                  <c:v>71023.6506589341</c:v>
                </c:pt>
                <c:pt idx="6">
                  <c:v>80338.0861013899</c:v>
                </c:pt>
                <c:pt idx="7">
                  <c:v>84005.5615438457</c:v>
                </c:pt>
                <c:pt idx="8">
                  <c:v>87554.7313268674</c:v>
                </c:pt>
                <c:pt idx="9">
                  <c:v>91222.2067693231</c:v>
                </c:pt>
                <c:pt idx="10">
                  <c:v>94771.3765523448</c:v>
                </c:pt>
                <c:pt idx="11">
                  <c:v>98438.8519948006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319874.191658</c:v>
                </c:pt>
                <c:pt idx="1">
                  <c:v>550367.783316</c:v>
                </c:pt>
                <c:pt idx="2">
                  <c:v>783711.374974</c:v>
                </c:pt>
                <c:pt idx="3">
                  <c:v>1014204.966632</c:v>
                </c:pt>
                <c:pt idx="4">
                  <c:v>1251048.55829</c:v>
                </c:pt>
                <c:pt idx="5">
                  <c:v>1480942.149948</c:v>
                </c:pt>
                <c:pt idx="6">
                  <c:v>1710135.741606</c:v>
                </c:pt>
                <c:pt idx="7">
                  <c:v>1943479.333264</c:v>
                </c:pt>
                <c:pt idx="8">
                  <c:v>2178472.924922</c:v>
                </c:pt>
                <c:pt idx="9">
                  <c:v>2411816.51658</c:v>
                </c:pt>
                <c:pt idx="10">
                  <c:v>2641010.108238</c:v>
                </c:pt>
                <c:pt idx="11">
                  <c:v>2870203.699896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268.5359089896</c:v>
                </c:pt>
                <c:pt idx="1">
                  <c:v>4.31646</c:v>
                </c:pt>
                <c:pt idx="2">
                  <c:v>0</c:v>
                </c:pt>
                <c:pt idx="3">
                  <c:v>0</c:v>
                </c:pt>
                <c:pt idx="4">
                  <c:v>14.168001</c:v>
                </c:pt>
                <c:pt idx="5">
                  <c:v>0</c:v>
                </c:pt>
                <c:pt idx="6">
                  <c:v>268.5359089896</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11.320754496</c:v>
                </c:pt>
                <c:pt idx="1">
                  <c:v>4.31646</c:v>
                </c:pt>
                <c:pt idx="2">
                  <c:v>0</c:v>
                </c:pt>
                <c:pt idx="3">
                  <c:v>0</c:v>
                </c:pt>
                <c:pt idx="4">
                  <c:v>8.8840005</c:v>
                </c:pt>
                <c:pt idx="5">
                  <c:v>0</c:v>
                </c:pt>
                <c:pt idx="6">
                  <c:v>134.8937544948</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5.43838706589341</c:v>
                </c:pt>
                <c:pt idx="1">
                  <c:v>0.680058</c:v>
                </c:pt>
                <c:pt idx="2">
                  <c:v>0</c:v>
                </c:pt>
                <c:pt idx="3">
                  <c:v>0</c:v>
                </c:pt>
                <c:pt idx="4">
                  <c:v>0.94232</c:v>
                </c:pt>
                <c:pt idx="5">
                  <c:v>0.0416</c:v>
                </c:pt>
                <c:pt idx="6">
                  <c:v>2.14129106589341</c:v>
                </c:pt>
                <c:pt idx="7">
                  <c:v>0</c:v>
                </c:pt>
                <c:pt idx="8">
                  <c:v>3.351744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0.0202519919453455</c:v>
                </c:pt>
                <c:pt idx="1">
                  <c:v>0.157549936753729</c:v>
                </c:pt>
                <c:pt idx="2">
                  <c:v>0</c:v>
                </c:pt>
                <c:pt idx="3">
                  <c:v>0</c:v>
                </c:pt>
                <c:pt idx="4">
                  <c:v>0.0665104413812506</c:v>
                </c:pt>
                <c:pt idx="5">
                  <c:v>0</c:v>
                </c:pt>
                <c:pt idx="6">
                  <c:v>0.00797394685109446</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0.480390866864481</c:v>
                </c:pt>
                <c:pt idx="1">
                  <c:v>0.157549936753729</c:v>
                </c:pt>
                <c:pt idx="2">
                  <c:v>0</c:v>
                </c:pt>
                <c:pt idx="3">
                  <c:v>0</c:v>
                </c:pt>
                <c:pt idx="4">
                  <c:v>0.106069332166292</c:v>
                </c:pt>
                <c:pt idx="5">
                  <c:v>0</c:v>
                </c:pt>
                <c:pt idx="6">
                  <c:v>0.0158739081280146</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0.035082169189026</c:v>
                </c:pt>
                <c:pt idx="1">
                  <c:v>0.0364997642290539</c:v>
                </c:pt>
                <c:pt idx="2">
                  <c:v>0.0660163426880241</c:v>
                </c:pt>
                <c:pt idx="3">
                  <c:v>0.0455639461196985</c:v>
                </c:pt>
                <c:pt idx="4">
                  <c:v>0.0434478739277357</c:v>
                </c:pt>
                <c:pt idx="5">
                  <c:v>0.0660817453564415</c:v>
                </c:pt>
                <c:pt idx="6">
                  <c:v>0.0406400343703966</c:v>
                </c:pt>
                <c:pt idx="7">
                  <c:v>0.0157170609074664</c:v>
                </c:pt>
                <c:pt idx="8">
                  <c:v>0.0151032619995315</c:v>
                </c:pt>
                <c:pt idx="9">
                  <c:v>0.0157170609074664</c:v>
                </c:pt>
                <c:pt idx="10">
                  <c:v>0.0154854669249118</c:v>
                </c:pt>
                <c:pt idx="11">
                  <c:v>0.0160016491557422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{0.0465716281876689,0.041625418180865,0.0496802679623969,0.0486533828971801,0.0475920763194809,0.0506126893155,0.0492050259252273,0.0450114656689916,0.0416618136592126,0.0390647846598883,0.0369537325663716,0.0352317374507983}</c15:sqref>
                        </c15:formulaRef>
                      </c:ext>
                    </c:extLst>
                    <c:numCache>
                      <c:formatCode>General</c:formatCode>
                      <c:ptCount val="12"/>
                      <c:pt idx="0">
                        <c:v>0.0465716281876689</c:v>
                      </c:pt>
                      <c:pt idx="1">
                        <c:v>0.041625418180865</c:v>
                      </c:pt>
                      <c:pt idx="2">
                        <c:v>0.0496802679623969</c:v>
                      </c:pt>
                      <c:pt idx="3">
                        <c:v>0.0486533828971801</c:v>
                      </c:pt>
                      <c:pt idx="4">
                        <c:v>0.0475920763194809</c:v>
                      </c:pt>
                      <c:pt idx="5">
                        <c:v>0.0506126893155</c:v>
                      </c:pt>
                      <c:pt idx="6">
                        <c:v>0.0492050259252273</c:v>
                      </c:pt>
                      <c:pt idx="7">
                        <c:v>0.0450114656689916</c:v>
                      </c:pt>
                      <c:pt idx="8">
                        <c:v>0.0416618136592126</c:v>
                      </c:pt>
                      <c:pt idx="9">
                        <c:v>0.0390647846598883</c:v>
                      </c:pt>
                      <c:pt idx="10">
                        <c:v>0.0369537325663716</c:v>
                      </c:pt>
                      <c:pt idx="11">
                        <c:v>0.0352317374507983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11221.8805109489</c:v>
                </c:pt>
                <c:pt idx="1">
                  <c:v>8412.96175182482</c:v>
                </c:pt>
                <c:pt idx="2">
                  <c:v>15404.4905109489</c:v>
                </c:pt>
                <c:pt idx="3">
                  <c:v>10502.1975912409</c:v>
                </c:pt>
                <c:pt idx="4">
                  <c:v>10290.3505109489</c:v>
                </c:pt>
                <c:pt idx="5">
                  <c:v>15191.7697830217</c:v>
                </c:pt>
                <c:pt idx="6">
                  <c:v>9314.43544245576</c:v>
                </c:pt>
                <c:pt idx="7">
                  <c:v>3667.47544245576</c:v>
                </c:pt>
                <c:pt idx="8">
                  <c:v>3549.1697830217</c:v>
                </c:pt>
                <c:pt idx="9">
                  <c:v>3667.47544245576</c:v>
                </c:pt>
                <c:pt idx="10">
                  <c:v>3549.1697830217</c:v>
                </c:pt>
                <c:pt idx="11">
                  <c:v>3667.47544245576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319874.191658</c:v>
                </c:pt>
                <c:pt idx="1">
                  <c:v>230493.591658</c:v>
                </c:pt>
                <c:pt idx="2">
                  <c:v>233343.591658</c:v>
                </c:pt>
                <c:pt idx="3">
                  <c:v>230493.591658</c:v>
                </c:pt>
                <c:pt idx="4">
                  <c:v>236843.591658</c:v>
                </c:pt>
                <c:pt idx="5">
                  <c:v>229893.591658</c:v>
                </c:pt>
                <c:pt idx="6">
                  <c:v>229193.591658</c:v>
                </c:pt>
                <c:pt idx="7">
                  <c:v>233343.591658</c:v>
                </c:pt>
                <c:pt idx="8">
                  <c:v>234993.591658</c:v>
                </c:pt>
                <c:pt idx="9">
                  <c:v>233343.591658</c:v>
                </c:pt>
                <c:pt idx="10">
                  <c:v>229193.591658</c:v>
                </c:pt>
                <c:pt idx="11">
                  <c:v>229193.591658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33"/>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1329035" y="2332355"/>
          <a:ext cx="69322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34"/>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33" cache="切片器_二级费项2" caption="二级费项" rowHeight="225425"/>
  <slicer name="二级费项 34"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38" customWidth="1"/>
    <col min="2" max="2" width="26.2545454545455" style="38" customWidth="1"/>
    <col min="3" max="4" width="21.7545454545455" style="38" customWidth="1"/>
    <col min="6" max="6" width="28.6272727272727" customWidth="1"/>
  </cols>
  <sheetData>
    <row r="1" spans="1:4">
      <c r="A1" s="440" t="s">
        <v>0</v>
      </c>
      <c r="B1" s="440"/>
      <c r="C1" s="440" t="s">
        <v>1</v>
      </c>
      <c r="D1" s="440"/>
    </row>
    <row r="2" spans="1:4">
      <c r="A2" s="440" t="s">
        <v>2</v>
      </c>
      <c r="B2" s="440" t="s">
        <v>3</v>
      </c>
      <c r="C2" s="440" t="s">
        <v>2</v>
      </c>
      <c r="D2" s="440" t="s">
        <v>3</v>
      </c>
    </row>
    <row r="3" ht="14.5" spans="1:4">
      <c r="A3" s="441">
        <v>6400</v>
      </c>
      <c r="B3" s="442" t="s">
        <v>4</v>
      </c>
      <c r="C3" s="443"/>
      <c r="D3" s="444"/>
    </row>
    <row r="4" ht="14.5" spans="1:4">
      <c r="A4" s="445">
        <v>6401</v>
      </c>
      <c r="B4" s="446" t="s">
        <v>5</v>
      </c>
      <c r="C4" s="447"/>
      <c r="D4" s="440"/>
    </row>
    <row r="5" ht="14.5" spans="1:4">
      <c r="A5" s="445">
        <v>6401.03</v>
      </c>
      <c r="B5" s="446" t="s">
        <v>6</v>
      </c>
      <c r="C5" s="447"/>
      <c r="D5" s="440"/>
    </row>
    <row r="6" ht="14.5" spans="1:4">
      <c r="A6" s="448" t="s">
        <v>7</v>
      </c>
      <c r="B6" s="449" t="s">
        <v>8</v>
      </c>
      <c r="C6" s="450">
        <v>1.2</v>
      </c>
      <c r="D6" s="108" t="s">
        <v>9</v>
      </c>
    </row>
    <row r="7" ht="14.5" spans="1:4">
      <c r="A7" s="445" t="s">
        <v>10</v>
      </c>
      <c r="B7" s="446" t="s">
        <v>11</v>
      </c>
      <c r="C7" s="447"/>
      <c r="D7" s="440"/>
    </row>
    <row r="8" ht="14.5" spans="1:4">
      <c r="A8" s="451" t="s">
        <v>12</v>
      </c>
      <c r="B8" s="452" t="s">
        <v>13</v>
      </c>
      <c r="C8" s="453" t="s">
        <v>14</v>
      </c>
      <c r="D8" s="118" t="s">
        <v>15</v>
      </c>
    </row>
    <row r="9" ht="14.5" spans="1:4">
      <c r="A9" s="451" t="s">
        <v>16</v>
      </c>
      <c r="B9" s="452" t="s">
        <v>17</v>
      </c>
      <c r="C9" s="453" t="s">
        <v>18</v>
      </c>
      <c r="D9" s="118" t="s">
        <v>19</v>
      </c>
    </row>
    <row r="10" ht="14.5" spans="1:4">
      <c r="A10" s="454" t="s">
        <v>20</v>
      </c>
      <c r="B10" s="455" t="s">
        <v>21</v>
      </c>
      <c r="C10" s="456" t="s">
        <v>22</v>
      </c>
      <c r="D10" s="457" t="s">
        <v>23</v>
      </c>
    </row>
    <row r="11" ht="14.5" spans="1:4">
      <c r="A11" s="458"/>
      <c r="B11" s="459"/>
      <c r="C11" s="456" t="s">
        <v>24</v>
      </c>
      <c r="D11" s="457" t="s">
        <v>25</v>
      </c>
    </row>
    <row r="12" ht="14.5" spans="1:4">
      <c r="A12" s="451" t="s">
        <v>26</v>
      </c>
      <c r="B12" s="452" t="s">
        <v>27</v>
      </c>
      <c r="C12" s="456" t="s">
        <v>28</v>
      </c>
      <c r="D12" s="457" t="s">
        <v>29</v>
      </c>
    </row>
    <row r="13" ht="14.5" spans="1:4">
      <c r="A13" s="451" t="s">
        <v>30</v>
      </c>
      <c r="B13" s="460" t="s">
        <v>31</v>
      </c>
      <c r="C13" s="461" t="s">
        <v>32</v>
      </c>
      <c r="D13" s="462" t="s">
        <v>33</v>
      </c>
    </row>
    <row r="14" ht="14.5" spans="1:4">
      <c r="A14" s="454" t="s">
        <v>34</v>
      </c>
      <c r="B14" s="455" t="s">
        <v>35</v>
      </c>
      <c r="C14" s="461" t="s">
        <v>36</v>
      </c>
      <c r="D14" s="462" t="s">
        <v>37</v>
      </c>
    </row>
    <row r="15" ht="14.5" spans="1:4">
      <c r="A15" s="463"/>
      <c r="B15" s="464"/>
      <c r="C15" s="461" t="s">
        <v>38</v>
      </c>
      <c r="D15" s="462" t="s">
        <v>39</v>
      </c>
    </row>
    <row r="16" ht="14.5" spans="1:4">
      <c r="A16" s="463"/>
      <c r="B16" s="464"/>
      <c r="C16" s="461" t="s">
        <v>40</v>
      </c>
      <c r="D16" s="462" t="s">
        <v>41</v>
      </c>
    </row>
    <row r="17" ht="14.5" spans="1:4">
      <c r="A17" s="458"/>
      <c r="B17" s="459"/>
      <c r="C17" s="461" t="s">
        <v>42</v>
      </c>
      <c r="D17" s="462" t="s">
        <v>43</v>
      </c>
    </row>
    <row r="18" ht="14.5" spans="1:4">
      <c r="A18" s="451" t="s">
        <v>44</v>
      </c>
      <c r="B18" s="452" t="s">
        <v>45</v>
      </c>
      <c r="C18" s="461" t="s">
        <v>46</v>
      </c>
      <c r="D18" s="462" t="s">
        <v>47</v>
      </c>
    </row>
    <row r="19" ht="29" spans="1:4">
      <c r="A19" s="454" t="s">
        <v>48</v>
      </c>
      <c r="B19" s="455" t="s">
        <v>49</v>
      </c>
      <c r="C19" s="465" t="s">
        <v>50</v>
      </c>
      <c r="D19" s="466" t="s">
        <v>51</v>
      </c>
    </row>
    <row r="20" ht="29" spans="1:4">
      <c r="A20" s="458"/>
      <c r="B20" s="459"/>
      <c r="C20" s="465" t="s">
        <v>52</v>
      </c>
      <c r="D20" s="466" t="s">
        <v>53</v>
      </c>
    </row>
    <row r="21" ht="29" spans="1:4">
      <c r="A21" s="454" t="s">
        <v>54</v>
      </c>
      <c r="B21" s="455" t="s">
        <v>55</v>
      </c>
      <c r="C21" s="465" t="s">
        <v>56</v>
      </c>
      <c r="D21" s="466" t="s">
        <v>57</v>
      </c>
    </row>
    <row r="22" ht="14.5" spans="1:4">
      <c r="A22" s="463"/>
      <c r="B22" s="464"/>
      <c r="C22" s="465" t="s">
        <v>58</v>
      </c>
      <c r="D22" s="466" t="s">
        <v>59</v>
      </c>
    </row>
    <row r="23" ht="14.5" spans="1:4">
      <c r="A23" s="458"/>
      <c r="B23" s="459"/>
      <c r="C23" s="465" t="s">
        <v>60</v>
      </c>
      <c r="D23" s="466" t="s">
        <v>61</v>
      </c>
    </row>
    <row r="24" ht="14.5" spans="1:4">
      <c r="A24" s="451" t="s">
        <v>62</v>
      </c>
      <c r="B24" s="452" t="s">
        <v>63</v>
      </c>
      <c r="C24" s="450">
        <v>1.3</v>
      </c>
      <c r="D24" s="108" t="s">
        <v>64</v>
      </c>
    </row>
    <row r="25" ht="14.5" spans="1:4">
      <c r="A25" s="454" t="s">
        <v>65</v>
      </c>
      <c r="B25" s="455" t="s">
        <v>66</v>
      </c>
      <c r="C25" s="456" t="s">
        <v>67</v>
      </c>
      <c r="D25" s="457" t="s">
        <v>68</v>
      </c>
    </row>
    <row r="26" ht="14.5" spans="1:4">
      <c r="A26" s="463"/>
      <c r="B26" s="464"/>
      <c r="C26" s="456" t="s">
        <v>69</v>
      </c>
      <c r="D26" s="457" t="s">
        <v>68</v>
      </c>
    </row>
    <row r="27" ht="14.5" spans="1:4">
      <c r="A27" s="463"/>
      <c r="B27" s="464"/>
      <c r="C27" s="456" t="s">
        <v>70</v>
      </c>
      <c r="D27" s="457" t="s">
        <v>68</v>
      </c>
    </row>
    <row r="28" ht="14.5" spans="1:4">
      <c r="A28" s="463"/>
      <c r="B28" s="464"/>
      <c r="C28" s="456" t="s">
        <v>71</v>
      </c>
      <c r="D28" s="457" t="s">
        <v>68</v>
      </c>
    </row>
    <row r="29" ht="14.5" spans="1:4">
      <c r="A29" s="463"/>
      <c r="B29" s="464"/>
      <c r="C29" s="456" t="s">
        <v>72</v>
      </c>
      <c r="D29" s="457" t="s">
        <v>68</v>
      </c>
    </row>
    <row r="30" ht="14.5" spans="1:4">
      <c r="A30" s="463"/>
      <c r="B30" s="464"/>
      <c r="C30" s="456" t="s">
        <v>73</v>
      </c>
      <c r="D30" s="457" t="s">
        <v>68</v>
      </c>
    </row>
    <row r="31" ht="14.5" spans="1:4">
      <c r="A31" s="463"/>
      <c r="B31" s="464"/>
      <c r="C31" s="456" t="s">
        <v>74</v>
      </c>
      <c r="D31" s="457" t="s">
        <v>68</v>
      </c>
    </row>
    <row r="32" ht="14.5" spans="1:4">
      <c r="A32" s="458"/>
      <c r="B32" s="459"/>
      <c r="C32" s="456" t="s">
        <v>75</v>
      </c>
      <c r="D32" s="457" t="s">
        <v>68</v>
      </c>
    </row>
    <row r="33" ht="14.5" spans="1:4">
      <c r="A33" s="448" t="s">
        <v>76</v>
      </c>
      <c r="B33" s="449" t="s">
        <v>77</v>
      </c>
      <c r="C33" s="21" t="s">
        <v>78</v>
      </c>
      <c r="D33" s="22" t="s">
        <v>79</v>
      </c>
    </row>
    <row r="34" ht="14.5" spans="1:2">
      <c r="A34" s="445" t="s">
        <v>80</v>
      </c>
      <c r="B34" s="446" t="s">
        <v>81</v>
      </c>
    </row>
    <row r="35" ht="14.5" spans="1:4">
      <c r="A35" s="451" t="s">
        <v>82</v>
      </c>
      <c r="B35" s="452" t="s">
        <v>83</v>
      </c>
      <c r="C35" s="21" t="s">
        <v>84</v>
      </c>
      <c r="D35" s="22" t="s">
        <v>85</v>
      </c>
    </row>
    <row r="36" ht="14.5" spans="1:6">
      <c r="A36" s="451" t="s">
        <v>86</v>
      </c>
      <c r="B36" s="452" t="s">
        <v>87</v>
      </c>
      <c r="C36" s="21" t="s">
        <v>88</v>
      </c>
      <c r="D36" s="22" t="s">
        <v>89</v>
      </c>
      <c r="F36" s="1"/>
    </row>
    <row r="37" ht="14.5" spans="1:6">
      <c r="A37" s="451" t="s">
        <v>90</v>
      </c>
      <c r="B37" s="452" t="s">
        <v>91</v>
      </c>
      <c r="C37" s="21" t="s">
        <v>92</v>
      </c>
      <c r="D37" s="22" t="s">
        <v>93</v>
      </c>
      <c r="F37" s="1"/>
    </row>
    <row r="38" ht="14.5" spans="1:4">
      <c r="A38" s="451" t="s">
        <v>94</v>
      </c>
      <c r="B38" s="452" t="s">
        <v>95</v>
      </c>
      <c r="C38" s="21" t="s">
        <v>96</v>
      </c>
      <c r="D38" s="22" t="s">
        <v>97</v>
      </c>
    </row>
    <row r="39" ht="14.5" spans="1:4">
      <c r="A39" s="454" t="s">
        <v>98</v>
      </c>
      <c r="B39" s="455" t="s">
        <v>99</v>
      </c>
      <c r="C39" s="21" t="s">
        <v>100</v>
      </c>
      <c r="D39" s="22" t="s">
        <v>101</v>
      </c>
    </row>
    <row r="40" ht="14.5" spans="1:4">
      <c r="A40" s="458"/>
      <c r="B40" s="459"/>
      <c r="C40" s="21" t="s">
        <v>102</v>
      </c>
      <c r="D40" s="22" t="s">
        <v>103</v>
      </c>
    </row>
    <row r="41" ht="14.5" spans="1:2">
      <c r="A41" s="445" t="s">
        <v>104</v>
      </c>
      <c r="B41" s="446" t="s">
        <v>105</v>
      </c>
    </row>
    <row r="42" ht="14.5" spans="1:4">
      <c r="A42" s="451" t="s">
        <v>106</v>
      </c>
      <c r="B42" s="452" t="s">
        <v>107</v>
      </c>
      <c r="C42" s="456" t="s">
        <v>108</v>
      </c>
      <c r="D42" s="457" t="s">
        <v>109</v>
      </c>
    </row>
    <row r="43" ht="14.5" spans="1:4">
      <c r="A43" s="451" t="s">
        <v>110</v>
      </c>
      <c r="B43" s="452" t="s">
        <v>111</v>
      </c>
      <c r="C43" s="456" t="s">
        <v>112</v>
      </c>
      <c r="D43" s="457" t="s">
        <v>109</v>
      </c>
    </row>
    <row r="44" ht="14.5" spans="1:4">
      <c r="A44" s="451" t="s">
        <v>113</v>
      </c>
      <c r="B44" s="452" t="s">
        <v>114</v>
      </c>
      <c r="C44" s="456" t="s">
        <v>115</v>
      </c>
      <c r="D44" s="457" t="s">
        <v>109</v>
      </c>
    </row>
    <row r="45" ht="14.5" spans="1:4">
      <c r="A45" s="451" t="s">
        <v>116</v>
      </c>
      <c r="B45" s="452" t="s">
        <v>117</v>
      </c>
      <c r="C45" s="456" t="s">
        <v>118</v>
      </c>
      <c r="D45" s="457" t="s">
        <v>109</v>
      </c>
    </row>
    <row r="46" ht="14.5" spans="1:4">
      <c r="A46" s="451" t="s">
        <v>119</v>
      </c>
      <c r="B46" s="452" t="s">
        <v>120</v>
      </c>
      <c r="C46" s="456" t="s">
        <v>121</v>
      </c>
      <c r="D46" s="457" t="s">
        <v>109</v>
      </c>
    </row>
    <row r="47" ht="14.5" spans="1:4">
      <c r="A47" s="451" t="s">
        <v>122</v>
      </c>
      <c r="B47" s="452" t="s">
        <v>123</v>
      </c>
      <c r="C47" s="456" t="s">
        <v>124</v>
      </c>
      <c r="D47" s="457" t="s">
        <v>109</v>
      </c>
    </row>
    <row r="48" ht="14.5" spans="1:4">
      <c r="A48" s="451" t="s">
        <v>125</v>
      </c>
      <c r="B48" s="452" t="s">
        <v>126</v>
      </c>
      <c r="C48" s="456" t="s">
        <v>127</v>
      </c>
      <c r="D48" s="457" t="s">
        <v>109</v>
      </c>
    </row>
    <row r="49" ht="14.5" spans="1:4">
      <c r="A49" s="451" t="s">
        <v>128</v>
      </c>
      <c r="B49" s="452" t="s">
        <v>129</v>
      </c>
      <c r="C49" s="456" t="s">
        <v>130</v>
      </c>
      <c r="D49" s="457" t="s">
        <v>109</v>
      </c>
    </row>
    <row r="50" ht="14.5" spans="1:2">
      <c r="A50" s="445" t="s">
        <v>131</v>
      </c>
      <c r="B50" s="446" t="s">
        <v>132</v>
      </c>
    </row>
    <row r="51" ht="14.5" spans="1:4">
      <c r="A51" s="454" t="s">
        <v>133</v>
      </c>
      <c r="B51" s="455" t="s">
        <v>134</v>
      </c>
      <c r="C51" s="21" t="s">
        <v>135</v>
      </c>
      <c r="D51" s="467" t="s">
        <v>136</v>
      </c>
    </row>
    <row r="52" ht="14.5" spans="1:4">
      <c r="A52" s="458"/>
      <c r="B52" s="459"/>
      <c r="C52" s="21" t="s">
        <v>137</v>
      </c>
      <c r="D52" s="22" t="s">
        <v>138</v>
      </c>
    </row>
    <row r="53" ht="14.5" spans="1:4">
      <c r="A53" s="454" t="s">
        <v>139</v>
      </c>
      <c r="B53" s="455" t="s">
        <v>140</v>
      </c>
      <c r="C53" s="21" t="s">
        <v>141</v>
      </c>
      <c r="D53" s="22" t="s">
        <v>142</v>
      </c>
    </row>
    <row r="54" ht="14.5" spans="1:4">
      <c r="A54" s="458"/>
      <c r="B54" s="459"/>
      <c r="C54" s="21" t="s">
        <v>143</v>
      </c>
      <c r="D54" s="467" t="s">
        <v>144</v>
      </c>
    </row>
    <row r="55" ht="14.5" spans="1:4">
      <c r="A55" s="451" t="s">
        <v>145</v>
      </c>
      <c r="B55" s="452" t="s">
        <v>146</v>
      </c>
      <c r="C55" s="21" t="s">
        <v>147</v>
      </c>
      <c r="D55" s="22" t="s">
        <v>148</v>
      </c>
    </row>
    <row r="56" ht="14.5" spans="1:2">
      <c r="A56" s="445" t="s">
        <v>149</v>
      </c>
      <c r="B56" s="446" t="s">
        <v>150</v>
      </c>
    </row>
    <row r="57" ht="14.5" spans="1:4">
      <c r="A57" s="451" t="s">
        <v>151</v>
      </c>
      <c r="B57" s="452" t="s">
        <v>152</v>
      </c>
      <c r="C57" s="21" t="s">
        <v>153</v>
      </c>
      <c r="D57" s="22" t="s">
        <v>154</v>
      </c>
    </row>
    <row r="58" ht="14.5" spans="1:4">
      <c r="A58" s="451" t="s">
        <v>155</v>
      </c>
      <c r="B58" s="452" t="s">
        <v>156</v>
      </c>
      <c r="C58" s="21" t="s">
        <v>157</v>
      </c>
      <c r="D58" s="22" t="s">
        <v>158</v>
      </c>
    </row>
    <row r="59" ht="14.5" spans="1:2">
      <c r="A59" s="451" t="s">
        <v>159</v>
      </c>
      <c r="B59" s="452" t="s">
        <v>160</v>
      </c>
    </row>
    <row r="60" ht="14.5" spans="1:2">
      <c r="A60" s="451" t="s">
        <v>161</v>
      </c>
      <c r="B60" s="452" t="s">
        <v>162</v>
      </c>
    </row>
    <row r="61" ht="14.5" spans="1:2">
      <c r="A61" s="451" t="s">
        <v>163</v>
      </c>
      <c r="B61" s="452" t="s">
        <v>164</v>
      </c>
    </row>
    <row r="62" ht="14.5" spans="1:2">
      <c r="A62" s="451" t="s">
        <v>165</v>
      </c>
      <c r="B62" s="452" t="s">
        <v>166</v>
      </c>
    </row>
    <row r="63" ht="14.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53" activePane="bottomLeft" state="frozen"/>
      <selection/>
      <selection pane="bottomLeft" activeCell="L10" sqref="L10:M10"/>
    </sheetView>
  </sheetViews>
  <sheetFormatPr defaultColWidth="9" defaultRowHeight="16.5"/>
  <cols>
    <col min="1" max="1" width="1.5" style="332" customWidth="1"/>
    <col min="2" max="2" width="11.8727272727273" style="333" customWidth="1"/>
    <col min="3" max="3" width="13.7545454545455" style="333" customWidth="1"/>
    <col min="4" max="4" width="12.6272727272727" style="333" customWidth="1"/>
    <col min="5" max="5" width="10.7545454545455" style="333" customWidth="1"/>
    <col min="6" max="13" width="12.6272727272727" style="333" customWidth="1"/>
    <col min="14" max="14" width="9.5" style="331" customWidth="1"/>
    <col min="15" max="15" width="17.6272727272727" style="331" customWidth="1"/>
    <col min="16" max="20" width="17.6272727272727" style="333" customWidth="1"/>
    <col min="21" max="21" width="1.5" style="333" customWidth="1"/>
    <col min="22" max="16384" width="9" style="333"/>
  </cols>
  <sheetData>
    <row r="1" s="328" customFormat="1" ht="8.1" customHeight="1" spans="1:33">
      <c r="A1" s="332"/>
      <c r="B1" s="334"/>
      <c r="C1" s="335"/>
      <c r="D1" s="335"/>
      <c r="E1" s="335"/>
      <c r="F1" s="335"/>
      <c r="G1" s="335"/>
      <c r="H1" s="335"/>
      <c r="I1" s="334"/>
      <c r="J1" s="335"/>
      <c r="K1" s="334"/>
      <c r="L1" s="335"/>
      <c r="M1" s="375"/>
      <c r="N1" s="364"/>
      <c r="O1" s="364"/>
      <c r="P1" s="332"/>
      <c r="Q1" s="332"/>
      <c r="R1" s="332"/>
      <c r="S1" s="332"/>
      <c r="T1" s="332"/>
      <c r="U1" s="332"/>
      <c r="V1" s="332"/>
      <c r="W1" s="332"/>
      <c r="X1" s="332"/>
      <c r="Y1" s="332"/>
      <c r="Z1" s="332"/>
      <c r="AA1" s="332"/>
      <c r="AB1" s="332"/>
      <c r="AC1" s="332"/>
      <c r="AD1" s="332"/>
      <c r="AE1" s="332"/>
      <c r="AF1" s="332"/>
      <c r="AG1" s="332"/>
    </row>
    <row r="2" ht="51" customHeight="1" spans="2:20">
      <c r="B2" s="336" t="s">
        <v>169</v>
      </c>
      <c r="C2" s="336"/>
      <c r="D2" s="337"/>
      <c r="E2" s="337"/>
      <c r="F2" s="337"/>
      <c r="G2" s="337"/>
      <c r="H2" s="337"/>
      <c r="I2" s="337"/>
      <c r="J2" s="337"/>
      <c r="K2" s="337"/>
      <c r="L2" s="337"/>
      <c r="M2" s="337"/>
      <c r="N2" s="337"/>
      <c r="O2" s="336"/>
      <c r="P2" s="336"/>
      <c r="Q2" s="336"/>
      <c r="R2" s="336"/>
      <c r="S2" s="336"/>
      <c r="T2" s="336"/>
    </row>
    <row r="3" s="329" customFormat="1" ht="47.1" customHeight="1" spans="1:29">
      <c r="A3" s="338"/>
      <c r="B3" s="339" t="s">
        <v>170</v>
      </c>
      <c r="C3" s="339"/>
      <c r="D3" s="340" t="str">
        <f>'1-1 项目基础信息'!D8</f>
        <v>深圳区域公司金地智慧服务总部物业服务中心</v>
      </c>
      <c r="E3" s="340"/>
      <c r="F3" s="340"/>
      <c r="G3" s="340"/>
      <c r="H3" s="340"/>
      <c r="I3" s="339" t="s">
        <v>171</v>
      </c>
      <c r="J3" s="340">
        <v>2025</v>
      </c>
      <c r="K3" s="376" t="s">
        <v>172</v>
      </c>
      <c r="L3" s="377">
        <v>6</v>
      </c>
      <c r="M3" s="378" t="s">
        <v>173</v>
      </c>
      <c r="N3" s="379"/>
      <c r="O3" s="376" t="s">
        <v>174</v>
      </c>
      <c r="P3" s="380"/>
      <c r="Q3" s="380"/>
      <c r="R3" s="380"/>
      <c r="S3" s="380"/>
      <c r="T3" s="420"/>
      <c r="AC3" s="438"/>
    </row>
    <row r="4" s="330" customFormat="1" ht="74.1" customHeight="1" spans="1:33">
      <c r="A4" s="341"/>
      <c r="B4" s="342" t="s">
        <v>175</v>
      </c>
      <c r="C4" s="342"/>
      <c r="D4" s="343">
        <f>'2 过程管理表单'!H4/10000</f>
        <v>287.0203699896</v>
      </c>
      <c r="E4" s="343"/>
      <c r="F4" s="342" t="s">
        <v>176</v>
      </c>
      <c r="G4" s="344"/>
      <c r="H4" s="345">
        <f>L3/12</f>
        <v>0.5</v>
      </c>
      <c r="I4" s="345"/>
      <c r="J4" s="381">
        <f t="shared" ref="J4:J9" si="0">H4</f>
        <v>0.5</v>
      </c>
      <c r="K4" s="382">
        <f t="shared" ref="K4:K9" si="1">1-J4</f>
        <v>0.5</v>
      </c>
      <c r="L4" s="383"/>
      <c r="M4" s="384"/>
      <c r="N4" s="385"/>
      <c r="O4" s="386" t="s">
        <v>177</v>
      </c>
      <c r="P4" s="387">
        <f>SUM(P6:P10)</f>
        <v>16.25</v>
      </c>
      <c r="Q4" s="421" t="s">
        <v>178</v>
      </c>
      <c r="R4" s="422">
        <f>SUM(Q6:Q10)</f>
        <v>20</v>
      </c>
      <c r="S4" s="421" t="s">
        <v>179</v>
      </c>
      <c r="T4" s="423">
        <f>SUM(R6:R10)</f>
        <v>25</v>
      </c>
      <c r="U4" s="424"/>
      <c r="V4" s="424"/>
      <c r="W4" s="424"/>
      <c r="X4" s="424"/>
      <c r="Y4" s="424"/>
      <c r="Z4" s="424"/>
      <c r="AA4" s="424"/>
      <c r="AB4" s="424"/>
      <c r="AC4" s="424"/>
      <c r="AD4" s="424"/>
      <c r="AE4" s="424"/>
      <c r="AF4" s="424"/>
      <c r="AG4" s="424"/>
    </row>
    <row r="5" s="330" customFormat="1" ht="74.1" customHeight="1" spans="1:33">
      <c r="A5" s="341"/>
      <c r="B5" s="342" t="s">
        <v>180</v>
      </c>
      <c r="C5" s="342"/>
      <c r="D5" s="343">
        <f>INDEX('4主要费项费项月累成本使用情况'!C38:N38,MATCH($L$3&amp;"月",表3_3[[#Headers],[1月]:[12月]],0))/10000</f>
        <v>148.0942149948</v>
      </c>
      <c r="E5" s="343"/>
      <c r="F5" s="342" t="s">
        <v>181</v>
      </c>
      <c r="G5" s="344"/>
      <c r="H5" s="345">
        <f>D6/D4</f>
        <v>0.024745160303956</v>
      </c>
      <c r="I5" s="345"/>
      <c r="J5" s="388">
        <f t="shared" si="0"/>
        <v>0.024745160303956</v>
      </c>
      <c r="K5" s="389">
        <f t="shared" si="1"/>
        <v>0.975254839696044</v>
      </c>
      <c r="L5" s="383"/>
      <c r="M5" s="384"/>
      <c r="N5" s="385"/>
      <c r="O5" s="390"/>
      <c r="P5" s="391" t="s">
        <v>182</v>
      </c>
      <c r="Q5" s="391" t="s">
        <v>183</v>
      </c>
      <c r="R5" s="391" t="s">
        <v>184</v>
      </c>
      <c r="S5" s="425"/>
      <c r="T5" s="399"/>
      <c r="U5" s="424"/>
      <c r="Y5" s="424"/>
      <c r="Z5" s="424"/>
      <c r="AA5" s="424"/>
      <c r="AB5" s="424"/>
      <c r="AC5" s="424"/>
      <c r="AD5" s="424"/>
      <c r="AE5" s="424"/>
      <c r="AF5" s="424"/>
      <c r="AG5" s="424"/>
    </row>
    <row r="6" s="330" customFormat="1" ht="74.1" customHeight="1" spans="1:33">
      <c r="A6" s="341"/>
      <c r="B6" s="342" t="s">
        <v>185</v>
      </c>
      <c r="C6" s="342"/>
      <c r="D6" s="439">
        <f>INDEX('4主要费项费项月累成本使用情况'!C39:N39,MATCH($L$3&amp;"月",表3_3[[#Headers],[1月]:[12月]],0))/10000</f>
        <v>7.10236506589341</v>
      </c>
      <c r="E6" s="439"/>
      <c r="F6" s="342" t="s">
        <v>186</v>
      </c>
      <c r="G6" s="344"/>
      <c r="H6" s="345">
        <f>D6/D5</f>
        <v>0.0479584234005548</v>
      </c>
      <c r="I6" s="345"/>
      <c r="J6" s="392">
        <f t="shared" si="0"/>
        <v>0.0479584234005548</v>
      </c>
      <c r="K6" s="393">
        <f t="shared" si="1"/>
        <v>0.952041576599445</v>
      </c>
      <c r="L6" s="394"/>
      <c r="M6" s="395"/>
      <c r="N6" s="385"/>
      <c r="O6" s="365" t="s">
        <v>187</v>
      </c>
      <c r="P6" s="396">
        <f>'1-2 人员岗位信息'!D7</f>
        <v>1</v>
      </c>
      <c r="Q6" s="396">
        <f>'1-2 人员岗位信息'!D8</f>
        <v>0</v>
      </c>
      <c r="R6" s="396">
        <f>'1-2 人员岗位信息'!D9</f>
        <v>0</v>
      </c>
      <c r="S6" s="396"/>
      <c r="T6" s="384"/>
      <c r="U6" s="424"/>
      <c r="Y6" s="424"/>
      <c r="Z6" s="424"/>
      <c r="AA6" s="424"/>
      <c r="AB6" s="424"/>
      <c r="AC6" s="424"/>
      <c r="AD6" s="424"/>
      <c r="AE6" s="424"/>
      <c r="AF6" s="424"/>
      <c r="AG6" s="424"/>
    </row>
    <row r="7" s="330" customFormat="1" ht="74.1" customHeight="1" spans="1:33">
      <c r="A7" s="341"/>
      <c r="B7" s="342" t="s">
        <v>188</v>
      </c>
      <c r="C7" s="346"/>
      <c r="D7" s="347">
        <f>INDEX('4主要费项费项月累成本使用情况'!C48:N48,MATCH($L$3&amp;"月",表3_3[[#Headers],[1月]:[12月]],0))</f>
        <v>1</v>
      </c>
      <c r="E7" s="348" t="s">
        <v>189</v>
      </c>
      <c r="F7" s="349" t="s">
        <v>190</v>
      </c>
      <c r="G7" s="342"/>
      <c r="H7" s="350">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2</v>
      </c>
      <c r="Q7" s="396">
        <f>'1-2 人员岗位信息'!D72</f>
        <v>0</v>
      </c>
      <c r="R7" s="396">
        <f>'1-2 人员岗位信息'!D73</f>
        <v>4</v>
      </c>
      <c r="S7" s="396"/>
      <c r="T7" s="426"/>
      <c r="U7" s="424"/>
      <c r="Y7" s="424"/>
      <c r="Z7" s="424"/>
      <c r="AA7" s="424"/>
      <c r="AB7" s="424"/>
      <c r="AC7" s="424"/>
      <c r="AD7" s="424"/>
      <c r="AE7" s="424"/>
      <c r="AF7" s="424"/>
      <c r="AG7" s="424"/>
    </row>
    <row r="8" s="330" customFormat="1" ht="74.1" customHeight="1" spans="1:33">
      <c r="A8" s="341"/>
      <c r="B8" s="342" t="s">
        <v>192</v>
      </c>
      <c r="C8" s="346"/>
      <c r="D8" s="347">
        <f>INDEX(三级费项月累表格!C195:N195,MATCH($L$3&amp;"月",表3_3[[#Headers],[1月]:[12月]],0))</f>
        <v>37</v>
      </c>
      <c r="E8" s="351" t="s">
        <v>193</v>
      </c>
      <c r="F8" s="349" t="s">
        <v>194</v>
      </c>
      <c r="G8" s="342"/>
      <c r="H8" s="352"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1</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0" customFormat="1" ht="74.1" customHeight="1" spans="1:33">
      <c r="A9" s="341"/>
      <c r="B9" s="342" t="s">
        <v>196</v>
      </c>
      <c r="C9" s="346"/>
      <c r="D9" s="353">
        <v>35</v>
      </c>
      <c r="E9" s="354" t="s">
        <v>197</v>
      </c>
      <c r="F9" s="349" t="s">
        <v>198</v>
      </c>
      <c r="G9" s="344"/>
      <c r="H9" s="355">
        <f>IFERROR(INDEX(劳务外包表!C47:N47,MATCH($L$3&amp;"月",劳务外包表!C1:N1,0))/劳务外包表!N49,"无目标值")</f>
        <v>0.0945736905897042</v>
      </c>
      <c r="I9" s="402"/>
      <c r="J9" s="392">
        <f t="shared" si="0"/>
        <v>0.0945736905897042</v>
      </c>
      <c r="K9" s="393">
        <f t="shared" si="1"/>
        <v>0.905426309410296</v>
      </c>
      <c r="L9" s="394"/>
      <c r="M9" s="395"/>
      <c r="N9" s="385"/>
      <c r="O9" s="365" t="s">
        <v>199</v>
      </c>
      <c r="P9" s="403">
        <f>'1-2 人员岗位信息'!D155</f>
        <v>7</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0" customFormat="1" ht="74.1" customHeight="1" spans="1:33">
      <c r="A10" s="341"/>
      <c r="B10" s="342" t="s">
        <v>200</v>
      </c>
      <c r="C10" s="342"/>
      <c r="D10" s="356" cm="1">
        <f t="array" ref="D10">SUMPRODUCT((TEXT('2-2 引出数据_合同数据仓库'!AC:AC,"yyyymm")&lt;=TEXT(DATE(2025,$L$3+1,0),"yyyymm"))*(('2-2 引出数据_合同数据仓库'!C:C="审核通过")))</f>
        <v>2</v>
      </c>
      <c r="E10" s="356"/>
      <c r="F10" s="342" t="s">
        <v>201</v>
      </c>
      <c r="G10" s="342"/>
      <c r="H10" s="357" cm="1">
        <f t="array" ref="H10">SUMPRODUCT(--(LEFT('2-1 采购订单物料明细表报表导出'!K:K,7)&lt;&gt;"")*--(LEFT('2-1 采购订单物料明细表报表导出'!K:K,7)&lt;=TEXT(DATE(2025,$L$3,1),"yyyy-mm")))</f>
        <v>430</v>
      </c>
      <c r="I10" s="404"/>
      <c r="J10" s="342" t="s">
        <v>202</v>
      </c>
      <c r="K10" s="342"/>
      <c r="L10" s="357" cm="1">
        <f t="array" ref="L10">SUMPRODUCT((TEXT('2-3 引出列表'!M:M,"yyyymm")&lt;=TEXT(DATE(2025,$L$3+1,0),"yyyymm"))*(('2-3 引出列表'!L:L="已审核")+('2-3 引出列表'!M:M="已付款")))</f>
        <v>65</v>
      </c>
      <c r="M10" s="404"/>
      <c r="N10" s="405"/>
      <c r="O10" s="367" t="s">
        <v>203</v>
      </c>
      <c r="P10" s="406">
        <f>'1-2 人员岗位信息'!D35</f>
        <v>5.25</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1" customFormat="1" ht="29.1" customHeight="1" spans="1:20">
      <c r="A14" s="364"/>
      <c r="B14" s="365"/>
      <c r="C14" s="366"/>
      <c r="D14" s="366"/>
      <c r="E14" s="366"/>
      <c r="F14" s="366"/>
      <c r="G14" s="366"/>
      <c r="H14" s="366"/>
      <c r="I14" s="366"/>
      <c r="J14" s="366"/>
      <c r="K14" s="366"/>
      <c r="L14" s="366"/>
      <c r="M14" s="366"/>
      <c r="T14" s="432"/>
    </row>
    <row r="15" s="331" customFormat="1" ht="29.1" customHeight="1" spans="1:20">
      <c r="A15" s="364"/>
      <c r="B15" s="365"/>
      <c r="C15" s="366"/>
      <c r="D15" s="366"/>
      <c r="E15" s="366"/>
      <c r="F15" s="366"/>
      <c r="G15" s="366"/>
      <c r="H15" s="366"/>
      <c r="I15" s="366"/>
      <c r="J15" s="366"/>
      <c r="K15" s="366"/>
      <c r="L15" s="366"/>
      <c r="M15" s="366"/>
      <c r="T15" s="432"/>
    </row>
    <row r="16" s="331" customFormat="1" ht="29.1" customHeight="1" spans="1:20">
      <c r="A16" s="364"/>
      <c r="B16" s="365"/>
      <c r="C16" s="366"/>
      <c r="D16" s="366"/>
      <c r="E16" s="366"/>
      <c r="F16" s="366"/>
      <c r="G16" s="366"/>
      <c r="H16" s="366"/>
      <c r="I16" s="366"/>
      <c r="J16" s="366"/>
      <c r="K16" s="366"/>
      <c r="L16" s="366"/>
      <c r="M16" s="366"/>
      <c r="T16" s="432"/>
    </row>
    <row r="17" s="331" customFormat="1" ht="29.1" customHeight="1" spans="1:20">
      <c r="A17" s="364"/>
      <c r="B17" s="365"/>
      <c r="C17" s="366"/>
      <c r="D17" s="366"/>
      <c r="E17" s="366"/>
      <c r="F17" s="366"/>
      <c r="G17" s="366"/>
      <c r="H17" s="366"/>
      <c r="I17" s="366"/>
      <c r="J17" s="366"/>
      <c r="K17" s="366"/>
      <c r="L17" s="366"/>
      <c r="M17" s="366"/>
      <c r="T17" s="432"/>
    </row>
    <row r="18" s="331" customFormat="1" ht="29.1" customHeight="1" spans="1:20">
      <c r="A18" s="364"/>
      <c r="B18" s="365"/>
      <c r="C18" s="366"/>
      <c r="D18" s="366"/>
      <c r="E18" s="366"/>
      <c r="F18" s="366"/>
      <c r="G18" s="366"/>
      <c r="H18" s="366"/>
      <c r="I18" s="366"/>
      <c r="J18" s="366"/>
      <c r="K18" s="366"/>
      <c r="L18" s="366"/>
      <c r="M18" s="366"/>
      <c r="T18" s="432"/>
    </row>
    <row r="19" s="331" customFormat="1" ht="29.1" customHeight="1" spans="1:20">
      <c r="A19" s="364"/>
      <c r="B19" s="365"/>
      <c r="C19" s="366"/>
      <c r="D19" s="366"/>
      <c r="E19" s="366"/>
      <c r="F19" s="366"/>
      <c r="G19" s="366"/>
      <c r="H19" s="366"/>
      <c r="I19" s="366"/>
      <c r="J19" s="366"/>
      <c r="K19" s="366"/>
      <c r="L19" s="366"/>
      <c r="M19" s="366"/>
      <c r="T19" s="432"/>
    </row>
    <row r="20" s="331" customFormat="1" ht="29.1" customHeight="1" spans="1:20">
      <c r="A20" s="364"/>
      <c r="B20" s="365"/>
      <c r="C20" s="366"/>
      <c r="D20" s="366"/>
      <c r="E20" s="366"/>
      <c r="F20" s="366"/>
      <c r="G20" s="366"/>
      <c r="H20" s="366"/>
      <c r="I20" s="366"/>
      <c r="J20" s="366"/>
      <c r="K20" s="366"/>
      <c r="L20" s="366"/>
      <c r="M20" s="366"/>
      <c r="T20" s="432"/>
    </row>
    <row r="21" s="331" customFormat="1" ht="29.1" customHeight="1" spans="1:20">
      <c r="A21" s="364"/>
      <c r="B21" s="365"/>
      <c r="C21" s="366"/>
      <c r="D21" s="366"/>
      <c r="E21" s="366"/>
      <c r="F21" s="366"/>
      <c r="G21" s="366"/>
      <c r="H21" s="366"/>
      <c r="I21" s="366"/>
      <c r="J21" s="366"/>
      <c r="K21" s="366"/>
      <c r="L21" s="366"/>
      <c r="M21" s="366"/>
      <c r="T21" s="432"/>
    </row>
    <row r="22" s="331" customFormat="1" ht="29.1" customHeight="1" spans="1:20">
      <c r="A22" s="364"/>
      <c r="B22" s="365"/>
      <c r="C22" s="366"/>
      <c r="D22" s="366"/>
      <c r="E22" s="366"/>
      <c r="F22" s="366"/>
      <c r="G22" s="366"/>
      <c r="H22" s="366"/>
      <c r="I22" s="366"/>
      <c r="J22" s="366"/>
      <c r="K22" s="366"/>
      <c r="L22" s="366"/>
      <c r="M22" s="366"/>
      <c r="T22" s="432"/>
    </row>
    <row r="23" s="331" customFormat="1" ht="29.1" customHeight="1" spans="1:20">
      <c r="A23" s="364"/>
      <c r="B23" s="365"/>
      <c r="C23" s="366"/>
      <c r="D23" s="366"/>
      <c r="E23" s="366"/>
      <c r="F23" s="366"/>
      <c r="G23" s="366"/>
      <c r="H23" s="366"/>
      <c r="I23" s="366"/>
      <c r="J23" s="366"/>
      <c r="K23" s="366"/>
      <c r="L23" s="366"/>
      <c r="M23" s="366"/>
      <c r="T23" s="432"/>
    </row>
    <row r="24" s="331"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1"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1" customFormat="1" ht="17.1" customHeight="1" spans="1:30">
      <c r="A26" s="332"/>
      <c r="B26" s="362"/>
      <c r="C26" s="363"/>
      <c r="D26" s="363"/>
      <c r="E26" s="363"/>
      <c r="F26" s="363"/>
      <c r="G26" s="363"/>
      <c r="H26" s="363"/>
      <c r="I26" s="363"/>
      <c r="J26" s="363"/>
      <c r="K26" s="363"/>
      <c r="L26" s="363"/>
      <c r="M26" s="363"/>
      <c r="T26" s="432"/>
      <c r="X26" s="333"/>
      <c r="Y26" s="333"/>
      <c r="Z26" s="333"/>
      <c r="AA26" s="333"/>
      <c r="AB26" s="333"/>
      <c r="AC26" s="333"/>
      <c r="AD26" s="333"/>
    </row>
    <row r="27" s="331" customFormat="1" ht="20.1" customHeight="1" spans="1:20">
      <c r="A27" s="364"/>
      <c r="B27" s="365"/>
      <c r="C27" s="366"/>
      <c r="D27" s="366"/>
      <c r="E27" s="366"/>
      <c r="F27" s="366"/>
      <c r="G27" s="366"/>
      <c r="H27" s="366"/>
      <c r="I27" s="366"/>
      <c r="J27" s="366"/>
      <c r="K27" s="366"/>
      <c r="L27" s="366"/>
      <c r="M27" s="366"/>
      <c r="T27" s="432"/>
    </row>
    <row r="28" s="331" customFormat="1" ht="20.1" customHeight="1" spans="1:20">
      <c r="A28" s="364"/>
      <c r="B28" s="365"/>
      <c r="C28" s="366"/>
      <c r="D28" s="366"/>
      <c r="E28" s="366"/>
      <c r="F28" s="366"/>
      <c r="G28" s="366"/>
      <c r="H28" s="366"/>
      <c r="I28" s="366"/>
      <c r="J28" s="366"/>
      <c r="K28" s="366"/>
      <c r="L28" s="366"/>
      <c r="M28" s="366"/>
      <c r="T28" s="432"/>
    </row>
    <row r="29" s="331" customFormat="1" ht="20.1" customHeight="1" spans="1:20">
      <c r="A29" s="364"/>
      <c r="B29" s="365"/>
      <c r="C29" s="366"/>
      <c r="D29" s="366"/>
      <c r="E29" s="366"/>
      <c r="F29" s="366"/>
      <c r="G29" s="366"/>
      <c r="H29" s="366"/>
      <c r="I29" s="366"/>
      <c r="J29" s="366"/>
      <c r="K29" s="366"/>
      <c r="L29" s="366"/>
      <c r="M29" s="366"/>
      <c r="T29" s="432"/>
    </row>
    <row r="30" s="331" customFormat="1" ht="20.1" customHeight="1" spans="1:20">
      <c r="A30" s="364"/>
      <c r="B30" s="365"/>
      <c r="C30" s="366"/>
      <c r="D30" s="366"/>
      <c r="E30" s="366"/>
      <c r="F30" s="366"/>
      <c r="G30" s="366"/>
      <c r="H30" s="366"/>
      <c r="I30" s="366"/>
      <c r="J30" s="366"/>
      <c r="K30" s="366"/>
      <c r="L30" s="366"/>
      <c r="M30" s="366"/>
      <c r="T30" s="432"/>
    </row>
    <row r="31" s="331" customFormat="1" ht="20.1" customHeight="1" spans="1:20">
      <c r="A31" s="364"/>
      <c r="B31" s="365"/>
      <c r="C31" s="366"/>
      <c r="D31" s="366"/>
      <c r="E31" s="366"/>
      <c r="F31" s="366"/>
      <c r="G31" s="366"/>
      <c r="H31" s="366"/>
      <c r="I31" s="366"/>
      <c r="J31" s="366"/>
      <c r="K31" s="366"/>
      <c r="L31" s="366"/>
      <c r="M31" s="366"/>
      <c r="T31" s="432"/>
    </row>
    <row r="32" s="331" customFormat="1" ht="20.1" customHeight="1" spans="1:20">
      <c r="A32" s="364"/>
      <c r="B32" s="365"/>
      <c r="C32" s="366"/>
      <c r="D32" s="366"/>
      <c r="E32" s="366"/>
      <c r="F32" s="366"/>
      <c r="G32" s="366"/>
      <c r="H32" s="366"/>
      <c r="I32" s="366"/>
      <c r="J32" s="366"/>
      <c r="K32" s="366"/>
      <c r="L32" s="366"/>
      <c r="M32" s="366"/>
      <c r="T32" s="432"/>
    </row>
    <row r="33" s="331" customFormat="1" ht="20.1" customHeight="1" spans="1:20">
      <c r="A33" s="364"/>
      <c r="B33" s="365"/>
      <c r="C33" s="366"/>
      <c r="D33" s="366"/>
      <c r="E33" s="366"/>
      <c r="F33" s="366"/>
      <c r="G33" s="366"/>
      <c r="H33" s="366"/>
      <c r="I33" s="366"/>
      <c r="J33" s="366"/>
      <c r="K33" s="366"/>
      <c r="L33" s="366"/>
      <c r="M33" s="366"/>
      <c r="T33" s="432"/>
    </row>
    <row r="34" s="331" customFormat="1" ht="20.1" customHeight="1" spans="1:20">
      <c r="A34" s="364"/>
      <c r="B34" s="365"/>
      <c r="C34" s="366"/>
      <c r="D34" s="366"/>
      <c r="E34" s="366"/>
      <c r="F34" s="366"/>
      <c r="G34" s="366"/>
      <c r="H34" s="366"/>
      <c r="I34" s="366"/>
      <c r="J34" s="366"/>
      <c r="K34" s="366"/>
      <c r="L34" s="366"/>
      <c r="M34" s="366"/>
      <c r="T34" s="432"/>
    </row>
    <row r="35" s="331"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2"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2"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2" customFormat="1" ht="27.95" customHeight="1" spans="2:20">
      <c r="B48" s="371"/>
      <c r="C48" s="372"/>
      <c r="D48" s="372"/>
      <c r="E48" s="372"/>
      <c r="F48" s="372"/>
      <c r="G48" s="372"/>
      <c r="H48" s="372"/>
      <c r="I48" s="372"/>
      <c r="J48" s="372"/>
      <c r="K48" s="372"/>
      <c r="L48" s="372"/>
      <c r="M48" s="372"/>
      <c r="N48" s="413">
        <v>1.1</v>
      </c>
      <c r="O48" s="414" t="s">
        <v>214</v>
      </c>
      <c r="P48" s="415">
        <f>'2 过程管理表单'!H5/10000</f>
        <v>268.5359089896</v>
      </c>
      <c r="Q48" s="415">
        <f>INDEX('4主要费项费项月累成本使用情况'!C5:N5,MATCH($L$3&amp;"月",表3_3[[#Headers],[1月]:[12月]],0))/10000</f>
        <v>134.8937544948</v>
      </c>
      <c r="R48" s="415">
        <f>INDEX('4主要费项费项月累成本使用情况'!C3:N3,MATCH($L$3&amp;"月",表3_3[[#Headers],[1月]:[12月]],0))/10000</f>
        <v>5.43838706589341</v>
      </c>
      <c r="S48" s="435">
        <f t="shared" ref="S48:S56" si="2">IFERROR(R48/P48,"无年度目标")</f>
        <v>0.0202519919453455</v>
      </c>
      <c r="T48" s="436">
        <f t="shared" ref="T48:T56" si="3">IFERROR(R48/Q48,"无月度目标")</f>
        <v>0.0403160775401433</v>
      </c>
    </row>
    <row r="49" s="332" customFormat="1" ht="27.95" customHeight="1" spans="2:20">
      <c r="B49" s="371"/>
      <c r="C49" s="372"/>
      <c r="D49" s="372"/>
      <c r="E49" s="372"/>
      <c r="F49" s="372"/>
      <c r="G49" s="372"/>
      <c r="H49" s="372"/>
      <c r="I49" s="372"/>
      <c r="J49" s="372"/>
      <c r="K49" s="372"/>
      <c r="L49" s="372"/>
      <c r="M49" s="372"/>
      <c r="N49" s="413">
        <v>1.2</v>
      </c>
      <c r="O49" s="414" t="s">
        <v>9</v>
      </c>
      <c r="P49" s="415">
        <f>'2 过程管理表单'!H508/10000</f>
        <v>4.31646</v>
      </c>
      <c r="Q49" s="415">
        <f>INDEX('4主要费项费项月累成本使用情况'!C9:N9,MATCH($L$3&amp;"月",表3_3[[#Headers],[1月]:[12月]],0))/10000</f>
        <v>4.31646</v>
      </c>
      <c r="R49" s="415">
        <f>INDEX('4主要费项费项月累成本使用情况'!C7:N7,MATCH($L$3&amp;"月",表3_3[[#Headers],[1月]:[12月]],0))/10000</f>
        <v>0.680058</v>
      </c>
      <c r="S49" s="435">
        <f t="shared" si="2"/>
        <v>0.157549936753729</v>
      </c>
      <c r="T49" s="436">
        <f t="shared" si="3"/>
        <v>0.157549936753729</v>
      </c>
    </row>
    <row r="50" s="332"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2"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2" customFormat="1" ht="27.95" customHeight="1" spans="2:20">
      <c r="B52" s="371"/>
      <c r="C52" s="372"/>
      <c r="D52" s="372"/>
      <c r="E52" s="372"/>
      <c r="F52" s="372"/>
      <c r="G52" s="372"/>
      <c r="H52" s="372"/>
      <c r="I52" s="372"/>
      <c r="J52" s="372"/>
      <c r="K52" s="372"/>
      <c r="L52" s="372"/>
      <c r="M52" s="372"/>
      <c r="N52" s="416">
        <v>1.5</v>
      </c>
      <c r="O52" s="414" t="s">
        <v>216</v>
      </c>
      <c r="P52" s="415">
        <f>'2 过程管理表单'!H603/10000</f>
        <v>14.168001</v>
      </c>
      <c r="Q52" s="415">
        <f>INDEX('4主要费项费项月累成本使用情况'!C21:N21,MATCH($L$3&amp;"月",表3_3[[#Headers],[1月]:[12月]],0))/10000</f>
        <v>8.8840005</v>
      </c>
      <c r="R52" s="415">
        <f>INDEX('4主要费项费项月累成本使用情况'!C19:N19,MATCH($L$3&amp;"月",表3_3[[#Headers],[1月]:[12月]],0))/10000</f>
        <v>0.94232</v>
      </c>
      <c r="S52" s="435">
        <f t="shared" si="2"/>
        <v>0.0665104413812506</v>
      </c>
      <c r="T52" s="436">
        <f t="shared" si="3"/>
        <v>0.106069332166292</v>
      </c>
    </row>
    <row r="53" s="332" customFormat="1" ht="27.95" customHeight="1" spans="2:20">
      <c r="B53" s="371"/>
      <c r="C53" s="372"/>
      <c r="D53" s="372"/>
      <c r="E53" s="372"/>
      <c r="F53" s="372"/>
      <c r="G53" s="372"/>
      <c r="H53" s="372"/>
      <c r="I53" s="372"/>
      <c r="J53" s="372"/>
      <c r="K53" s="372"/>
      <c r="L53" s="372"/>
      <c r="M53" s="372"/>
      <c r="N53" s="413">
        <v>1.6</v>
      </c>
      <c r="O53" s="414" t="s">
        <v>217</v>
      </c>
      <c r="P53" s="415">
        <f>'2 过程管理表单'!H616/10000</f>
        <v>0</v>
      </c>
      <c r="Q53" s="415">
        <f>INDEX('4主要费项费项月累成本使用情况'!C25:N25,MATCH($L$3&amp;"月",表3_3[[#Headers],[1月]:[12月]],0))/10000</f>
        <v>0</v>
      </c>
      <c r="R53" s="415">
        <f>INDEX('4主要费项费项月累成本使用情况'!C23:N23,MATCH($L$3&amp;"月",表3_3[[#Headers],[1月]:[12月]],0))/10000</f>
        <v>0.0416</v>
      </c>
      <c r="S53" s="435" t="str">
        <f t="shared" si="2"/>
        <v>无年度目标</v>
      </c>
      <c r="T53" s="436" t="str">
        <f t="shared" si="3"/>
        <v>无月度目标</v>
      </c>
    </row>
    <row r="54" s="332" customFormat="1" ht="27.95" customHeight="1" spans="2:20">
      <c r="B54" s="371"/>
      <c r="C54" s="372"/>
      <c r="D54" s="372"/>
      <c r="E54" s="372"/>
      <c r="F54" s="372"/>
      <c r="G54" s="372"/>
      <c r="H54" s="372"/>
      <c r="I54" s="372"/>
      <c r="J54" s="372"/>
      <c r="K54" s="372"/>
      <c r="L54" s="372"/>
      <c r="M54" s="372"/>
      <c r="N54" s="417" t="s">
        <v>218</v>
      </c>
      <c r="O54" s="418" t="s">
        <v>219</v>
      </c>
      <c r="P54" s="415">
        <f>'2 过程管理表单'!H6/10000</f>
        <v>268.5359089896</v>
      </c>
      <c r="Q54" s="415">
        <f>INDEX('4主要费项费项月累成本使用情况'!C29:N29,MATCH($L$3&amp;"月",表3_3[[#Headers],[1月]:[12月]],0))/10000</f>
        <v>134.8937544948</v>
      </c>
      <c r="R54" s="415">
        <f>INDEX('4主要费项费项月累成本使用情况'!C27:N27,MATCH($L$3&amp;"月",表3_3[[#Headers],[1月]:[12月]],0))/10000</f>
        <v>2.14129106589341</v>
      </c>
      <c r="S54" s="435">
        <f t="shared" si="2"/>
        <v>0.00797394685109446</v>
      </c>
      <c r="T54" s="436">
        <f t="shared" si="3"/>
        <v>0.0158739081280146</v>
      </c>
    </row>
    <row r="55" s="332"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INDEX('4主要费项费项月累成本使用情况'!C33:N33,MATCH($L$3&amp;"月",表3_3[[#Headers],[1月]:[12月]],0))/10000</f>
        <v>0</v>
      </c>
      <c r="R55" s="415">
        <f>INDEX('4主要费项费项月累成本使用情况'!C31:N31,MATCH($L$3&amp;"月",表3_3[[#Headers],[1月]:[12月]],0))/10000</f>
        <v>0</v>
      </c>
      <c r="S55" s="435" t="str">
        <f t="shared" si="2"/>
        <v>无年度目标</v>
      </c>
      <c r="T55" s="436" t="str">
        <f t="shared" si="3"/>
        <v>无月度目标</v>
      </c>
    </row>
    <row r="56" s="332"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0</v>
      </c>
      <c r="R56" s="415">
        <f>INDEX('4主要费项费项月累成本使用情况'!C35:N35,MATCH($L$3&amp;"月",表3_3[[#Headers],[1月]:[12月]],0))/10000</f>
        <v>3.351744</v>
      </c>
      <c r="S56" s="435" t="str">
        <f t="shared" si="2"/>
        <v>无年度目标</v>
      </c>
      <c r="T56" s="436" t="str">
        <f t="shared" si="3"/>
        <v>无月度目标</v>
      </c>
    </row>
    <row r="57" s="332"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2"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2" customFormat="1" ht="27.95" customHeight="1" spans="2:20">
      <c r="B59" s="371"/>
      <c r="C59" s="372"/>
      <c r="D59" s="372"/>
      <c r="E59" s="372"/>
      <c r="F59" s="372"/>
      <c r="G59" s="372"/>
      <c r="H59" s="372"/>
      <c r="I59" s="372"/>
      <c r="J59" s="372"/>
      <c r="K59" s="372"/>
      <c r="L59" s="372"/>
      <c r="M59" s="372"/>
      <c r="T59" s="437"/>
    </row>
    <row r="60" s="332" customFormat="1" ht="27.95" customHeight="1" spans="2:20">
      <c r="B60" s="371"/>
      <c r="C60" s="372"/>
      <c r="D60" s="372"/>
      <c r="E60" s="372"/>
      <c r="F60" s="372"/>
      <c r="G60" s="372"/>
      <c r="H60" s="372"/>
      <c r="I60" s="372"/>
      <c r="J60" s="372"/>
      <c r="K60" s="372"/>
      <c r="L60" s="372"/>
      <c r="M60" s="372"/>
      <c r="T60" s="437"/>
    </row>
    <row r="61" s="332" customFormat="1" ht="27.95" customHeight="1" spans="2:20">
      <c r="B61" s="371"/>
      <c r="C61" s="372"/>
      <c r="D61" s="372"/>
      <c r="E61" s="372"/>
      <c r="F61" s="372"/>
      <c r="G61" s="372"/>
      <c r="H61" s="372"/>
      <c r="I61" s="372"/>
      <c r="J61" s="372"/>
      <c r="K61" s="372"/>
      <c r="L61" s="372"/>
      <c r="M61" s="372"/>
      <c r="T61" s="437"/>
    </row>
    <row r="62" s="332" customFormat="1" ht="27.95" customHeight="1" spans="2:20">
      <c r="B62" s="371"/>
      <c r="C62" s="372"/>
      <c r="D62" s="372"/>
      <c r="E62" s="372"/>
      <c r="F62" s="372"/>
      <c r="G62" s="372"/>
      <c r="H62" s="372"/>
      <c r="I62" s="372"/>
      <c r="J62" s="372"/>
      <c r="K62" s="372"/>
      <c r="L62" s="372"/>
      <c r="M62" s="372"/>
      <c r="T62" s="437"/>
    </row>
    <row r="63" s="332" customFormat="1" ht="27.95" customHeight="1" spans="2:20">
      <c r="B63" s="371"/>
      <c r="C63" s="372"/>
      <c r="D63" s="372"/>
      <c r="E63" s="372"/>
      <c r="F63" s="372"/>
      <c r="G63" s="372"/>
      <c r="H63" s="372"/>
      <c r="I63" s="372"/>
      <c r="J63" s="372"/>
      <c r="K63" s="372"/>
      <c r="L63" s="372"/>
      <c r="M63" s="372"/>
      <c r="T63" s="437"/>
    </row>
    <row r="64" s="332"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1"/>
      <c r="B66" s="365"/>
      <c r="C66" s="331"/>
      <c r="D66" s="331"/>
      <c r="E66" s="331"/>
      <c r="F66" s="331"/>
      <c r="G66" s="331"/>
      <c r="H66" s="331"/>
      <c r="I66" s="331"/>
      <c r="J66" s="331"/>
      <c r="K66" s="331"/>
      <c r="L66" s="331"/>
      <c r="M66" s="331"/>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1" activePane="bottomLeft" state="frozen"/>
      <selection/>
      <selection pane="bottomLeft" activeCell="Q55" sqref="Q55"/>
    </sheetView>
  </sheetViews>
  <sheetFormatPr defaultColWidth="9" defaultRowHeight="16.5"/>
  <cols>
    <col min="1" max="1" width="1.5" style="332" customWidth="1"/>
    <col min="2" max="2" width="11.8727272727273" style="333" customWidth="1"/>
    <col min="3" max="3" width="13.7545454545455" style="333" customWidth="1"/>
    <col min="4" max="4" width="12.6272727272727" style="333" customWidth="1"/>
    <col min="5" max="5" width="10.7545454545455" style="333" customWidth="1"/>
    <col min="6" max="13" width="12.6272727272727" style="333" customWidth="1"/>
    <col min="14" max="14" width="9.5" style="331" customWidth="1"/>
    <col min="15" max="15" width="17.6272727272727" style="331" customWidth="1"/>
    <col min="16" max="20" width="17.6272727272727" style="333" customWidth="1"/>
    <col min="21" max="21" width="1.5" style="333" customWidth="1"/>
    <col min="22" max="16384" width="9" style="333"/>
  </cols>
  <sheetData>
    <row r="1" s="328" customFormat="1" ht="8.1" customHeight="1" spans="1:33">
      <c r="A1" s="332"/>
      <c r="B1" s="334"/>
      <c r="C1" s="335"/>
      <c r="D1" s="335"/>
      <c r="E1" s="335"/>
      <c r="F1" s="335"/>
      <c r="G1" s="335"/>
      <c r="H1" s="335"/>
      <c r="I1" s="334"/>
      <c r="J1" s="335"/>
      <c r="K1" s="334"/>
      <c r="L1" s="335"/>
      <c r="M1" s="375"/>
      <c r="N1" s="364"/>
      <c r="O1" s="364"/>
      <c r="P1" s="332"/>
      <c r="Q1" s="332"/>
      <c r="R1" s="332"/>
      <c r="S1" s="332"/>
      <c r="T1" s="332"/>
      <c r="U1" s="332"/>
      <c r="V1" s="332"/>
      <c r="W1" s="332"/>
      <c r="X1" s="332"/>
      <c r="Y1" s="332"/>
      <c r="Z1" s="332"/>
      <c r="AA1" s="332"/>
      <c r="AB1" s="332"/>
      <c r="AC1" s="332"/>
      <c r="AD1" s="332"/>
      <c r="AE1" s="332"/>
      <c r="AF1" s="332"/>
      <c r="AG1" s="332"/>
    </row>
    <row r="2" ht="51" customHeight="1" spans="2:20">
      <c r="B2" s="336" t="s">
        <v>169</v>
      </c>
      <c r="C2" s="336"/>
      <c r="D2" s="337"/>
      <c r="E2" s="337"/>
      <c r="F2" s="337"/>
      <c r="G2" s="337"/>
      <c r="H2" s="337"/>
      <c r="I2" s="337"/>
      <c r="J2" s="337"/>
      <c r="K2" s="337"/>
      <c r="L2" s="337"/>
      <c r="M2" s="337"/>
      <c r="N2" s="337"/>
      <c r="O2" s="336"/>
      <c r="P2" s="336"/>
      <c r="Q2" s="336"/>
      <c r="R2" s="336"/>
      <c r="S2" s="336"/>
      <c r="T2" s="336"/>
    </row>
    <row r="3" s="329" customFormat="1" ht="47.1" customHeight="1" spans="1:29">
      <c r="A3" s="338"/>
      <c r="B3" s="339" t="s">
        <v>170</v>
      </c>
      <c r="C3" s="339"/>
      <c r="D3" s="340" t="str">
        <f>'1-1 项目基础信息'!D8</f>
        <v>深圳区域公司金地智慧服务总部物业服务中心</v>
      </c>
      <c r="E3" s="340"/>
      <c r="F3" s="340"/>
      <c r="G3" s="340"/>
      <c r="H3" s="340"/>
      <c r="I3" s="339" t="s">
        <v>171</v>
      </c>
      <c r="J3" s="340">
        <v>2025</v>
      </c>
      <c r="K3" s="376" t="s">
        <v>172</v>
      </c>
      <c r="L3" s="377">
        <v>6</v>
      </c>
      <c r="M3" s="378" t="s">
        <v>173</v>
      </c>
      <c r="N3" s="379"/>
      <c r="O3" s="376" t="s">
        <v>174</v>
      </c>
      <c r="P3" s="380"/>
      <c r="Q3" s="380"/>
      <c r="R3" s="380"/>
      <c r="S3" s="380"/>
      <c r="T3" s="420"/>
      <c r="AC3" s="438"/>
    </row>
    <row r="4" s="330" customFormat="1" ht="74.1" customHeight="1" spans="1:33">
      <c r="A4" s="341"/>
      <c r="B4" s="342" t="s">
        <v>175</v>
      </c>
      <c r="C4" s="342"/>
      <c r="D4" s="343">
        <f>'2 过程管理表单'!H4/10000</f>
        <v>287.0203699896</v>
      </c>
      <c r="E4" s="343"/>
      <c r="F4" s="342" t="s">
        <v>176</v>
      </c>
      <c r="G4" s="344"/>
      <c r="H4" s="345">
        <f>L3/12</f>
        <v>0.5</v>
      </c>
      <c r="I4" s="345"/>
      <c r="J4" s="381">
        <f t="shared" ref="J4:J9" si="0">H4</f>
        <v>0.5</v>
      </c>
      <c r="K4" s="382">
        <f t="shared" ref="K4:K9" si="1">1-J4</f>
        <v>0.5</v>
      </c>
      <c r="L4" s="383"/>
      <c r="M4" s="384"/>
      <c r="N4" s="385"/>
      <c r="O4" s="386" t="s">
        <v>177</v>
      </c>
      <c r="P4" s="387">
        <f>SUM(P6:P10)</f>
        <v>16.25</v>
      </c>
      <c r="Q4" s="421" t="s">
        <v>178</v>
      </c>
      <c r="R4" s="422">
        <f>SUM(Q6:Q10)</f>
        <v>20</v>
      </c>
      <c r="S4" s="421" t="s">
        <v>179</v>
      </c>
      <c r="T4" s="423">
        <f>SUM(R6:R10)</f>
        <v>25</v>
      </c>
      <c r="U4" s="424"/>
      <c r="V4" s="424"/>
      <c r="W4" s="424"/>
      <c r="X4" s="424"/>
      <c r="Y4" s="424"/>
      <c r="Z4" s="424"/>
      <c r="AA4" s="424"/>
      <c r="AB4" s="424"/>
      <c r="AC4" s="424"/>
      <c r="AD4" s="424"/>
      <c r="AE4" s="424"/>
      <c r="AF4" s="424"/>
      <c r="AG4" s="424"/>
    </row>
    <row r="5" s="330" customFormat="1" ht="74.1" customHeight="1" spans="1:33">
      <c r="A5" s="341"/>
      <c r="B5" s="342" t="s">
        <v>180</v>
      </c>
      <c r="C5" s="342"/>
      <c r="D5" s="343">
        <f>INDEX('4-1主要费项费项月累成本使用情况'!C38:N38,MATCH($L$3&amp;"月",表3_3[[#Headers],[1月]:[12月]],0))/10000</f>
        <v>24.521214996</v>
      </c>
      <c r="E5" s="343"/>
      <c r="F5" s="342" t="s">
        <v>181</v>
      </c>
      <c r="G5" s="344"/>
      <c r="H5" s="345">
        <f>D6/D4</f>
        <v>0.024745160303956</v>
      </c>
      <c r="I5" s="345"/>
      <c r="J5" s="388">
        <f t="shared" si="0"/>
        <v>0.024745160303956</v>
      </c>
      <c r="K5" s="389">
        <f t="shared" si="1"/>
        <v>0.975254839696044</v>
      </c>
      <c r="L5" s="383"/>
      <c r="M5" s="384"/>
      <c r="N5" s="385"/>
      <c r="O5" s="390"/>
      <c r="P5" s="391" t="s">
        <v>182</v>
      </c>
      <c r="Q5" s="391" t="s">
        <v>183</v>
      </c>
      <c r="R5" s="391" t="s">
        <v>184</v>
      </c>
      <c r="S5" s="425"/>
      <c r="T5" s="399"/>
      <c r="U5" s="424"/>
      <c r="Y5" s="424"/>
      <c r="Z5" s="424"/>
      <c r="AA5" s="424"/>
      <c r="AB5" s="424"/>
      <c r="AC5" s="424"/>
      <c r="AD5" s="424"/>
      <c r="AE5" s="424"/>
      <c r="AF5" s="424"/>
      <c r="AG5" s="424"/>
    </row>
    <row r="6" s="330" customFormat="1" ht="74.1" customHeight="1" spans="1:33">
      <c r="A6" s="341"/>
      <c r="B6" s="342" t="s">
        <v>185</v>
      </c>
      <c r="C6" s="342"/>
      <c r="D6" s="343">
        <f>INDEX('4-1主要费项费项月累成本使用情况'!C39:N39,MATCH($L$3&amp;"月",表3_3[[#Headers],[1月]:[12月]],0))/10000</f>
        <v>7.10236506589341</v>
      </c>
      <c r="E6" s="343"/>
      <c r="F6" s="342" t="s">
        <v>186</v>
      </c>
      <c r="G6" s="344"/>
      <c r="H6" s="345">
        <f>D6/D5</f>
        <v>0.289641645695451</v>
      </c>
      <c r="I6" s="345"/>
      <c r="J6" s="392">
        <f t="shared" si="0"/>
        <v>0.289641645695451</v>
      </c>
      <c r="K6" s="393">
        <f t="shared" si="1"/>
        <v>0.710358354304549</v>
      </c>
      <c r="L6" s="394"/>
      <c r="M6" s="395"/>
      <c r="N6" s="385"/>
      <c r="O6" s="365" t="s">
        <v>187</v>
      </c>
      <c r="P6" s="396">
        <f>'1-2 人员岗位信息'!D7</f>
        <v>1</v>
      </c>
      <c r="Q6" s="396">
        <f>'1-2 人员岗位信息'!D8</f>
        <v>0</v>
      </c>
      <c r="R6" s="396">
        <f>'1-2 人员岗位信息'!D9</f>
        <v>0</v>
      </c>
      <c r="S6" s="396"/>
      <c r="T6" s="384"/>
      <c r="U6" s="424"/>
      <c r="Y6" s="424"/>
      <c r="Z6" s="424"/>
      <c r="AA6" s="424"/>
      <c r="AB6" s="424"/>
      <c r="AC6" s="424"/>
      <c r="AD6" s="424"/>
      <c r="AE6" s="424"/>
      <c r="AF6" s="424"/>
      <c r="AG6" s="424"/>
    </row>
    <row r="7" s="330" customFormat="1" ht="74.1" customHeight="1" spans="1:33">
      <c r="A7" s="341"/>
      <c r="B7" s="342" t="s">
        <v>188</v>
      </c>
      <c r="C7" s="346"/>
      <c r="D7" s="347">
        <f>INDEX('4-1主要费项费项月累成本使用情况'!C48:N48,MATCH($L$3&amp;"月",表3_3[[#Headers],[1月]:[12月]],0))</f>
        <v>1</v>
      </c>
      <c r="E7" s="348" t="s">
        <v>189</v>
      </c>
      <c r="F7" s="349" t="s">
        <v>190</v>
      </c>
      <c r="G7" s="342"/>
      <c r="H7" s="350">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2</v>
      </c>
      <c r="Q7" s="396">
        <f>'1-2 人员岗位信息'!D72</f>
        <v>0</v>
      </c>
      <c r="R7" s="396">
        <f>'1-2 人员岗位信息'!D73</f>
        <v>4</v>
      </c>
      <c r="S7" s="396"/>
      <c r="T7" s="426"/>
      <c r="U7" s="424"/>
      <c r="Y7" s="424"/>
      <c r="Z7" s="424"/>
      <c r="AA7" s="424"/>
      <c r="AB7" s="424"/>
      <c r="AC7" s="424"/>
      <c r="AD7" s="424"/>
      <c r="AE7" s="424"/>
      <c r="AF7" s="424"/>
      <c r="AG7" s="424"/>
    </row>
    <row r="8" s="330" customFormat="1" ht="74.1" customHeight="1" spans="1:33">
      <c r="A8" s="341"/>
      <c r="B8" s="342" t="s">
        <v>192</v>
      </c>
      <c r="C8" s="346"/>
      <c r="D8" s="347">
        <f>INDEX(三级费项月累表格!C195:N195,MATCH($L$3&amp;"月",表3_3[[#Headers],[1月]:[12月]],0))</f>
        <v>37</v>
      </c>
      <c r="E8" s="351" t="s">
        <v>193</v>
      </c>
      <c r="F8" s="349" t="s">
        <v>194</v>
      </c>
      <c r="G8" s="342"/>
      <c r="H8" s="352"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1</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0" customFormat="1" ht="74.1" customHeight="1" spans="1:33">
      <c r="A9" s="341"/>
      <c r="B9" s="342" t="s">
        <v>196</v>
      </c>
      <c r="C9" s="346"/>
      <c r="D9" s="353">
        <v>35</v>
      </c>
      <c r="E9" s="354" t="s">
        <v>197</v>
      </c>
      <c r="F9" s="349" t="s">
        <v>198</v>
      </c>
      <c r="G9" s="344"/>
      <c r="H9" s="355">
        <f>IFERROR(INDEX(劳务外包表!C47:N47,MATCH($L$3&amp;"月",劳务外包表!C1:N1,0))/劳务外包表!N49,"无目标值")</f>
        <v>0.0945736905897042</v>
      </c>
      <c r="I9" s="402"/>
      <c r="J9" s="392">
        <f t="shared" si="0"/>
        <v>0.0945736905897042</v>
      </c>
      <c r="K9" s="393">
        <f t="shared" si="1"/>
        <v>0.905426309410296</v>
      </c>
      <c r="L9" s="394"/>
      <c r="M9" s="395"/>
      <c r="N9" s="385"/>
      <c r="O9" s="365" t="s">
        <v>199</v>
      </c>
      <c r="P9" s="403">
        <f>'1-2 人员岗位信息'!D155</f>
        <v>7</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0" customFormat="1" ht="74.1" customHeight="1" spans="1:33">
      <c r="A10" s="341"/>
      <c r="B10" s="342" t="s">
        <v>200</v>
      </c>
      <c r="C10" s="342"/>
      <c r="D10" s="356" cm="1">
        <f t="array" ref="D10">SUMPRODUCT((TEXT('2-2 引出数据_合同数据仓库'!AC:AC,"yyyymm")&lt;=TEXT(DATE(2025,$L$3+1,0),"yyyymm"))*(('2-2 引出数据_合同数据仓库'!C:C="审核通过")))</f>
        <v>2</v>
      </c>
      <c r="E10" s="356"/>
      <c r="F10" s="342" t="s">
        <v>201</v>
      </c>
      <c r="G10" s="342"/>
      <c r="H10" s="357" cm="1">
        <f t="array" ref="H10">SUMPRODUCT(--(LEFT('2-1 采购订单物料明细表报表导出'!K:K,7)&lt;&gt;"")*--(LEFT('2-1 采购订单物料明细表报表导出'!K:K,7)&lt;=TEXT(DATE(2025,$L$3,1),"yyyy-mm")))</f>
        <v>430</v>
      </c>
      <c r="I10" s="404"/>
      <c r="J10" s="342" t="s">
        <v>202</v>
      </c>
      <c r="K10" s="342"/>
      <c r="L10" s="357" cm="1">
        <f t="array" ref="L10">SUMPRODUCT((TEXT('2-3 引出列表'!M:M,"yyyymm")&lt;=TEXT(DATE(2025,$L$3+1,0),"yyyymm"))*(('2-3 引出列表'!L:L="已审核")+('2-3 引出列表'!M:M="已付款")))</f>
        <v>65</v>
      </c>
      <c r="M10" s="404"/>
      <c r="N10" s="405"/>
      <c r="O10" s="367" t="s">
        <v>203</v>
      </c>
      <c r="P10" s="406">
        <f>'1-2 人员岗位信息'!D35</f>
        <v>5.25</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1" customFormat="1" ht="29.1" customHeight="1" spans="1:20">
      <c r="A14" s="364"/>
      <c r="B14" s="365"/>
      <c r="C14" s="366"/>
      <c r="D14" s="366"/>
      <c r="E14" s="366"/>
      <c r="F14" s="366"/>
      <c r="G14" s="366"/>
      <c r="H14" s="366"/>
      <c r="I14" s="366"/>
      <c r="J14" s="366"/>
      <c r="K14" s="366"/>
      <c r="L14" s="366"/>
      <c r="M14" s="366"/>
      <c r="T14" s="432"/>
    </row>
    <row r="15" s="331" customFormat="1" ht="29.1" customHeight="1" spans="1:20">
      <c r="A15" s="364"/>
      <c r="B15" s="365"/>
      <c r="C15" s="366"/>
      <c r="D15" s="366"/>
      <c r="E15" s="366"/>
      <c r="F15" s="366"/>
      <c r="G15" s="366"/>
      <c r="H15" s="366"/>
      <c r="I15" s="366"/>
      <c r="J15" s="366"/>
      <c r="K15" s="366"/>
      <c r="L15" s="366"/>
      <c r="M15" s="366"/>
      <c r="T15" s="432"/>
    </row>
    <row r="16" s="331" customFormat="1" ht="29.1" customHeight="1" spans="1:20">
      <c r="A16" s="364"/>
      <c r="B16" s="365"/>
      <c r="C16" s="366"/>
      <c r="D16" s="366"/>
      <c r="E16" s="366"/>
      <c r="F16" s="366"/>
      <c r="G16" s="366"/>
      <c r="H16" s="366"/>
      <c r="I16" s="366"/>
      <c r="J16" s="366"/>
      <c r="K16" s="366"/>
      <c r="L16" s="366"/>
      <c r="M16" s="366"/>
      <c r="T16" s="432"/>
    </row>
    <row r="17" s="331" customFormat="1" ht="29.1" customHeight="1" spans="1:20">
      <c r="A17" s="364"/>
      <c r="B17" s="365"/>
      <c r="C17" s="366"/>
      <c r="D17" s="366"/>
      <c r="E17" s="366"/>
      <c r="F17" s="366"/>
      <c r="G17" s="366"/>
      <c r="H17" s="366"/>
      <c r="I17" s="366"/>
      <c r="J17" s="366"/>
      <c r="K17" s="366"/>
      <c r="L17" s="366"/>
      <c r="M17" s="366"/>
      <c r="T17" s="432"/>
    </row>
    <row r="18" s="331" customFormat="1" ht="29.1" customHeight="1" spans="1:20">
      <c r="A18" s="364"/>
      <c r="B18" s="365"/>
      <c r="C18" s="366"/>
      <c r="D18" s="366"/>
      <c r="E18" s="366"/>
      <c r="F18" s="366"/>
      <c r="G18" s="366"/>
      <c r="H18" s="366"/>
      <c r="I18" s="366"/>
      <c r="J18" s="366"/>
      <c r="K18" s="366"/>
      <c r="L18" s="366"/>
      <c r="M18" s="366"/>
      <c r="T18" s="432"/>
    </row>
    <row r="19" s="331" customFormat="1" ht="29.1" customHeight="1" spans="1:20">
      <c r="A19" s="364"/>
      <c r="B19" s="365"/>
      <c r="C19" s="366"/>
      <c r="D19" s="366"/>
      <c r="E19" s="366"/>
      <c r="F19" s="366"/>
      <c r="G19" s="366"/>
      <c r="H19" s="366"/>
      <c r="I19" s="366"/>
      <c r="J19" s="366"/>
      <c r="K19" s="366"/>
      <c r="L19" s="366"/>
      <c r="M19" s="366"/>
      <c r="T19" s="432"/>
    </row>
    <row r="20" s="331" customFormat="1" ht="29.1" customHeight="1" spans="1:20">
      <c r="A20" s="364"/>
      <c r="B20" s="365"/>
      <c r="C20" s="366"/>
      <c r="D20" s="366"/>
      <c r="E20" s="366"/>
      <c r="F20" s="366"/>
      <c r="G20" s="366"/>
      <c r="H20" s="366"/>
      <c r="I20" s="366"/>
      <c r="J20" s="366"/>
      <c r="K20" s="366"/>
      <c r="L20" s="366"/>
      <c r="M20" s="366"/>
      <c r="T20" s="432"/>
    </row>
    <row r="21" s="331" customFormat="1" ht="29.1" customHeight="1" spans="1:20">
      <c r="A21" s="364"/>
      <c r="B21" s="365"/>
      <c r="C21" s="366"/>
      <c r="D21" s="366"/>
      <c r="E21" s="366"/>
      <c r="F21" s="366"/>
      <c r="G21" s="366"/>
      <c r="H21" s="366"/>
      <c r="I21" s="366"/>
      <c r="J21" s="366"/>
      <c r="K21" s="366"/>
      <c r="L21" s="366"/>
      <c r="M21" s="366"/>
      <c r="T21" s="432"/>
    </row>
    <row r="22" s="331" customFormat="1" ht="29.1" customHeight="1" spans="1:20">
      <c r="A22" s="364"/>
      <c r="B22" s="365"/>
      <c r="C22" s="366"/>
      <c r="D22" s="366"/>
      <c r="E22" s="366"/>
      <c r="F22" s="366"/>
      <c r="G22" s="366"/>
      <c r="H22" s="366"/>
      <c r="I22" s="366"/>
      <c r="J22" s="366"/>
      <c r="K22" s="366"/>
      <c r="L22" s="366"/>
      <c r="M22" s="366"/>
      <c r="T22" s="432"/>
    </row>
    <row r="23" s="331" customFormat="1" ht="29.1" customHeight="1" spans="1:20">
      <c r="A23" s="364"/>
      <c r="B23" s="365"/>
      <c r="C23" s="366"/>
      <c r="D23" s="366"/>
      <c r="E23" s="366"/>
      <c r="F23" s="366"/>
      <c r="G23" s="366"/>
      <c r="H23" s="366"/>
      <c r="I23" s="366"/>
      <c r="J23" s="366"/>
      <c r="K23" s="366"/>
      <c r="L23" s="366"/>
      <c r="M23" s="366"/>
      <c r="T23" s="432"/>
    </row>
    <row r="24" s="331"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1"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1" customFormat="1" ht="17.1" customHeight="1" spans="1:30">
      <c r="A26" s="332"/>
      <c r="B26" s="362"/>
      <c r="C26" s="363"/>
      <c r="D26" s="363"/>
      <c r="E26" s="363"/>
      <c r="F26" s="363"/>
      <c r="G26" s="363"/>
      <c r="H26" s="363"/>
      <c r="I26" s="363"/>
      <c r="J26" s="363"/>
      <c r="K26" s="363"/>
      <c r="L26" s="363"/>
      <c r="M26" s="363"/>
      <c r="T26" s="432"/>
      <c r="X26" s="333"/>
      <c r="Y26" s="333"/>
      <c r="Z26" s="333"/>
      <c r="AA26" s="333"/>
      <c r="AB26" s="333"/>
      <c r="AC26" s="333"/>
      <c r="AD26" s="333"/>
    </row>
    <row r="27" s="331" customFormat="1" ht="20.1" customHeight="1" spans="1:20">
      <c r="A27" s="364"/>
      <c r="B27" s="365"/>
      <c r="C27" s="366"/>
      <c r="D27" s="366"/>
      <c r="E27" s="366"/>
      <c r="F27" s="366"/>
      <c r="G27" s="366"/>
      <c r="H27" s="366"/>
      <c r="I27" s="366"/>
      <c r="J27" s="366"/>
      <c r="K27" s="366"/>
      <c r="L27" s="366"/>
      <c r="M27" s="366"/>
      <c r="T27" s="432"/>
    </row>
    <row r="28" s="331" customFormat="1" ht="20.1" customHeight="1" spans="1:20">
      <c r="A28" s="364"/>
      <c r="B28" s="365"/>
      <c r="C28" s="366"/>
      <c r="D28" s="366"/>
      <c r="E28" s="366"/>
      <c r="F28" s="366"/>
      <c r="G28" s="366"/>
      <c r="H28" s="366"/>
      <c r="I28" s="366"/>
      <c r="J28" s="366"/>
      <c r="K28" s="366"/>
      <c r="L28" s="366"/>
      <c r="M28" s="366"/>
      <c r="T28" s="432"/>
    </row>
    <row r="29" s="331" customFormat="1" ht="20.1" customHeight="1" spans="1:20">
      <c r="A29" s="364"/>
      <c r="B29" s="365"/>
      <c r="C29" s="366"/>
      <c r="D29" s="366"/>
      <c r="E29" s="366"/>
      <c r="F29" s="366"/>
      <c r="G29" s="366"/>
      <c r="H29" s="366"/>
      <c r="I29" s="366"/>
      <c r="J29" s="366"/>
      <c r="K29" s="366"/>
      <c r="L29" s="366"/>
      <c r="M29" s="366"/>
      <c r="T29" s="432"/>
    </row>
    <row r="30" s="331" customFormat="1" ht="20.1" customHeight="1" spans="1:20">
      <c r="A30" s="364"/>
      <c r="B30" s="365"/>
      <c r="C30" s="366"/>
      <c r="D30" s="366"/>
      <c r="E30" s="366"/>
      <c r="F30" s="366"/>
      <c r="G30" s="366"/>
      <c r="H30" s="366"/>
      <c r="I30" s="366"/>
      <c r="J30" s="366"/>
      <c r="K30" s="366"/>
      <c r="L30" s="366"/>
      <c r="M30" s="366"/>
      <c r="T30" s="432"/>
    </row>
    <row r="31" s="331" customFormat="1" ht="20.1" customHeight="1" spans="1:20">
      <c r="A31" s="364"/>
      <c r="B31" s="365"/>
      <c r="C31" s="366"/>
      <c r="D31" s="366"/>
      <c r="E31" s="366"/>
      <c r="F31" s="366"/>
      <c r="G31" s="366"/>
      <c r="H31" s="366"/>
      <c r="I31" s="366"/>
      <c r="J31" s="366"/>
      <c r="K31" s="366"/>
      <c r="L31" s="366"/>
      <c r="M31" s="366"/>
      <c r="T31" s="432"/>
    </row>
    <row r="32" s="331" customFormat="1" ht="20.1" customHeight="1" spans="1:20">
      <c r="A32" s="364"/>
      <c r="B32" s="365"/>
      <c r="C32" s="366"/>
      <c r="D32" s="366"/>
      <c r="E32" s="366"/>
      <c r="F32" s="366"/>
      <c r="G32" s="366"/>
      <c r="H32" s="366"/>
      <c r="I32" s="366"/>
      <c r="J32" s="366"/>
      <c r="K32" s="366"/>
      <c r="L32" s="366"/>
      <c r="M32" s="366"/>
      <c r="T32" s="432"/>
    </row>
    <row r="33" s="331" customFormat="1" ht="20.1" customHeight="1" spans="1:20">
      <c r="A33" s="364"/>
      <c r="B33" s="365"/>
      <c r="C33" s="366"/>
      <c r="D33" s="366"/>
      <c r="E33" s="366"/>
      <c r="F33" s="366"/>
      <c r="G33" s="366"/>
      <c r="H33" s="366"/>
      <c r="I33" s="366"/>
      <c r="J33" s="366"/>
      <c r="K33" s="366"/>
      <c r="L33" s="366"/>
      <c r="M33" s="366"/>
      <c r="T33" s="432"/>
    </row>
    <row r="34" s="331" customFormat="1" ht="20.1" customHeight="1" spans="1:20">
      <c r="A34" s="364"/>
      <c r="B34" s="365"/>
      <c r="C34" s="366"/>
      <c r="D34" s="366"/>
      <c r="E34" s="366"/>
      <c r="F34" s="366"/>
      <c r="G34" s="366"/>
      <c r="H34" s="366"/>
      <c r="I34" s="366"/>
      <c r="J34" s="366"/>
      <c r="K34" s="366"/>
      <c r="L34" s="366"/>
      <c r="M34" s="366"/>
      <c r="T34" s="432"/>
    </row>
    <row r="35" s="331"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2"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2"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2" customFormat="1" ht="27.95" customHeight="1" spans="2:20">
      <c r="B48" s="371"/>
      <c r="C48" s="372"/>
      <c r="D48" s="372"/>
      <c r="E48" s="372"/>
      <c r="F48" s="372"/>
      <c r="G48" s="372"/>
      <c r="H48" s="372"/>
      <c r="I48" s="372"/>
      <c r="J48" s="372"/>
      <c r="K48" s="372"/>
      <c r="L48" s="372"/>
      <c r="M48" s="372"/>
      <c r="N48" s="413">
        <v>1.1</v>
      </c>
      <c r="O48" s="414" t="s">
        <v>214</v>
      </c>
      <c r="P48" s="415">
        <f>'2 过程管理表单'!H5/10000</f>
        <v>268.5359089896</v>
      </c>
      <c r="Q48" s="415">
        <f>INDEX('4-1主要费项费项月累成本使用情况'!C5:N5,MATCH($L$3&amp;"月",表3_3[[#Headers],[1月]:[12月]],0))/10000</f>
        <v>11.320754496</v>
      </c>
      <c r="R48" s="415">
        <f>INDEX('4-1主要费项费项月累成本使用情况'!C3:N3,MATCH($L$3&amp;"月",表3_3[[#Headers],[1月]:[12月]],0))/10000</f>
        <v>5.43838706589341</v>
      </c>
      <c r="S48" s="435">
        <f t="shared" ref="S48:S56" si="2">IFERROR(R48/P48,"无年度目标")</f>
        <v>0.0202519919453455</v>
      </c>
      <c r="T48" s="436">
        <f t="shared" ref="T48:T56" si="3">IFERROR(R48/Q48,"无月度目标")</f>
        <v>0.480390866864481</v>
      </c>
    </row>
    <row r="49" s="332" customFormat="1" ht="27.95" customHeight="1" spans="2:20">
      <c r="B49" s="371"/>
      <c r="C49" s="372"/>
      <c r="D49" s="372"/>
      <c r="E49" s="372"/>
      <c r="F49" s="372"/>
      <c r="G49" s="372"/>
      <c r="H49" s="372"/>
      <c r="I49" s="372"/>
      <c r="J49" s="372"/>
      <c r="K49" s="372"/>
      <c r="L49" s="372"/>
      <c r="M49" s="372"/>
      <c r="N49" s="413">
        <v>1.2</v>
      </c>
      <c r="O49" s="414" t="s">
        <v>9</v>
      </c>
      <c r="P49" s="415">
        <f>'2 过程管理表单'!H508/10000</f>
        <v>4.31646</v>
      </c>
      <c r="Q49" s="415">
        <f>INDEX('4-1主要费项费项月累成本使用情况'!C9:N9,MATCH($L$3&amp;"月",表3_3[[#Headers],[1月]:[12月]],0))/10000</f>
        <v>4.31646</v>
      </c>
      <c r="R49" s="415">
        <f>INDEX('4-1主要费项费项月累成本使用情况'!C7:N7,MATCH($L$3&amp;"月",表3_3[[#Headers],[1月]:[12月]],0))/10000</f>
        <v>0.680058</v>
      </c>
      <c r="S49" s="435">
        <f t="shared" si="2"/>
        <v>0.157549936753729</v>
      </c>
      <c r="T49" s="436">
        <f t="shared" si="3"/>
        <v>0.157549936753729</v>
      </c>
    </row>
    <row r="50" s="332"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INDEX('4-1主要费项费项月累成本使用情况'!C13:N13,MATCH($L$3&amp;"月",表3_3[[#Headers],[1月]:[12月]],0))/10000</f>
        <v>0</v>
      </c>
      <c r="R50" s="415">
        <f>INDEX('4-1主要费项费项月累成本使用情况'!C10:N10,MATCH($L$3&amp;"月",表3_3[[#Headers],[1月]:[12月]],0))/10000</f>
        <v>0</v>
      </c>
      <c r="S50" s="435" t="str">
        <f t="shared" si="2"/>
        <v>无年度目标</v>
      </c>
      <c r="T50" s="436" t="str">
        <f t="shared" si="3"/>
        <v>无月度目标</v>
      </c>
    </row>
    <row r="51" s="332"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INDEX('4-1主要费项费项月累成本使用情况'!C17:N17,MATCH($L$3&amp;"月",表3_3[[#Headers],[1月]:[12月]],0))/10000</f>
        <v>0</v>
      </c>
      <c r="R51" s="415">
        <f>INDEX('4-1主要费项费项月累成本使用情况'!C15:N15,MATCH($L$3&amp;"月",表3_3[[#Headers],[1月]:[12月]],0))/10000</f>
        <v>0</v>
      </c>
      <c r="S51" s="435" t="str">
        <f t="shared" si="2"/>
        <v>无年度目标</v>
      </c>
      <c r="T51" s="436" t="str">
        <f t="shared" si="3"/>
        <v>无月度目标</v>
      </c>
    </row>
    <row r="52" s="332" customFormat="1" ht="27.95" customHeight="1" spans="2:20">
      <c r="B52" s="371"/>
      <c r="C52" s="372"/>
      <c r="D52" s="372"/>
      <c r="E52" s="372"/>
      <c r="F52" s="372"/>
      <c r="G52" s="372"/>
      <c r="H52" s="372"/>
      <c r="I52" s="372"/>
      <c r="J52" s="372"/>
      <c r="K52" s="372"/>
      <c r="L52" s="372"/>
      <c r="M52" s="372"/>
      <c r="N52" s="416">
        <v>1.5</v>
      </c>
      <c r="O52" s="414" t="s">
        <v>216</v>
      </c>
      <c r="P52" s="415">
        <f>'2 过程管理表单'!H603/10000</f>
        <v>14.168001</v>
      </c>
      <c r="Q52" s="415">
        <f>INDEX('4-1主要费项费项月累成本使用情况'!C21:N21,MATCH($L$3&amp;"月",表3_3[[#Headers],[1月]:[12月]],0))/10000</f>
        <v>8.8840005</v>
      </c>
      <c r="R52" s="415">
        <f>INDEX('4-1主要费项费项月累成本使用情况'!C19:N19,MATCH($L$3&amp;"月",表3_3[[#Headers],[1月]:[12月]],0))/10000</f>
        <v>0.94232</v>
      </c>
      <c r="S52" s="435">
        <f t="shared" si="2"/>
        <v>0.0665104413812506</v>
      </c>
      <c r="T52" s="436">
        <f t="shared" si="3"/>
        <v>0.106069332166292</v>
      </c>
    </row>
    <row r="53" s="332" customFormat="1" ht="27.95" customHeight="1" spans="2:20">
      <c r="B53" s="371"/>
      <c r="C53" s="372"/>
      <c r="D53" s="372"/>
      <c r="E53" s="372"/>
      <c r="F53" s="372"/>
      <c r="G53" s="372"/>
      <c r="H53" s="372"/>
      <c r="I53" s="372"/>
      <c r="J53" s="372"/>
      <c r="K53" s="372"/>
      <c r="L53" s="372"/>
      <c r="M53" s="372"/>
      <c r="N53" s="413">
        <v>1.6</v>
      </c>
      <c r="O53" s="414" t="s">
        <v>217</v>
      </c>
      <c r="P53" s="415">
        <f>'2 过程管理表单'!H616/10000</f>
        <v>0</v>
      </c>
      <c r="Q53" s="415">
        <f>INDEX('4-1主要费项费项月累成本使用情况'!C25:N25,MATCH($L$3&amp;"月",表3_3[[#Headers],[1月]:[12月]],0))/10000</f>
        <v>0</v>
      </c>
      <c r="R53" s="415">
        <f>INDEX('4-1主要费项费项月累成本使用情况'!C23:N23,MATCH($L$3&amp;"月",表3_3[[#Headers],[1月]:[12月]],0))/10000</f>
        <v>0.0416</v>
      </c>
      <c r="S53" s="435" t="str">
        <f t="shared" si="2"/>
        <v>无年度目标</v>
      </c>
      <c r="T53" s="436" t="str">
        <f t="shared" si="3"/>
        <v>无月度目标</v>
      </c>
    </row>
    <row r="54" s="332" customFormat="1" ht="27.95" customHeight="1" spans="2:20">
      <c r="B54" s="371"/>
      <c r="C54" s="372"/>
      <c r="D54" s="372"/>
      <c r="E54" s="372"/>
      <c r="F54" s="372"/>
      <c r="G54" s="372"/>
      <c r="H54" s="372"/>
      <c r="I54" s="372"/>
      <c r="J54" s="372"/>
      <c r="K54" s="372"/>
      <c r="L54" s="372"/>
      <c r="M54" s="372"/>
      <c r="N54" s="417" t="s">
        <v>218</v>
      </c>
      <c r="O54" s="418" t="s">
        <v>219</v>
      </c>
      <c r="P54" s="415">
        <f>'2 过程管理表单'!H6/10000</f>
        <v>268.5359089896</v>
      </c>
      <c r="Q54" s="415">
        <f>INDEX('4-1主要费项费项月累成本使用情况'!C29:N29,MATCH($L$3&amp;"月",表3_3[[#Headers],[1月]:[12月]],0))/10000</f>
        <v>134.8937544948</v>
      </c>
      <c r="R54" s="415">
        <f>INDEX('4-1主要费项费项月累成本使用情况'!C27:N27,MATCH($L$3&amp;"月",表3_3[[#Headers],[1月]:[12月]],0))/10000</f>
        <v>2.14129106589341</v>
      </c>
      <c r="S54" s="435">
        <f t="shared" si="2"/>
        <v>0.00797394685109446</v>
      </c>
      <c r="T54" s="436">
        <f t="shared" si="3"/>
        <v>0.0158739081280146</v>
      </c>
    </row>
    <row r="55" s="332"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v>
      </c>
      <c r="Q55" s="415">
        <f>INDEX('4-1主要费项费项月累成本使用情况'!C33:N33,MATCH($L$3&amp;"月",表3_3[[#Headers],[1月]:[12月]],0))/10000</f>
        <v>0</v>
      </c>
      <c r="R55" s="415">
        <f>INDEX('4-1主要费项费项月累成本使用情况'!C31:N31,MATCH($L$3&amp;"月",表3_3[[#Headers],[1月]:[12月]],0))/10000</f>
        <v>0</v>
      </c>
      <c r="S55" s="435" t="str">
        <f t="shared" si="2"/>
        <v>无年度目标</v>
      </c>
      <c r="T55" s="436" t="str">
        <f t="shared" si="3"/>
        <v>无月度目标</v>
      </c>
    </row>
    <row r="56" s="332"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INDEX('4-1主要费项费项月累成本使用情况'!C37:N37,MATCH($L$3&amp;"月",表3_3[[#Headers],[1月]:[12月]],0))/10000</f>
        <v>0</v>
      </c>
      <c r="R56" s="415">
        <f>INDEX('4-1主要费项费项月累成本使用情况'!C35:N35,MATCH($L$3&amp;"月",表3_3[[#Headers],[1月]:[12月]],0))/10000</f>
        <v>3.351744</v>
      </c>
      <c r="S56" s="435" t="str">
        <f t="shared" si="2"/>
        <v>无年度目标</v>
      </c>
      <c r="T56" s="436" t="str">
        <f t="shared" si="3"/>
        <v>无月度目标</v>
      </c>
    </row>
    <row r="57" s="332"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2"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2" customFormat="1" ht="27.95" customHeight="1" spans="2:20">
      <c r="B59" s="371"/>
      <c r="C59" s="372"/>
      <c r="D59" s="372"/>
      <c r="E59" s="372"/>
      <c r="F59" s="372"/>
      <c r="G59" s="372"/>
      <c r="H59" s="372"/>
      <c r="I59" s="372"/>
      <c r="J59" s="372"/>
      <c r="K59" s="372"/>
      <c r="L59" s="372"/>
      <c r="M59" s="372"/>
      <c r="T59" s="437"/>
    </row>
    <row r="60" s="332" customFormat="1" ht="27.95" customHeight="1" spans="2:20">
      <c r="B60" s="371"/>
      <c r="C60" s="372"/>
      <c r="D60" s="372"/>
      <c r="E60" s="372"/>
      <c r="F60" s="372"/>
      <c r="G60" s="372"/>
      <c r="H60" s="372"/>
      <c r="I60" s="372"/>
      <c r="J60" s="372"/>
      <c r="K60" s="372"/>
      <c r="L60" s="372"/>
      <c r="M60" s="372"/>
      <c r="T60" s="437"/>
    </row>
    <row r="61" s="332" customFormat="1" ht="27.95" customHeight="1" spans="2:20">
      <c r="B61" s="371"/>
      <c r="C61" s="372"/>
      <c r="D61" s="372"/>
      <c r="E61" s="372"/>
      <c r="F61" s="372"/>
      <c r="G61" s="372"/>
      <c r="H61" s="372"/>
      <c r="I61" s="372"/>
      <c r="J61" s="372"/>
      <c r="K61" s="372"/>
      <c r="L61" s="372"/>
      <c r="M61" s="372"/>
      <c r="T61" s="437"/>
    </row>
    <row r="62" s="332" customFormat="1" ht="27.95" customHeight="1" spans="2:20">
      <c r="B62" s="371"/>
      <c r="C62" s="372"/>
      <c r="D62" s="372"/>
      <c r="E62" s="372"/>
      <c r="F62" s="372"/>
      <c r="G62" s="372"/>
      <c r="H62" s="372"/>
      <c r="I62" s="372"/>
      <c r="J62" s="372"/>
      <c r="K62" s="372"/>
      <c r="L62" s="372"/>
      <c r="M62" s="372"/>
      <c r="T62" s="437"/>
    </row>
    <row r="63" s="332" customFormat="1" ht="27.95" customHeight="1" spans="2:20">
      <c r="B63" s="371"/>
      <c r="C63" s="372"/>
      <c r="D63" s="372"/>
      <c r="E63" s="372"/>
      <c r="F63" s="372"/>
      <c r="G63" s="372"/>
      <c r="H63" s="372"/>
      <c r="I63" s="372"/>
      <c r="J63" s="372"/>
      <c r="K63" s="372"/>
      <c r="L63" s="372"/>
      <c r="M63" s="372"/>
      <c r="T63" s="437"/>
    </row>
    <row r="64" s="332"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1"/>
      <c r="B66" s="365"/>
      <c r="C66" s="331"/>
      <c r="D66" s="331"/>
      <c r="E66" s="331"/>
      <c r="F66" s="331"/>
      <c r="G66" s="331"/>
      <c r="H66" s="331"/>
      <c r="I66" s="331"/>
      <c r="J66" s="331"/>
      <c r="K66" s="331"/>
      <c r="L66" s="331"/>
      <c r="M66" s="331"/>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61" workbookViewId="0">
      <selection activeCell="R81" sqref="R81"/>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customFormat="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2996798.84</v>
      </c>
      <c r="D3">
        <v>0</v>
      </c>
      <c r="E3">
        <v>0</v>
      </c>
      <c r="F3">
        <v>38125.92</v>
      </c>
      <c r="G3">
        <v>235849.06</v>
      </c>
      <c r="H3">
        <v>1017861.14</v>
      </c>
      <c r="I3">
        <v>228188.5</v>
      </c>
      <c r="J3">
        <v>269251.56</v>
      </c>
      <c r="K3">
        <v>235849.06</v>
      </c>
      <c r="L3">
        <v>235849.06</v>
      </c>
      <c r="M3">
        <v>245824.54</v>
      </c>
      <c r="N3">
        <v>245000</v>
      </c>
      <c r="O3">
        <v>245000</v>
      </c>
      <c r="P3">
        <v>3316981.13207547</v>
      </c>
      <c r="Q3">
        <v>276415.094339623</v>
      </c>
      <c r="R3">
        <v>276415.094339623</v>
      </c>
      <c r="S3">
        <v>276415.094339623</v>
      </c>
      <c r="T3">
        <v>276415.094339623</v>
      </c>
      <c r="U3">
        <v>276415.094339623</v>
      </c>
      <c r="V3">
        <v>276415.094339623</v>
      </c>
      <c r="W3">
        <v>276415.094339623</v>
      </c>
      <c r="X3">
        <v>276415.094339623</v>
      </c>
      <c r="Y3">
        <v>276415.094339623</v>
      </c>
      <c r="Z3">
        <v>276415.094339623</v>
      </c>
      <c r="AA3">
        <v>276415.094339623</v>
      </c>
      <c r="AB3">
        <v>276415.094339623</v>
      </c>
    </row>
    <row r="4" spans="1:28">
      <c r="A4">
        <v>6001</v>
      </c>
      <c r="B4" t="s">
        <v>256</v>
      </c>
      <c r="C4">
        <v>2996798.84</v>
      </c>
      <c r="D4">
        <v>0</v>
      </c>
      <c r="E4">
        <v>0</v>
      </c>
      <c r="F4">
        <v>38125.92</v>
      </c>
      <c r="G4">
        <v>235849.06</v>
      </c>
      <c r="H4">
        <v>1017861.14</v>
      </c>
      <c r="I4">
        <v>228188.5</v>
      </c>
      <c r="J4">
        <v>269251.56</v>
      </c>
      <c r="K4">
        <v>235849.06</v>
      </c>
      <c r="L4">
        <v>235849.06</v>
      </c>
      <c r="M4">
        <v>245824.54</v>
      </c>
      <c r="N4">
        <v>245000</v>
      </c>
      <c r="O4">
        <v>245000</v>
      </c>
      <c r="P4">
        <v>3316981.13207547</v>
      </c>
      <c r="Q4">
        <v>276415.094339623</v>
      </c>
      <c r="R4">
        <v>276415.094339623</v>
      </c>
      <c r="S4">
        <v>276415.094339623</v>
      </c>
      <c r="T4">
        <v>276415.094339623</v>
      </c>
      <c r="U4">
        <v>276415.094339623</v>
      </c>
      <c r="V4">
        <v>276415.094339623</v>
      </c>
      <c r="W4">
        <v>276415.094339623</v>
      </c>
      <c r="X4">
        <v>276415.094339623</v>
      </c>
      <c r="Y4">
        <v>276415.094339623</v>
      </c>
      <c r="Z4">
        <v>276415.094339623</v>
      </c>
      <c r="AA4">
        <v>276415.094339623</v>
      </c>
      <c r="AB4">
        <v>276415.094339623</v>
      </c>
    </row>
    <row r="5" spans="1:28">
      <c r="A5">
        <v>6001.03</v>
      </c>
      <c r="B5" t="s">
        <v>257</v>
      </c>
      <c r="C5">
        <v>2996798.84</v>
      </c>
      <c r="D5">
        <v>0</v>
      </c>
      <c r="E5">
        <v>0</v>
      </c>
      <c r="F5">
        <v>38125.92</v>
      </c>
      <c r="G5">
        <v>235849.06</v>
      </c>
      <c r="H5">
        <v>1017861.14</v>
      </c>
      <c r="I5">
        <v>228188.5</v>
      </c>
      <c r="J5">
        <v>269251.56</v>
      </c>
      <c r="K5">
        <v>235849.06</v>
      </c>
      <c r="L5">
        <v>235849.06</v>
      </c>
      <c r="M5">
        <v>245824.54</v>
      </c>
      <c r="N5">
        <v>245000</v>
      </c>
      <c r="O5">
        <v>245000</v>
      </c>
      <c r="P5">
        <v>3316981.13207547</v>
      </c>
      <c r="Q5">
        <v>276415.094339623</v>
      </c>
      <c r="R5">
        <v>276415.094339623</v>
      </c>
      <c r="S5">
        <v>276415.094339623</v>
      </c>
      <c r="T5">
        <v>276415.094339623</v>
      </c>
      <c r="U5">
        <v>276415.094339623</v>
      </c>
      <c r="V5">
        <v>276415.094339623</v>
      </c>
      <c r="W5">
        <v>276415.094339623</v>
      </c>
      <c r="X5">
        <v>276415.094339623</v>
      </c>
      <c r="Y5">
        <v>276415.094339623</v>
      </c>
      <c r="Z5">
        <v>276415.094339623</v>
      </c>
      <c r="AA5">
        <v>276415.094339623</v>
      </c>
      <c r="AB5">
        <v>276415.094339623</v>
      </c>
    </row>
    <row r="6" spans="1:28">
      <c r="A6" t="s">
        <v>258</v>
      </c>
      <c r="B6" t="s">
        <v>259</v>
      </c>
      <c r="C6">
        <v>2996798.84</v>
      </c>
      <c r="D6">
        <v>0</v>
      </c>
      <c r="E6">
        <v>0</v>
      </c>
      <c r="F6">
        <v>38125.92</v>
      </c>
      <c r="G6">
        <v>235849.06</v>
      </c>
      <c r="H6">
        <v>1017861.14</v>
      </c>
      <c r="I6">
        <v>228188.5</v>
      </c>
      <c r="J6">
        <v>269251.56</v>
      </c>
      <c r="K6">
        <v>235849.06</v>
      </c>
      <c r="L6">
        <v>235849.06</v>
      </c>
      <c r="M6">
        <v>245824.54</v>
      </c>
      <c r="N6">
        <v>245000</v>
      </c>
      <c r="O6">
        <v>245000</v>
      </c>
      <c r="P6">
        <v>3316981.13207547</v>
      </c>
      <c r="Q6">
        <v>276415.094339623</v>
      </c>
      <c r="R6">
        <v>276415.094339623</v>
      </c>
      <c r="S6">
        <v>276415.094339623</v>
      </c>
      <c r="T6">
        <v>276415.094339623</v>
      </c>
      <c r="U6">
        <v>276415.094339623</v>
      </c>
      <c r="V6">
        <v>276415.094339623</v>
      </c>
      <c r="W6">
        <v>276415.094339623</v>
      </c>
      <c r="X6">
        <v>276415.094339623</v>
      </c>
      <c r="Y6">
        <v>276415.094339623</v>
      </c>
      <c r="Z6">
        <v>276415.094339623</v>
      </c>
      <c r="AA6">
        <v>276415.094339623</v>
      </c>
      <c r="AB6">
        <v>276415.094339623</v>
      </c>
    </row>
    <row r="7" spans="1:28">
      <c r="A7" t="s">
        <v>260</v>
      </c>
      <c r="B7" t="s">
        <v>261</v>
      </c>
      <c r="C7">
        <v>2996798.84</v>
      </c>
      <c r="D7">
        <v>0</v>
      </c>
      <c r="E7">
        <v>0</v>
      </c>
      <c r="F7">
        <v>38125.92</v>
      </c>
      <c r="G7">
        <v>235849.06</v>
      </c>
      <c r="H7">
        <v>1017861.14</v>
      </c>
      <c r="I7">
        <v>228188.5</v>
      </c>
      <c r="J7">
        <v>269251.56</v>
      </c>
      <c r="K7">
        <v>235849.06</v>
      </c>
      <c r="L7">
        <v>235849.06</v>
      </c>
      <c r="M7">
        <v>245824.54</v>
      </c>
      <c r="N7">
        <v>245000</v>
      </c>
      <c r="O7">
        <v>245000</v>
      </c>
      <c r="P7">
        <v>3316981.13207547</v>
      </c>
      <c r="Q7">
        <v>276415.094339623</v>
      </c>
      <c r="R7">
        <v>276415.094339623</v>
      </c>
      <c r="S7">
        <v>276415.094339623</v>
      </c>
      <c r="T7">
        <v>276415.094339623</v>
      </c>
      <c r="U7">
        <v>276415.094339623</v>
      </c>
      <c r="V7">
        <v>276415.094339623</v>
      </c>
      <c r="W7">
        <v>276415.094339623</v>
      </c>
      <c r="X7">
        <v>276415.094339623</v>
      </c>
      <c r="Y7">
        <v>276415.094339623</v>
      </c>
      <c r="Z7">
        <v>276415.094339623</v>
      </c>
      <c r="AA7">
        <v>276415.094339623</v>
      </c>
      <c r="AB7">
        <v>276415.094339623</v>
      </c>
    </row>
    <row r="8" spans="1:28">
      <c r="A8" t="s">
        <v>262</v>
      </c>
      <c r="B8" t="s">
        <v>263</v>
      </c>
      <c r="C8">
        <v>0</v>
      </c>
      <c r="D8">
        <v>0</v>
      </c>
      <c r="E8">
        <v>0</v>
      </c>
      <c r="F8">
        <v>0</v>
      </c>
      <c r="G8">
        <v>0</v>
      </c>
      <c r="H8">
        <v>0</v>
      </c>
      <c r="I8">
        <v>0</v>
      </c>
      <c r="J8">
        <v>0</v>
      </c>
      <c r="K8">
        <v>0</v>
      </c>
      <c r="L8">
        <v>0</v>
      </c>
      <c r="M8">
        <v>0</v>
      </c>
      <c r="P8">
        <v>0</v>
      </c>
      <c r="Q8">
        <v>0</v>
      </c>
      <c r="R8">
        <v>0</v>
      </c>
      <c r="S8">
        <v>0</v>
      </c>
      <c r="T8">
        <v>0</v>
      </c>
      <c r="U8">
        <v>0</v>
      </c>
      <c r="V8">
        <v>0</v>
      </c>
      <c r="W8">
        <v>0</v>
      </c>
      <c r="X8">
        <v>0</v>
      </c>
      <c r="Y8">
        <v>0</v>
      </c>
      <c r="Z8">
        <v>0</v>
      </c>
      <c r="AA8">
        <v>0</v>
      </c>
      <c r="AB8">
        <v>0</v>
      </c>
    </row>
    <row r="9" spans="1:28">
      <c r="A9" t="s">
        <v>264</v>
      </c>
      <c r="B9" t="s">
        <v>265</v>
      </c>
      <c r="C9">
        <v>0</v>
      </c>
      <c r="D9">
        <v>0</v>
      </c>
      <c r="E9">
        <v>0</v>
      </c>
      <c r="F9">
        <v>0</v>
      </c>
      <c r="G9">
        <v>0</v>
      </c>
      <c r="H9">
        <v>0</v>
      </c>
      <c r="I9">
        <v>0</v>
      </c>
      <c r="J9">
        <v>0</v>
      </c>
      <c r="K9">
        <v>0</v>
      </c>
      <c r="L9">
        <v>0</v>
      </c>
      <c r="M9">
        <v>0</v>
      </c>
      <c r="P9">
        <v>0</v>
      </c>
      <c r="Q9">
        <v>0</v>
      </c>
      <c r="R9">
        <v>0</v>
      </c>
      <c r="S9">
        <v>0</v>
      </c>
      <c r="T9">
        <v>0</v>
      </c>
      <c r="U9">
        <v>0</v>
      </c>
      <c r="V9">
        <v>0</v>
      </c>
      <c r="W9">
        <v>0</v>
      </c>
      <c r="X9">
        <v>0</v>
      </c>
      <c r="Y9">
        <v>0</v>
      </c>
      <c r="Z9">
        <v>0</v>
      </c>
      <c r="AA9">
        <v>0</v>
      </c>
      <c r="AB9">
        <v>0</v>
      </c>
    </row>
    <row r="10" spans="1:28">
      <c r="A10" t="s">
        <v>266</v>
      </c>
      <c r="B10" t="s">
        <v>267</v>
      </c>
      <c r="C10">
        <v>0</v>
      </c>
      <c r="D10">
        <v>0</v>
      </c>
      <c r="E10">
        <v>0</v>
      </c>
      <c r="F10">
        <v>0</v>
      </c>
      <c r="G10">
        <v>0</v>
      </c>
      <c r="H10">
        <v>0</v>
      </c>
      <c r="I10">
        <v>0</v>
      </c>
      <c r="J10">
        <v>0</v>
      </c>
      <c r="K10">
        <v>0</v>
      </c>
      <c r="L10">
        <v>0</v>
      </c>
      <c r="M10">
        <v>0</v>
      </c>
      <c r="P10">
        <v>0</v>
      </c>
      <c r="Q10">
        <v>0</v>
      </c>
      <c r="R10">
        <v>0</v>
      </c>
      <c r="S10">
        <v>0</v>
      </c>
      <c r="T10">
        <v>0</v>
      </c>
      <c r="U10">
        <v>0</v>
      </c>
      <c r="V10">
        <v>0</v>
      </c>
      <c r="W10">
        <v>0</v>
      </c>
      <c r="X10">
        <v>0</v>
      </c>
      <c r="Y10">
        <v>0</v>
      </c>
      <c r="Z10">
        <v>0</v>
      </c>
      <c r="AA10">
        <v>0</v>
      </c>
      <c r="AB10">
        <v>0</v>
      </c>
    </row>
    <row r="11" spans="1:16">
      <c r="A11" t="s">
        <v>268</v>
      </c>
      <c r="B11" t="s">
        <v>269</v>
      </c>
      <c r="C11">
        <v>0</v>
      </c>
      <c r="D11">
        <v>0</v>
      </c>
      <c r="E11">
        <v>0</v>
      </c>
      <c r="F11">
        <v>0</v>
      </c>
      <c r="G11">
        <v>0</v>
      </c>
      <c r="H11">
        <v>0</v>
      </c>
      <c r="I11">
        <v>0</v>
      </c>
      <c r="J11">
        <v>0</v>
      </c>
      <c r="K11">
        <v>0</v>
      </c>
      <c r="L11">
        <v>0</v>
      </c>
      <c r="M11">
        <v>0</v>
      </c>
      <c r="P11">
        <v>0</v>
      </c>
    </row>
    <row r="12" spans="1:16">
      <c r="A12" t="s">
        <v>270</v>
      </c>
      <c r="B12" t="s">
        <v>271</v>
      </c>
      <c r="C12">
        <v>0</v>
      </c>
      <c r="D12">
        <v>0</v>
      </c>
      <c r="E12">
        <v>0</v>
      </c>
      <c r="F12">
        <v>0</v>
      </c>
      <c r="G12">
        <v>0</v>
      </c>
      <c r="H12">
        <v>0</v>
      </c>
      <c r="I12">
        <v>0</v>
      </c>
      <c r="J12">
        <v>0</v>
      </c>
      <c r="K12">
        <v>0</v>
      </c>
      <c r="L12">
        <v>0</v>
      </c>
      <c r="M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D14">
        <v>0</v>
      </c>
      <c r="E14">
        <v>0</v>
      </c>
      <c r="F14">
        <v>0</v>
      </c>
      <c r="G14">
        <v>0</v>
      </c>
      <c r="H14">
        <v>0</v>
      </c>
      <c r="I14">
        <v>0</v>
      </c>
      <c r="J14">
        <v>0</v>
      </c>
      <c r="K14">
        <v>0</v>
      </c>
      <c r="L14">
        <v>0</v>
      </c>
      <c r="M14">
        <v>0</v>
      </c>
      <c r="P14">
        <v>0</v>
      </c>
    </row>
    <row r="15" customFormat="1" spans="1:16">
      <c r="A15" t="s">
        <v>276</v>
      </c>
      <c r="B15" t="s">
        <v>277</v>
      </c>
      <c r="C15">
        <v>0</v>
      </c>
      <c r="D15">
        <v>0</v>
      </c>
      <c r="E15">
        <v>0</v>
      </c>
      <c r="F15">
        <v>0</v>
      </c>
      <c r="G15">
        <v>0</v>
      </c>
      <c r="H15">
        <v>0</v>
      </c>
      <c r="I15">
        <v>0</v>
      </c>
      <c r="J15">
        <v>0</v>
      </c>
      <c r="K15">
        <v>0</v>
      </c>
      <c r="L15">
        <v>0</v>
      </c>
      <c r="M15">
        <v>0</v>
      </c>
      <c r="N15"/>
      <c r="P15">
        <v>0</v>
      </c>
    </row>
    <row r="16" spans="1:16">
      <c r="A16" t="s">
        <v>278</v>
      </c>
      <c r="B16" t="s">
        <v>279</v>
      </c>
      <c r="C16">
        <v>0</v>
      </c>
      <c r="D16">
        <v>0</v>
      </c>
      <c r="E16">
        <v>0</v>
      </c>
      <c r="F16">
        <v>0</v>
      </c>
      <c r="G16">
        <v>0</v>
      </c>
      <c r="H16">
        <v>0</v>
      </c>
      <c r="I16">
        <v>0</v>
      </c>
      <c r="J16">
        <v>0</v>
      </c>
      <c r="K16">
        <v>0</v>
      </c>
      <c r="L16">
        <v>0</v>
      </c>
      <c r="M16">
        <v>0</v>
      </c>
      <c r="P16">
        <v>0</v>
      </c>
    </row>
    <row r="17" spans="1:16">
      <c r="A17" t="s">
        <v>280</v>
      </c>
      <c r="B17" t="s">
        <v>281</v>
      </c>
      <c r="C17">
        <v>0</v>
      </c>
      <c r="D17">
        <v>0</v>
      </c>
      <c r="E17">
        <v>0</v>
      </c>
      <c r="F17">
        <v>0</v>
      </c>
      <c r="G17">
        <v>0</v>
      </c>
      <c r="H17">
        <v>0</v>
      </c>
      <c r="I17">
        <v>0</v>
      </c>
      <c r="J17">
        <v>0</v>
      </c>
      <c r="K17">
        <v>0</v>
      </c>
      <c r="L17">
        <v>0</v>
      </c>
      <c r="M17">
        <v>0</v>
      </c>
      <c r="P17">
        <v>0</v>
      </c>
    </row>
    <row r="18" spans="1:16">
      <c r="A18" t="s">
        <v>282</v>
      </c>
      <c r="B18" t="s">
        <v>283</v>
      </c>
      <c r="C18">
        <v>0</v>
      </c>
      <c r="D18">
        <v>0</v>
      </c>
      <c r="E18">
        <v>0</v>
      </c>
      <c r="F18">
        <v>0</v>
      </c>
      <c r="G18">
        <v>0</v>
      </c>
      <c r="H18">
        <v>0</v>
      </c>
      <c r="I18">
        <v>0</v>
      </c>
      <c r="J18">
        <v>0</v>
      </c>
      <c r="K18">
        <v>0</v>
      </c>
      <c r="L18">
        <v>0</v>
      </c>
      <c r="M18">
        <v>0</v>
      </c>
      <c r="P18">
        <v>0</v>
      </c>
    </row>
    <row r="19" spans="1:28">
      <c r="A19" t="s">
        <v>284</v>
      </c>
      <c r="B19" t="s">
        <v>285</v>
      </c>
      <c r="C19">
        <v>0</v>
      </c>
      <c r="D19">
        <v>0</v>
      </c>
      <c r="E19">
        <v>0</v>
      </c>
      <c r="F19">
        <v>0</v>
      </c>
      <c r="G19">
        <v>0</v>
      </c>
      <c r="H19">
        <v>0</v>
      </c>
      <c r="I19">
        <v>0</v>
      </c>
      <c r="J19">
        <v>0</v>
      </c>
      <c r="K19">
        <v>0</v>
      </c>
      <c r="L19">
        <v>0</v>
      </c>
      <c r="M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D21">
        <v>0</v>
      </c>
      <c r="E21">
        <v>0</v>
      </c>
      <c r="F21">
        <v>0</v>
      </c>
      <c r="G21">
        <v>0</v>
      </c>
      <c r="H21">
        <v>0</v>
      </c>
      <c r="I21">
        <v>0</v>
      </c>
      <c r="J21">
        <v>0</v>
      </c>
      <c r="K21">
        <v>0</v>
      </c>
      <c r="L21">
        <v>0</v>
      </c>
      <c r="M21">
        <v>0</v>
      </c>
      <c r="P21">
        <v>0</v>
      </c>
      <c r="Q21">
        <v>0</v>
      </c>
      <c r="R21">
        <v>0</v>
      </c>
      <c r="S21">
        <v>0</v>
      </c>
      <c r="T21">
        <v>0</v>
      </c>
      <c r="U21">
        <v>0</v>
      </c>
      <c r="V21">
        <v>0</v>
      </c>
      <c r="W21">
        <v>0</v>
      </c>
      <c r="X21">
        <v>0</v>
      </c>
      <c r="Y21">
        <v>0</v>
      </c>
      <c r="Z21">
        <v>0</v>
      </c>
      <c r="AA21">
        <v>0</v>
      </c>
      <c r="AB21">
        <v>0</v>
      </c>
    </row>
    <row r="22" spans="1:28">
      <c r="A22" t="s">
        <v>290</v>
      </c>
      <c r="B22" t="s">
        <v>291</v>
      </c>
      <c r="C22">
        <v>0</v>
      </c>
      <c r="D22">
        <v>0</v>
      </c>
      <c r="E22">
        <v>0</v>
      </c>
      <c r="F22">
        <v>0</v>
      </c>
      <c r="G22">
        <v>0</v>
      </c>
      <c r="H22">
        <v>0</v>
      </c>
      <c r="I22">
        <v>0</v>
      </c>
      <c r="J22">
        <v>0</v>
      </c>
      <c r="K22">
        <v>0</v>
      </c>
      <c r="L22">
        <v>0</v>
      </c>
      <c r="M22">
        <v>0</v>
      </c>
      <c r="P22">
        <v>0</v>
      </c>
      <c r="Q22">
        <v>0</v>
      </c>
      <c r="R22">
        <v>0</v>
      </c>
      <c r="S22">
        <v>0</v>
      </c>
      <c r="T22">
        <v>0</v>
      </c>
      <c r="U22">
        <v>0</v>
      </c>
      <c r="V22">
        <v>0</v>
      </c>
      <c r="W22">
        <v>0</v>
      </c>
      <c r="X22">
        <v>0</v>
      </c>
      <c r="Y22">
        <v>0</v>
      </c>
      <c r="Z22">
        <v>0</v>
      </c>
      <c r="AA22">
        <v>0</v>
      </c>
      <c r="AB22">
        <v>0</v>
      </c>
    </row>
    <row r="23" spans="1:28">
      <c r="A23" t="s">
        <v>292</v>
      </c>
      <c r="B23" t="s">
        <v>293</v>
      </c>
      <c r="C23">
        <v>0</v>
      </c>
      <c r="D23">
        <v>0</v>
      </c>
      <c r="E23">
        <v>0</v>
      </c>
      <c r="F23">
        <v>0</v>
      </c>
      <c r="G23">
        <v>0</v>
      </c>
      <c r="H23">
        <v>0</v>
      </c>
      <c r="I23">
        <v>0</v>
      </c>
      <c r="J23">
        <v>0</v>
      </c>
      <c r="K23">
        <v>0</v>
      </c>
      <c r="L23">
        <v>0</v>
      </c>
      <c r="M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v>0</v>
      </c>
      <c r="E25" s="53">
        <v>0</v>
      </c>
      <c r="F25" s="53">
        <v>0</v>
      </c>
      <c r="G25" s="53">
        <v>0</v>
      </c>
      <c r="H25" s="53">
        <v>0</v>
      </c>
      <c r="I25" s="53">
        <v>0</v>
      </c>
      <c r="J25" s="53">
        <v>0</v>
      </c>
      <c r="K25" s="53">
        <v>0</v>
      </c>
      <c r="L25" s="53">
        <v>0</v>
      </c>
      <c r="M25" s="53">
        <v>0</v>
      </c>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v>0</v>
      </c>
      <c r="E26" s="53">
        <v>0</v>
      </c>
      <c r="F26" s="53">
        <v>0</v>
      </c>
      <c r="G26" s="53">
        <v>0</v>
      </c>
      <c r="H26" s="53">
        <v>0</v>
      </c>
      <c r="I26" s="53">
        <v>0</v>
      </c>
      <c r="J26" s="53">
        <v>0</v>
      </c>
      <c r="K26" s="53">
        <v>0</v>
      </c>
      <c r="L26" s="53">
        <v>0</v>
      </c>
      <c r="M26" s="53">
        <v>0</v>
      </c>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ht="13.5" customHeight="1" spans="1:62">
      <c r="A27" s="53" t="s">
        <v>300</v>
      </c>
      <c r="B27" s="53" t="s">
        <v>301</v>
      </c>
      <c r="C27" s="53">
        <v>0</v>
      </c>
      <c r="D27" s="53">
        <v>0</v>
      </c>
      <c r="E27" s="53">
        <v>0</v>
      </c>
      <c r="F27" s="53">
        <v>0</v>
      </c>
      <c r="G27" s="53">
        <v>0</v>
      </c>
      <c r="H27" s="53">
        <v>0</v>
      </c>
      <c r="I27" s="53">
        <v>0</v>
      </c>
      <c r="J27" s="53">
        <v>0</v>
      </c>
      <c r="K27" s="53">
        <v>0</v>
      </c>
      <c r="L27" s="53">
        <v>0</v>
      </c>
      <c r="M27" s="53">
        <v>0</v>
      </c>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v>0</v>
      </c>
      <c r="E29" s="53">
        <v>0</v>
      </c>
      <c r="F29" s="53">
        <v>0</v>
      </c>
      <c r="G29" s="53">
        <v>0</v>
      </c>
      <c r="H29" s="53">
        <v>0</v>
      </c>
      <c r="I29" s="53">
        <v>0</v>
      </c>
      <c r="J29" s="53">
        <v>0</v>
      </c>
      <c r="K29" s="53">
        <v>0</v>
      </c>
      <c r="L29" s="53">
        <v>0</v>
      </c>
      <c r="M29" s="53">
        <v>0</v>
      </c>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v>0</v>
      </c>
      <c r="E30" s="53">
        <v>0</v>
      </c>
      <c r="F30" s="53">
        <v>0</v>
      </c>
      <c r="G30" s="53">
        <v>0</v>
      </c>
      <c r="H30" s="53">
        <v>0</v>
      </c>
      <c r="I30" s="53">
        <v>0</v>
      </c>
      <c r="J30" s="53">
        <v>0</v>
      </c>
      <c r="K30" s="53">
        <v>0</v>
      </c>
      <c r="L30" s="53">
        <v>0</v>
      </c>
      <c r="M30" s="53">
        <v>0</v>
      </c>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v>0</v>
      </c>
      <c r="E32" s="53">
        <v>0</v>
      </c>
      <c r="F32" s="53">
        <v>0</v>
      </c>
      <c r="G32" s="53">
        <v>0</v>
      </c>
      <c r="H32" s="53">
        <v>0</v>
      </c>
      <c r="I32" s="53">
        <v>0</v>
      </c>
      <c r="J32" s="53">
        <v>0</v>
      </c>
      <c r="K32" s="53">
        <v>0</v>
      </c>
      <c r="L32" s="53">
        <v>0</v>
      </c>
      <c r="M32" s="53">
        <v>0</v>
      </c>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v>0</v>
      </c>
      <c r="E33" s="53">
        <v>0</v>
      </c>
      <c r="F33" s="53">
        <v>0</v>
      </c>
      <c r="G33" s="53">
        <v>0</v>
      </c>
      <c r="H33" s="53">
        <v>0</v>
      </c>
      <c r="I33" s="53">
        <v>0</v>
      </c>
      <c r="J33" s="53">
        <v>0</v>
      </c>
      <c r="K33" s="53">
        <v>0</v>
      </c>
      <c r="L33" s="53">
        <v>0</v>
      </c>
      <c r="M33" s="53">
        <v>0</v>
      </c>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v>0</v>
      </c>
      <c r="E35" s="53">
        <v>0</v>
      </c>
      <c r="F35" s="53">
        <v>0</v>
      </c>
      <c r="G35" s="53">
        <v>0</v>
      </c>
      <c r="H35" s="53">
        <v>0</v>
      </c>
      <c r="I35" s="53">
        <v>0</v>
      </c>
      <c r="J35" s="53">
        <v>0</v>
      </c>
      <c r="K35" s="53">
        <v>0</v>
      </c>
      <c r="L35" s="53">
        <v>0</v>
      </c>
      <c r="M35" s="53">
        <v>0</v>
      </c>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v>0</v>
      </c>
      <c r="E36" s="53">
        <v>0</v>
      </c>
      <c r="F36" s="53">
        <v>0</v>
      </c>
      <c r="G36" s="53">
        <v>0</v>
      </c>
      <c r="H36" s="53">
        <v>0</v>
      </c>
      <c r="I36" s="53">
        <v>0</v>
      </c>
      <c r="J36" s="53">
        <v>0</v>
      </c>
      <c r="K36" s="53">
        <v>0</v>
      </c>
      <c r="L36" s="53">
        <v>0</v>
      </c>
      <c r="M36" s="53">
        <v>0</v>
      </c>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v>0</v>
      </c>
      <c r="E37" s="53">
        <v>0</v>
      </c>
      <c r="F37" s="53">
        <v>0</v>
      </c>
      <c r="G37" s="53">
        <v>0</v>
      </c>
      <c r="H37" s="53">
        <v>0</v>
      </c>
      <c r="I37" s="53">
        <v>0</v>
      </c>
      <c r="J37" s="53">
        <v>0</v>
      </c>
      <c r="K37" s="53">
        <v>0</v>
      </c>
      <c r="L37" s="53">
        <v>0</v>
      </c>
      <c r="M37" s="53">
        <v>0</v>
      </c>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v>0</v>
      </c>
      <c r="E39" s="53">
        <v>0</v>
      </c>
      <c r="F39" s="53">
        <v>0</v>
      </c>
      <c r="G39" s="53">
        <v>0</v>
      </c>
      <c r="H39" s="53">
        <v>0</v>
      </c>
      <c r="I39" s="53">
        <v>0</v>
      </c>
      <c r="J39" s="53">
        <v>0</v>
      </c>
      <c r="K39" s="53">
        <v>0</v>
      </c>
      <c r="L39" s="53">
        <v>0</v>
      </c>
      <c r="M39" s="53">
        <v>0</v>
      </c>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v>0</v>
      </c>
      <c r="E40" s="53">
        <v>0</v>
      </c>
      <c r="F40" s="53">
        <v>0</v>
      </c>
      <c r="G40" s="53">
        <v>0</v>
      </c>
      <c r="H40" s="53">
        <v>0</v>
      </c>
      <c r="I40" s="53">
        <v>0</v>
      </c>
      <c r="J40" s="53">
        <v>0</v>
      </c>
      <c r="K40" s="53">
        <v>0</v>
      </c>
      <c r="L40" s="53">
        <v>0</v>
      </c>
      <c r="M40" s="53">
        <v>0</v>
      </c>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v>0</v>
      </c>
      <c r="E41" s="53">
        <v>0</v>
      </c>
      <c r="F41" s="53">
        <v>0</v>
      </c>
      <c r="G41" s="53">
        <v>0</v>
      </c>
      <c r="H41" s="53">
        <v>0</v>
      </c>
      <c r="I41" s="53">
        <v>0</v>
      </c>
      <c r="J41" s="53">
        <v>0</v>
      </c>
      <c r="K41" s="53">
        <v>0</v>
      </c>
      <c r="L41" s="53">
        <v>0</v>
      </c>
      <c r="M41" s="53">
        <v>0</v>
      </c>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v>0</v>
      </c>
      <c r="E42" s="53">
        <v>0</v>
      </c>
      <c r="F42" s="53">
        <v>0</v>
      </c>
      <c r="G42" s="53">
        <v>0</v>
      </c>
      <c r="H42" s="53">
        <v>0</v>
      </c>
      <c r="I42" s="53">
        <v>0</v>
      </c>
      <c r="J42" s="53">
        <v>0</v>
      </c>
      <c r="K42" s="53">
        <v>0</v>
      </c>
      <c r="L42" s="53">
        <v>0</v>
      </c>
      <c r="M42" s="53">
        <v>0</v>
      </c>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v>0</v>
      </c>
      <c r="E44" s="53">
        <v>0</v>
      </c>
      <c r="F44" s="53">
        <v>0</v>
      </c>
      <c r="G44" s="53">
        <v>0</v>
      </c>
      <c r="H44" s="53">
        <v>0</v>
      </c>
      <c r="I44" s="53">
        <v>0</v>
      </c>
      <c r="J44" s="53">
        <v>0</v>
      </c>
      <c r="K44" s="53">
        <v>0</v>
      </c>
      <c r="L44" s="53">
        <v>0</v>
      </c>
      <c r="M44" s="53">
        <v>0</v>
      </c>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v>0</v>
      </c>
      <c r="E45" s="53">
        <v>0</v>
      </c>
      <c r="F45" s="53">
        <v>0</v>
      </c>
      <c r="G45" s="53">
        <v>0</v>
      </c>
      <c r="H45" s="53">
        <v>0</v>
      </c>
      <c r="I45" s="53">
        <v>0</v>
      </c>
      <c r="J45" s="53">
        <v>0</v>
      </c>
      <c r="K45" s="53">
        <v>0</v>
      </c>
      <c r="L45" s="53">
        <v>0</v>
      </c>
      <c r="M45" s="53">
        <v>0</v>
      </c>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v>0</v>
      </c>
      <c r="E47" s="53">
        <v>0</v>
      </c>
      <c r="F47" s="53">
        <v>0</v>
      </c>
      <c r="G47" s="53">
        <v>0</v>
      </c>
      <c r="H47" s="53">
        <v>0</v>
      </c>
      <c r="I47" s="53">
        <v>0</v>
      </c>
      <c r="J47" s="53">
        <v>0</v>
      </c>
      <c r="K47" s="53">
        <v>0</v>
      </c>
      <c r="L47" s="53">
        <v>0</v>
      </c>
      <c r="M47" s="53">
        <v>0</v>
      </c>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6" customFormat="1" spans="1:62">
      <c r="A49" s="53" t="s">
        <v>341</v>
      </c>
      <c r="B49" s="53" t="s">
        <v>342</v>
      </c>
      <c r="C49" s="53">
        <v>0</v>
      </c>
      <c r="D49" s="53">
        <v>0</v>
      </c>
      <c r="E49" s="53">
        <v>0</v>
      </c>
      <c r="F49" s="53">
        <v>0</v>
      </c>
      <c r="G49" s="53">
        <v>0</v>
      </c>
      <c r="H49" s="53">
        <v>0</v>
      </c>
      <c r="I49" s="53">
        <v>0</v>
      </c>
      <c r="J49" s="53">
        <v>0</v>
      </c>
      <c r="K49" s="53">
        <v>0</v>
      </c>
      <c r="L49" s="53">
        <v>0</v>
      </c>
      <c r="M49" s="53">
        <v>0</v>
      </c>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v>0</v>
      </c>
      <c r="E50" s="53">
        <v>0</v>
      </c>
      <c r="F50" s="53">
        <v>0</v>
      </c>
      <c r="G50" s="53">
        <v>0</v>
      </c>
      <c r="H50" s="53">
        <v>0</v>
      </c>
      <c r="I50" s="53">
        <v>0</v>
      </c>
      <c r="J50" s="53">
        <v>0</v>
      </c>
      <c r="K50" s="53">
        <v>0</v>
      </c>
      <c r="L50" s="53">
        <v>0</v>
      </c>
      <c r="M50" s="53">
        <v>0</v>
      </c>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v>0</v>
      </c>
      <c r="E51" s="53">
        <v>0</v>
      </c>
      <c r="F51" s="53">
        <v>0</v>
      </c>
      <c r="G51" s="53">
        <v>0</v>
      </c>
      <c r="H51" s="53">
        <v>0</v>
      </c>
      <c r="I51" s="53">
        <v>0</v>
      </c>
      <c r="J51" s="53">
        <v>0</v>
      </c>
      <c r="K51" s="53">
        <v>0</v>
      </c>
      <c r="L51" s="53">
        <v>0</v>
      </c>
      <c r="M51" s="53">
        <v>0</v>
      </c>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v>0</v>
      </c>
      <c r="E54" s="53">
        <v>0</v>
      </c>
      <c r="F54" s="53">
        <v>0</v>
      </c>
      <c r="G54" s="53">
        <v>0</v>
      </c>
      <c r="H54" s="53">
        <v>0</v>
      </c>
      <c r="I54" s="53">
        <v>0</v>
      </c>
      <c r="J54" s="53">
        <v>0</v>
      </c>
      <c r="K54" s="53">
        <v>0</v>
      </c>
      <c r="L54" s="53">
        <v>0</v>
      </c>
      <c r="M54" s="53">
        <v>0</v>
      </c>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v>0</v>
      </c>
      <c r="E55" s="53">
        <v>0</v>
      </c>
      <c r="F55" s="53">
        <v>0</v>
      </c>
      <c r="G55" s="53">
        <v>0</v>
      </c>
      <c r="H55" s="53">
        <v>0</v>
      </c>
      <c r="I55" s="53">
        <v>0</v>
      </c>
      <c r="J55" s="53">
        <v>0</v>
      </c>
      <c r="K55" s="53">
        <v>0</v>
      </c>
      <c r="L55" s="53">
        <v>0</v>
      </c>
      <c r="M55" s="53">
        <v>0</v>
      </c>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v>0</v>
      </c>
      <c r="E56" s="53">
        <v>0</v>
      </c>
      <c r="F56" s="53">
        <v>0</v>
      </c>
      <c r="G56" s="53">
        <v>0</v>
      </c>
      <c r="H56" s="53">
        <v>0</v>
      </c>
      <c r="I56" s="53">
        <v>0</v>
      </c>
      <c r="J56" s="53">
        <v>0</v>
      </c>
      <c r="K56" s="53">
        <v>0</v>
      </c>
      <c r="L56" s="53">
        <v>0</v>
      </c>
      <c r="M56" s="53">
        <v>0</v>
      </c>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v>0</v>
      </c>
      <c r="E57" s="53">
        <v>0</v>
      </c>
      <c r="F57" s="53">
        <v>0</v>
      </c>
      <c r="G57" s="53">
        <v>0</v>
      </c>
      <c r="H57" s="53">
        <v>0</v>
      </c>
      <c r="I57" s="53">
        <v>0</v>
      </c>
      <c r="J57" s="53">
        <v>0</v>
      </c>
      <c r="K57" s="53">
        <v>0</v>
      </c>
      <c r="L57" s="53">
        <v>0</v>
      </c>
      <c r="M57" s="53">
        <v>0</v>
      </c>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v>0</v>
      </c>
      <c r="E59" s="53">
        <v>0</v>
      </c>
      <c r="F59" s="53">
        <v>0</v>
      </c>
      <c r="G59" s="53">
        <v>0</v>
      </c>
      <c r="H59" s="53">
        <v>0</v>
      </c>
      <c r="I59" s="53">
        <v>0</v>
      </c>
      <c r="J59" s="53">
        <v>0</v>
      </c>
      <c r="K59" s="53">
        <v>0</v>
      </c>
      <c r="L59" s="53">
        <v>0</v>
      </c>
      <c r="M59" s="53">
        <v>0</v>
      </c>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v>0</v>
      </c>
      <c r="E60" s="53">
        <v>0</v>
      </c>
      <c r="F60" s="53">
        <v>0</v>
      </c>
      <c r="G60" s="53">
        <v>0</v>
      </c>
      <c r="H60" s="53">
        <v>0</v>
      </c>
      <c r="I60" s="53">
        <v>0</v>
      </c>
      <c r="J60" s="53">
        <v>0</v>
      </c>
      <c r="K60" s="53">
        <v>0</v>
      </c>
      <c r="L60" s="53">
        <v>0</v>
      </c>
      <c r="M60" s="53">
        <v>0</v>
      </c>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v>0</v>
      </c>
      <c r="E61" s="53">
        <v>0</v>
      </c>
      <c r="F61" s="53">
        <v>0</v>
      </c>
      <c r="G61" s="53">
        <v>0</v>
      </c>
      <c r="H61" s="53">
        <v>0</v>
      </c>
      <c r="I61" s="53">
        <v>0</v>
      </c>
      <c r="J61" s="53">
        <v>0</v>
      </c>
      <c r="K61" s="53">
        <v>0</v>
      </c>
      <c r="L61" s="53">
        <v>0</v>
      </c>
      <c r="M61" s="53">
        <v>0</v>
      </c>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v>0</v>
      </c>
      <c r="E62" s="53">
        <v>0</v>
      </c>
      <c r="F62" s="53">
        <v>0</v>
      </c>
      <c r="G62" s="53">
        <v>0</v>
      </c>
      <c r="H62" s="53">
        <v>0</v>
      </c>
      <c r="I62" s="53">
        <v>0</v>
      </c>
      <c r="J62" s="53">
        <v>0</v>
      </c>
      <c r="K62" s="53">
        <v>0</v>
      </c>
      <c r="L62" s="53">
        <v>0</v>
      </c>
      <c r="M62" s="53">
        <v>0</v>
      </c>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v>0</v>
      </c>
      <c r="E64" s="53">
        <v>0</v>
      </c>
      <c r="F64" s="53">
        <v>0</v>
      </c>
      <c r="G64" s="53">
        <v>0</v>
      </c>
      <c r="H64" s="53">
        <v>0</v>
      </c>
      <c r="I64" s="53">
        <v>0</v>
      </c>
      <c r="J64" s="53">
        <v>0</v>
      </c>
      <c r="K64" s="53">
        <v>0</v>
      </c>
      <c r="L64" s="53">
        <v>0</v>
      </c>
      <c r="M64" s="53">
        <v>0</v>
      </c>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D65">
        <v>0</v>
      </c>
      <c r="E65">
        <v>0</v>
      </c>
      <c r="F65">
        <v>0</v>
      </c>
      <c r="G65">
        <v>0</v>
      </c>
      <c r="H65">
        <v>0</v>
      </c>
      <c r="I65">
        <v>0</v>
      </c>
      <c r="J65">
        <v>0</v>
      </c>
      <c r="K65">
        <v>0</v>
      </c>
      <c r="L65">
        <v>0</v>
      </c>
      <c r="M65">
        <v>0</v>
      </c>
      <c r="O65" s="327"/>
      <c r="P65">
        <v>0</v>
      </c>
    </row>
    <row r="66" spans="1:16">
      <c r="A66" t="s">
        <v>373</v>
      </c>
      <c r="B66" t="s">
        <v>374</v>
      </c>
      <c r="C66">
        <v>0</v>
      </c>
      <c r="D66">
        <v>0</v>
      </c>
      <c r="E66">
        <v>0</v>
      </c>
      <c r="F66">
        <v>0</v>
      </c>
      <c r="G66">
        <v>0</v>
      </c>
      <c r="H66">
        <v>0</v>
      </c>
      <c r="I66">
        <v>0</v>
      </c>
      <c r="J66">
        <v>0</v>
      </c>
      <c r="K66">
        <v>0</v>
      </c>
      <c r="L66">
        <v>0</v>
      </c>
      <c r="M66">
        <v>0</v>
      </c>
      <c r="O66" s="327"/>
      <c r="P66">
        <v>0</v>
      </c>
    </row>
    <row r="67" spans="1:16">
      <c r="A67" t="s">
        <v>375</v>
      </c>
      <c r="B67" t="s">
        <v>376</v>
      </c>
      <c r="C67">
        <v>0</v>
      </c>
      <c r="D67">
        <v>0</v>
      </c>
      <c r="E67">
        <v>0</v>
      </c>
      <c r="F67">
        <v>0</v>
      </c>
      <c r="G67">
        <v>0</v>
      </c>
      <c r="H67">
        <v>0</v>
      </c>
      <c r="I67">
        <v>0</v>
      </c>
      <c r="J67">
        <v>0</v>
      </c>
      <c r="K67">
        <v>0</v>
      </c>
      <c r="L67">
        <v>0</v>
      </c>
      <c r="M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D69">
        <v>0</v>
      </c>
      <c r="E69">
        <v>0</v>
      </c>
      <c r="F69">
        <v>0</v>
      </c>
      <c r="G69">
        <v>0</v>
      </c>
      <c r="H69">
        <v>0</v>
      </c>
      <c r="I69">
        <v>0</v>
      </c>
      <c r="J69">
        <v>0</v>
      </c>
      <c r="K69">
        <v>0</v>
      </c>
      <c r="L69">
        <v>0</v>
      </c>
      <c r="M69">
        <v>0</v>
      </c>
      <c r="O69" s="326"/>
      <c r="P69">
        <v>0</v>
      </c>
    </row>
    <row r="70" spans="1:16">
      <c r="A70" t="s">
        <v>380</v>
      </c>
      <c r="B70" t="s">
        <v>381</v>
      </c>
      <c r="C70">
        <v>0</v>
      </c>
      <c r="D70">
        <v>0</v>
      </c>
      <c r="E70">
        <v>0</v>
      </c>
      <c r="F70">
        <v>0</v>
      </c>
      <c r="G70">
        <v>0</v>
      </c>
      <c r="H70">
        <v>0</v>
      </c>
      <c r="I70">
        <v>0</v>
      </c>
      <c r="J70">
        <v>0</v>
      </c>
      <c r="K70">
        <v>0</v>
      </c>
      <c r="L70">
        <v>0</v>
      </c>
      <c r="M70">
        <v>0</v>
      </c>
      <c r="O70" s="327"/>
      <c r="P70">
        <v>0</v>
      </c>
    </row>
    <row r="71" spans="1:16">
      <c r="A71" t="s">
        <v>382</v>
      </c>
      <c r="B71" t="s">
        <v>383</v>
      </c>
      <c r="C71">
        <v>0</v>
      </c>
      <c r="D71">
        <v>0</v>
      </c>
      <c r="E71">
        <v>0</v>
      </c>
      <c r="F71">
        <v>0</v>
      </c>
      <c r="G71">
        <v>0</v>
      </c>
      <c r="H71">
        <v>0</v>
      </c>
      <c r="I71">
        <v>0</v>
      </c>
      <c r="J71">
        <v>0</v>
      </c>
      <c r="K71">
        <v>0</v>
      </c>
      <c r="L71">
        <v>0</v>
      </c>
      <c r="M71">
        <v>0</v>
      </c>
      <c r="O71" s="327"/>
      <c r="P71">
        <v>0</v>
      </c>
    </row>
    <row r="72" spans="1:16">
      <c r="A72" t="s">
        <v>384</v>
      </c>
      <c r="B72" t="s">
        <v>385</v>
      </c>
      <c r="C72">
        <v>0</v>
      </c>
      <c r="D72">
        <v>0</v>
      </c>
      <c r="E72">
        <v>0</v>
      </c>
      <c r="F72">
        <v>0</v>
      </c>
      <c r="G72">
        <v>0</v>
      </c>
      <c r="H72">
        <v>0</v>
      </c>
      <c r="I72">
        <v>0</v>
      </c>
      <c r="J72">
        <v>0</v>
      </c>
      <c r="K72">
        <v>0</v>
      </c>
      <c r="L72">
        <v>0</v>
      </c>
      <c r="M72">
        <v>0</v>
      </c>
      <c r="O72" s="327"/>
      <c r="P72">
        <v>0</v>
      </c>
    </row>
    <row r="73" spans="1:16">
      <c r="A73">
        <v>6051</v>
      </c>
      <c r="B73" t="s">
        <v>386</v>
      </c>
      <c r="C73">
        <v>0</v>
      </c>
      <c r="D73">
        <v>0</v>
      </c>
      <c r="E73">
        <v>0</v>
      </c>
      <c r="F73">
        <v>0</v>
      </c>
      <c r="G73">
        <v>0</v>
      </c>
      <c r="H73">
        <v>0</v>
      </c>
      <c r="I73">
        <v>0</v>
      </c>
      <c r="J73">
        <v>0</v>
      </c>
      <c r="K73">
        <v>0</v>
      </c>
      <c r="L73">
        <v>0</v>
      </c>
      <c r="M73">
        <v>0</v>
      </c>
      <c r="O73" s="327"/>
      <c r="P73">
        <v>0</v>
      </c>
    </row>
    <row r="74" s="326" customFormat="1" spans="1:28">
      <c r="A74" s="326">
        <v>6400</v>
      </c>
      <c r="B74" s="326" t="s">
        <v>4</v>
      </c>
      <c r="C74" s="326">
        <v>2422381.47</v>
      </c>
      <c r="D74" s="326">
        <v>0</v>
      </c>
      <c r="E74" s="326">
        <v>0</v>
      </c>
      <c r="F74" s="326">
        <v>0</v>
      </c>
      <c r="G74" s="326">
        <v>278723.8</v>
      </c>
      <c r="H74" s="326">
        <v>610098.34</v>
      </c>
      <c r="I74" s="326">
        <v>222390.98</v>
      </c>
      <c r="J74" s="326">
        <v>239930.64</v>
      </c>
      <c r="K74" s="326">
        <v>224744.79</v>
      </c>
      <c r="L74" s="326">
        <v>199157.32</v>
      </c>
      <c r="M74" s="326">
        <v>202693.16</v>
      </c>
      <c r="N74" s="326">
        <v>198199.8</v>
      </c>
      <c r="O74" s="326">
        <v>246442.64</v>
      </c>
      <c r="P74" s="326">
        <v>2870203.69610953</v>
      </c>
      <c r="Q74" s="326">
        <v>288255.35815662</v>
      </c>
      <c r="R74" s="326">
        <v>233368.030722992</v>
      </c>
      <c r="S74" s="326">
        <v>236218.030722992</v>
      </c>
      <c r="T74" s="326">
        <v>233368.030722992</v>
      </c>
      <c r="U74" s="326">
        <v>239718.030722992</v>
      </c>
      <c r="V74" s="326">
        <v>232768.030722992</v>
      </c>
      <c r="W74" s="326">
        <v>232068.030722992</v>
      </c>
      <c r="X74" s="326">
        <v>236218.030722992</v>
      </c>
      <c r="Y74" s="326">
        <v>237868.030722992</v>
      </c>
      <c r="Z74" s="326">
        <v>236218.030722992</v>
      </c>
      <c r="AA74" s="326">
        <v>232068.030722992</v>
      </c>
      <c r="AB74" s="326">
        <v>232068.030722992</v>
      </c>
    </row>
    <row r="75" spans="1:28">
      <c r="A75">
        <v>6401</v>
      </c>
      <c r="B75" t="s">
        <v>5</v>
      </c>
      <c r="C75">
        <v>2422381.47</v>
      </c>
      <c r="D75">
        <v>0</v>
      </c>
      <c r="E75">
        <v>0</v>
      </c>
      <c r="F75">
        <v>0</v>
      </c>
      <c r="G75">
        <v>278723.8</v>
      </c>
      <c r="H75">
        <v>610098.34</v>
      </c>
      <c r="I75">
        <v>222390.98</v>
      </c>
      <c r="J75">
        <v>239930.64</v>
      </c>
      <c r="K75">
        <v>224744.79</v>
      </c>
      <c r="L75">
        <v>199157.32</v>
      </c>
      <c r="M75">
        <v>202693.16</v>
      </c>
      <c r="N75">
        <v>198199.8</v>
      </c>
      <c r="O75" s="327">
        <v>246442.64</v>
      </c>
      <c r="P75">
        <v>2870203.69610953</v>
      </c>
      <c r="Q75">
        <v>288255.35815662</v>
      </c>
      <c r="R75">
        <v>233368.030722992</v>
      </c>
      <c r="S75">
        <v>236218.030722992</v>
      </c>
      <c r="T75">
        <v>233368.030722992</v>
      </c>
      <c r="U75">
        <v>239718.030722992</v>
      </c>
      <c r="V75">
        <v>232768.030722992</v>
      </c>
      <c r="W75">
        <v>232068.030722992</v>
      </c>
      <c r="X75">
        <v>236218.030722992</v>
      </c>
      <c r="Y75">
        <v>237868.030722992</v>
      </c>
      <c r="Z75">
        <v>236218.030722992</v>
      </c>
      <c r="AA75">
        <v>232068.030722992</v>
      </c>
      <c r="AB75">
        <v>232068.030722992</v>
      </c>
    </row>
    <row r="76" spans="1:28">
      <c r="A76">
        <v>6401.03</v>
      </c>
      <c r="B76" t="s">
        <v>6</v>
      </c>
      <c r="C76">
        <v>2422381.47</v>
      </c>
      <c r="D76">
        <v>0</v>
      </c>
      <c r="E76">
        <v>0</v>
      </c>
      <c r="F76">
        <v>0</v>
      </c>
      <c r="G76">
        <v>278723.8</v>
      </c>
      <c r="H76">
        <v>610098.34</v>
      </c>
      <c r="I76">
        <v>222390.98</v>
      </c>
      <c r="J76">
        <v>239930.64</v>
      </c>
      <c r="K76">
        <v>224744.79</v>
      </c>
      <c r="L76">
        <v>199157.32</v>
      </c>
      <c r="M76">
        <v>202693.16</v>
      </c>
      <c r="N76">
        <v>198199.8</v>
      </c>
      <c r="O76" s="327">
        <v>246442.64</v>
      </c>
      <c r="P76">
        <v>2870203.69610953</v>
      </c>
      <c r="Q76">
        <v>288255.35815662</v>
      </c>
      <c r="R76">
        <v>233368.030722992</v>
      </c>
      <c r="S76">
        <v>236218.030722992</v>
      </c>
      <c r="T76">
        <v>233368.030722992</v>
      </c>
      <c r="U76">
        <v>239718.030722992</v>
      </c>
      <c r="V76">
        <v>232768.030722992</v>
      </c>
      <c r="W76">
        <v>232068.030722992</v>
      </c>
      <c r="X76">
        <v>236218.030722992</v>
      </c>
      <c r="Y76">
        <v>237868.030722992</v>
      </c>
      <c r="Z76">
        <v>236218.030722992</v>
      </c>
      <c r="AA76">
        <v>232068.030722992</v>
      </c>
      <c r="AB76">
        <v>232068.030722992</v>
      </c>
    </row>
    <row r="77" spans="1:28">
      <c r="A77" t="s">
        <v>7</v>
      </c>
      <c r="B77" t="s">
        <v>8</v>
      </c>
      <c r="C77">
        <v>36337.83</v>
      </c>
      <c r="D77">
        <v>0</v>
      </c>
      <c r="E77">
        <v>0</v>
      </c>
      <c r="F77">
        <v>28822.35</v>
      </c>
      <c r="G77">
        <v>0</v>
      </c>
      <c r="H77">
        <v>0</v>
      </c>
      <c r="I77">
        <v>0</v>
      </c>
      <c r="J77">
        <v>0</v>
      </c>
      <c r="K77">
        <v>0</v>
      </c>
      <c r="L77">
        <v>3022.12</v>
      </c>
      <c r="M77">
        <v>4493.36</v>
      </c>
      <c r="O77" s="327"/>
      <c r="P77" s="326">
        <v>43164.6017699115</v>
      </c>
      <c r="Q77">
        <v>4927.43362831858</v>
      </c>
      <c r="R77">
        <v>3476.10619469027</v>
      </c>
      <c r="S77">
        <v>3476.10619469027</v>
      </c>
      <c r="T77">
        <v>3476.10619469027</v>
      </c>
      <c r="U77">
        <v>3476.10619469027</v>
      </c>
      <c r="V77">
        <v>3476.10619469027</v>
      </c>
      <c r="W77">
        <v>3476.10619469027</v>
      </c>
      <c r="X77">
        <v>3476.10619469027</v>
      </c>
      <c r="Y77">
        <v>3476.10619469027</v>
      </c>
      <c r="Z77">
        <v>3476.10619469027</v>
      </c>
      <c r="AA77">
        <v>3476.10619469027</v>
      </c>
      <c r="AB77">
        <v>3476.10619469027</v>
      </c>
    </row>
    <row r="78" spans="1:28">
      <c r="A78" t="s">
        <v>10</v>
      </c>
      <c r="B78" t="s">
        <v>11</v>
      </c>
      <c r="C78">
        <v>253231.59</v>
      </c>
      <c r="D78">
        <v>0</v>
      </c>
      <c r="E78">
        <v>0</v>
      </c>
      <c r="F78">
        <v>0</v>
      </c>
      <c r="G78">
        <v>53231.01</v>
      </c>
      <c r="H78">
        <v>40085.88</v>
      </c>
      <c r="I78">
        <v>21317.92</v>
      </c>
      <c r="J78">
        <v>21489.14</v>
      </c>
      <c r="K78">
        <v>18259.16</v>
      </c>
      <c r="L78">
        <v>24222.01</v>
      </c>
      <c r="M78">
        <v>24875.49</v>
      </c>
      <c r="N78">
        <v>24875.49</v>
      </c>
      <c r="O78" s="327">
        <v>24875.49</v>
      </c>
      <c r="P78">
        <v>226415.094339623</v>
      </c>
      <c r="Q78">
        <v>18867.9245283019</v>
      </c>
      <c r="R78">
        <v>18867.9245283019</v>
      </c>
      <c r="S78">
        <v>18867.9245283019</v>
      </c>
      <c r="T78">
        <v>18867.9245283019</v>
      </c>
      <c r="U78">
        <v>18867.9245283019</v>
      </c>
      <c r="V78">
        <v>18867.9245283019</v>
      </c>
      <c r="W78">
        <v>18867.9245283019</v>
      </c>
      <c r="X78">
        <v>18867.9245283019</v>
      </c>
      <c r="Y78">
        <v>18867.9245283019</v>
      </c>
      <c r="Z78">
        <v>18867.9245283019</v>
      </c>
      <c r="AA78">
        <v>18867.9245283019</v>
      </c>
      <c r="AB78">
        <v>18867.9245283019</v>
      </c>
    </row>
    <row r="79" spans="1:28">
      <c r="A79" t="s">
        <v>12</v>
      </c>
      <c r="B79" s="327" t="s">
        <v>13</v>
      </c>
      <c r="C79">
        <v>196698.12</v>
      </c>
      <c r="D79">
        <v>0</v>
      </c>
      <c r="E79">
        <v>0</v>
      </c>
      <c r="F79">
        <v>12195.58</v>
      </c>
      <c r="G79">
        <v>47253.14</v>
      </c>
      <c r="H79">
        <v>16641.14</v>
      </c>
      <c r="I79">
        <v>15340.05</v>
      </c>
      <c r="J79">
        <v>15616.27</v>
      </c>
      <c r="K79">
        <v>12938.06</v>
      </c>
      <c r="L79">
        <v>19005.91</v>
      </c>
      <c r="M79">
        <v>19235.99</v>
      </c>
      <c r="N79">
        <v>19235.99</v>
      </c>
      <c r="O79" s="327">
        <v>19235.99</v>
      </c>
      <c r="P79" s="326">
        <v>226415.094339623</v>
      </c>
      <c r="Q79">
        <v>18867.9245283019</v>
      </c>
      <c r="R79">
        <v>18867.9245283019</v>
      </c>
      <c r="S79">
        <v>18867.9245283019</v>
      </c>
      <c r="T79">
        <v>18867.9245283019</v>
      </c>
      <c r="U79">
        <v>18867.9245283019</v>
      </c>
      <c r="V79">
        <v>18867.9245283019</v>
      </c>
      <c r="W79">
        <v>18867.9245283019</v>
      </c>
      <c r="X79">
        <v>18867.9245283019</v>
      </c>
      <c r="Y79">
        <v>18867.9245283019</v>
      </c>
      <c r="Z79">
        <v>18867.9245283019</v>
      </c>
      <c r="AA79">
        <v>18867.9245283019</v>
      </c>
      <c r="AB79">
        <v>18867.9245283019</v>
      </c>
    </row>
    <row r="80" spans="1:28">
      <c r="A80" t="s">
        <v>16</v>
      </c>
      <c r="B80" s="327" t="s">
        <v>17</v>
      </c>
      <c r="C80">
        <v>0</v>
      </c>
      <c r="D80">
        <v>0</v>
      </c>
      <c r="E80">
        <v>0</v>
      </c>
      <c r="F80">
        <v>0</v>
      </c>
      <c r="G80">
        <v>0</v>
      </c>
      <c r="H80">
        <v>0</v>
      </c>
      <c r="I80">
        <v>0</v>
      </c>
      <c r="J80">
        <v>0</v>
      </c>
      <c r="K80">
        <v>0</v>
      </c>
      <c r="L80">
        <v>0</v>
      </c>
      <c r="M80">
        <v>0</v>
      </c>
      <c r="N80">
        <v>0</v>
      </c>
      <c r="O80" s="327">
        <v>0</v>
      </c>
      <c r="P80" s="326">
        <v>0</v>
      </c>
      <c r="Q80">
        <v>0</v>
      </c>
      <c r="R80">
        <v>0</v>
      </c>
      <c r="S80">
        <v>0</v>
      </c>
      <c r="T80">
        <v>0</v>
      </c>
      <c r="U80">
        <v>0</v>
      </c>
      <c r="V80">
        <v>0</v>
      </c>
      <c r="W80">
        <v>0</v>
      </c>
      <c r="X80">
        <v>0</v>
      </c>
      <c r="Y80">
        <v>0</v>
      </c>
      <c r="Z80">
        <v>0</v>
      </c>
      <c r="AA80">
        <v>0</v>
      </c>
      <c r="AB80">
        <v>0</v>
      </c>
    </row>
    <row r="81" spans="1:28">
      <c r="A81" t="s">
        <v>20</v>
      </c>
      <c r="B81" s="327" t="s">
        <v>21</v>
      </c>
      <c r="C81">
        <v>68729.05</v>
      </c>
      <c r="D81">
        <v>0</v>
      </c>
      <c r="E81">
        <v>0</v>
      </c>
      <c r="F81">
        <v>0</v>
      </c>
      <c r="G81">
        <v>5977.87</v>
      </c>
      <c r="H81">
        <v>23444.74</v>
      </c>
      <c r="I81">
        <v>5977.87</v>
      </c>
      <c r="J81">
        <v>5872.87</v>
      </c>
      <c r="K81">
        <v>5321.1</v>
      </c>
      <c r="L81">
        <v>5216.1</v>
      </c>
      <c r="M81">
        <v>5639.5</v>
      </c>
      <c r="N81">
        <v>5639.5</v>
      </c>
      <c r="O81" s="326">
        <v>5639.5</v>
      </c>
      <c r="P81" s="326">
        <v>0</v>
      </c>
      <c r="Q81">
        <v>0</v>
      </c>
      <c r="R81">
        <v>0</v>
      </c>
      <c r="S81">
        <v>0</v>
      </c>
      <c r="T81">
        <v>0</v>
      </c>
      <c r="U81">
        <v>0</v>
      </c>
      <c r="V81">
        <v>0</v>
      </c>
      <c r="W81">
        <v>0</v>
      </c>
      <c r="X81">
        <v>0</v>
      </c>
      <c r="Y81">
        <v>0</v>
      </c>
      <c r="Z81">
        <v>0</v>
      </c>
      <c r="AA81">
        <v>0</v>
      </c>
      <c r="AB81">
        <v>0</v>
      </c>
    </row>
    <row r="82" spans="1:28">
      <c r="A82" t="s">
        <v>26</v>
      </c>
      <c r="B82" t="s">
        <v>27</v>
      </c>
      <c r="C82">
        <v>0</v>
      </c>
      <c r="D82">
        <v>0</v>
      </c>
      <c r="E82">
        <v>0</v>
      </c>
      <c r="F82">
        <v>0</v>
      </c>
      <c r="G82">
        <v>0</v>
      </c>
      <c r="H82">
        <v>0</v>
      </c>
      <c r="I82">
        <v>0</v>
      </c>
      <c r="J82">
        <v>0</v>
      </c>
      <c r="K82">
        <v>0</v>
      </c>
      <c r="L82">
        <v>0</v>
      </c>
      <c r="M82">
        <v>0</v>
      </c>
      <c r="O82" s="326"/>
      <c r="P82" s="326">
        <v>0</v>
      </c>
      <c r="Q82">
        <v>0</v>
      </c>
      <c r="R82">
        <v>0</v>
      </c>
      <c r="S82">
        <v>0</v>
      </c>
      <c r="T82">
        <v>0</v>
      </c>
      <c r="U82">
        <v>0</v>
      </c>
      <c r="V82">
        <v>0</v>
      </c>
      <c r="W82">
        <v>0</v>
      </c>
      <c r="X82">
        <v>0</v>
      </c>
      <c r="Y82">
        <v>0</v>
      </c>
      <c r="Z82">
        <v>0</v>
      </c>
      <c r="AA82">
        <v>0</v>
      </c>
      <c r="AB82">
        <v>0</v>
      </c>
    </row>
    <row r="83" spans="1:28">
      <c r="A83" t="s">
        <v>30</v>
      </c>
      <c r="B83" t="s">
        <v>31</v>
      </c>
      <c r="C83">
        <v>0</v>
      </c>
      <c r="D83">
        <v>0</v>
      </c>
      <c r="E83">
        <v>0</v>
      </c>
      <c r="F83">
        <v>0</v>
      </c>
      <c r="G83">
        <v>0</v>
      </c>
      <c r="H83">
        <v>0</v>
      </c>
      <c r="I83">
        <v>0</v>
      </c>
      <c r="J83">
        <v>0</v>
      </c>
      <c r="K83">
        <v>0</v>
      </c>
      <c r="L83">
        <v>0</v>
      </c>
      <c r="M83">
        <v>0</v>
      </c>
      <c r="O83" s="326"/>
      <c r="P83" s="326">
        <v>0</v>
      </c>
      <c r="Q83">
        <v>0</v>
      </c>
      <c r="R83">
        <v>0</v>
      </c>
      <c r="S83">
        <v>0</v>
      </c>
      <c r="T83">
        <v>0</v>
      </c>
      <c r="U83">
        <v>0</v>
      </c>
      <c r="V83">
        <v>0</v>
      </c>
      <c r="W83">
        <v>0</v>
      </c>
      <c r="X83">
        <v>0</v>
      </c>
      <c r="Y83">
        <v>0</v>
      </c>
      <c r="Z83">
        <v>0</v>
      </c>
      <c r="AA83">
        <v>0</v>
      </c>
      <c r="AB83">
        <v>0</v>
      </c>
    </row>
    <row r="84" spans="1:28">
      <c r="A84" t="s">
        <v>34</v>
      </c>
      <c r="B84" t="s">
        <v>35</v>
      </c>
      <c r="C84">
        <v>0</v>
      </c>
      <c r="D84">
        <v>0</v>
      </c>
      <c r="E84">
        <v>0</v>
      </c>
      <c r="F84">
        <v>0</v>
      </c>
      <c r="G84">
        <v>0</v>
      </c>
      <c r="H84">
        <v>0</v>
      </c>
      <c r="I84">
        <v>0</v>
      </c>
      <c r="J84">
        <v>0</v>
      </c>
      <c r="K84">
        <v>0</v>
      </c>
      <c r="L84">
        <v>0</v>
      </c>
      <c r="M84">
        <v>0</v>
      </c>
      <c r="O84" s="326"/>
      <c r="P84" s="326">
        <v>0</v>
      </c>
      <c r="Q84">
        <v>0</v>
      </c>
      <c r="R84">
        <v>0</v>
      </c>
      <c r="S84">
        <v>0</v>
      </c>
      <c r="T84">
        <v>0</v>
      </c>
      <c r="U84">
        <v>0</v>
      </c>
      <c r="V84">
        <v>0</v>
      </c>
      <c r="W84">
        <v>0</v>
      </c>
      <c r="X84">
        <v>0</v>
      </c>
      <c r="Y84">
        <v>0</v>
      </c>
      <c r="Z84">
        <v>0</v>
      </c>
      <c r="AA84">
        <v>0</v>
      </c>
      <c r="AB84">
        <v>0</v>
      </c>
    </row>
    <row r="85" spans="1:28">
      <c r="A85" t="s">
        <v>44</v>
      </c>
      <c r="B85" t="s">
        <v>45</v>
      </c>
      <c r="C85">
        <v>0</v>
      </c>
      <c r="D85">
        <v>0</v>
      </c>
      <c r="E85">
        <v>0</v>
      </c>
      <c r="F85">
        <v>0</v>
      </c>
      <c r="G85">
        <v>0</v>
      </c>
      <c r="H85">
        <v>0</v>
      </c>
      <c r="I85">
        <v>0</v>
      </c>
      <c r="J85">
        <v>0</v>
      </c>
      <c r="K85">
        <v>0</v>
      </c>
      <c r="L85">
        <v>0</v>
      </c>
      <c r="M85">
        <v>0</v>
      </c>
      <c r="O85" s="326"/>
      <c r="P85" s="326">
        <v>0</v>
      </c>
      <c r="Q85">
        <v>0</v>
      </c>
      <c r="R85">
        <v>0</v>
      </c>
      <c r="S85">
        <v>0</v>
      </c>
      <c r="T85">
        <v>0</v>
      </c>
      <c r="U85">
        <v>0</v>
      </c>
      <c r="V85">
        <v>0</v>
      </c>
      <c r="W85">
        <v>0</v>
      </c>
      <c r="X85">
        <v>0</v>
      </c>
      <c r="Y85">
        <v>0</v>
      </c>
      <c r="Z85">
        <v>0</v>
      </c>
      <c r="AA85">
        <v>0</v>
      </c>
      <c r="AB85">
        <v>0</v>
      </c>
    </row>
    <row r="86" spans="1:28">
      <c r="A86" t="s">
        <v>48</v>
      </c>
      <c r="B86" t="s">
        <v>49</v>
      </c>
      <c r="C86">
        <v>0</v>
      </c>
      <c r="D86">
        <v>0</v>
      </c>
      <c r="E86">
        <v>0</v>
      </c>
      <c r="F86">
        <v>0</v>
      </c>
      <c r="G86">
        <v>0</v>
      </c>
      <c r="H86">
        <v>0</v>
      </c>
      <c r="I86">
        <v>0</v>
      </c>
      <c r="J86">
        <v>0</v>
      </c>
      <c r="K86">
        <v>0</v>
      </c>
      <c r="L86">
        <v>0</v>
      </c>
      <c r="M86">
        <v>0</v>
      </c>
      <c r="O86" s="326"/>
      <c r="P86" s="326">
        <v>0</v>
      </c>
      <c r="Q86">
        <v>0</v>
      </c>
      <c r="R86">
        <v>0</v>
      </c>
      <c r="S86">
        <v>0</v>
      </c>
      <c r="T86">
        <v>0</v>
      </c>
      <c r="U86">
        <v>0</v>
      </c>
      <c r="V86">
        <v>0</v>
      </c>
      <c r="W86">
        <v>0</v>
      </c>
      <c r="X86">
        <v>0</v>
      </c>
      <c r="Y86">
        <v>0</v>
      </c>
      <c r="Z86">
        <v>0</v>
      </c>
      <c r="AA86">
        <v>0</v>
      </c>
      <c r="AB86">
        <v>0</v>
      </c>
    </row>
    <row r="87" spans="1:28">
      <c r="A87" t="s">
        <v>54</v>
      </c>
      <c r="B87" t="s">
        <v>55</v>
      </c>
      <c r="C87">
        <v>0</v>
      </c>
      <c r="D87">
        <v>0</v>
      </c>
      <c r="E87">
        <v>0</v>
      </c>
      <c r="F87">
        <v>0</v>
      </c>
      <c r="G87">
        <v>0</v>
      </c>
      <c r="H87">
        <v>0</v>
      </c>
      <c r="I87">
        <v>0</v>
      </c>
      <c r="J87">
        <v>0</v>
      </c>
      <c r="K87">
        <v>0</v>
      </c>
      <c r="L87">
        <v>0</v>
      </c>
      <c r="M87">
        <v>0</v>
      </c>
      <c r="O87" s="326"/>
      <c r="P87" s="326">
        <v>0</v>
      </c>
      <c r="Q87">
        <v>0</v>
      </c>
      <c r="R87">
        <v>0</v>
      </c>
      <c r="S87">
        <v>0</v>
      </c>
      <c r="T87">
        <v>0</v>
      </c>
      <c r="U87">
        <v>0</v>
      </c>
      <c r="V87">
        <v>0</v>
      </c>
      <c r="W87">
        <v>0</v>
      </c>
      <c r="X87">
        <v>0</v>
      </c>
      <c r="Y87">
        <v>0</v>
      </c>
      <c r="Z87">
        <v>0</v>
      </c>
      <c r="AA87">
        <v>0</v>
      </c>
      <c r="AB87">
        <v>0</v>
      </c>
    </row>
    <row r="88" spans="1:28">
      <c r="A88" t="s">
        <v>62</v>
      </c>
      <c r="B88" t="s">
        <v>63</v>
      </c>
      <c r="C88">
        <v>0</v>
      </c>
      <c r="D88">
        <v>0</v>
      </c>
      <c r="E88">
        <v>0</v>
      </c>
      <c r="F88">
        <v>0</v>
      </c>
      <c r="G88">
        <v>0</v>
      </c>
      <c r="H88">
        <v>0</v>
      </c>
      <c r="I88">
        <v>0</v>
      </c>
      <c r="J88">
        <v>0</v>
      </c>
      <c r="K88">
        <v>0</v>
      </c>
      <c r="L88">
        <v>0</v>
      </c>
      <c r="M88">
        <v>0</v>
      </c>
      <c r="O88" s="326"/>
      <c r="P88" s="326">
        <v>0</v>
      </c>
      <c r="Q88">
        <v>0</v>
      </c>
      <c r="R88">
        <v>0</v>
      </c>
      <c r="S88">
        <v>0</v>
      </c>
      <c r="T88">
        <v>0</v>
      </c>
      <c r="U88">
        <v>0</v>
      </c>
      <c r="V88">
        <v>0</v>
      </c>
      <c r="W88">
        <v>0</v>
      </c>
      <c r="X88">
        <v>0</v>
      </c>
      <c r="Y88">
        <v>0</v>
      </c>
      <c r="Z88">
        <v>0</v>
      </c>
      <c r="AA88">
        <v>0</v>
      </c>
      <c r="AB88">
        <v>0</v>
      </c>
    </row>
    <row r="89" spans="1:28">
      <c r="A89" t="s">
        <v>65</v>
      </c>
      <c r="B89" t="s">
        <v>66</v>
      </c>
      <c r="C89">
        <v>0</v>
      </c>
      <c r="D89">
        <v>0</v>
      </c>
      <c r="E89">
        <v>0</v>
      </c>
      <c r="F89">
        <v>0</v>
      </c>
      <c r="G89">
        <v>0</v>
      </c>
      <c r="H89">
        <v>0</v>
      </c>
      <c r="I89">
        <v>0</v>
      </c>
      <c r="J89">
        <v>0</v>
      </c>
      <c r="K89">
        <v>0</v>
      </c>
      <c r="L89">
        <v>0</v>
      </c>
      <c r="M89">
        <v>0</v>
      </c>
      <c r="O89" s="326"/>
      <c r="P89" s="326">
        <v>0</v>
      </c>
      <c r="Q89">
        <v>0</v>
      </c>
      <c r="R89">
        <v>0</v>
      </c>
      <c r="S89">
        <v>0</v>
      </c>
      <c r="T89">
        <v>0</v>
      </c>
      <c r="U89">
        <v>0</v>
      </c>
      <c r="V89">
        <v>0</v>
      </c>
      <c r="W89">
        <v>0</v>
      </c>
      <c r="X89">
        <v>0</v>
      </c>
      <c r="Y89">
        <v>0</v>
      </c>
      <c r="Z89">
        <v>0</v>
      </c>
      <c r="AA89">
        <v>0</v>
      </c>
      <c r="AB89">
        <v>0</v>
      </c>
    </row>
    <row r="90" customFormat="1" spans="1:16">
      <c r="A90" t="s">
        <v>387</v>
      </c>
      <c r="B90" t="s">
        <v>388</v>
      </c>
      <c r="C90">
        <v>0</v>
      </c>
      <c r="D90">
        <v>0</v>
      </c>
      <c r="E90">
        <v>0</v>
      </c>
      <c r="F90">
        <v>0</v>
      </c>
      <c r="G90">
        <v>0</v>
      </c>
      <c r="H90">
        <v>0</v>
      </c>
      <c r="I90">
        <v>0</v>
      </c>
      <c r="J90">
        <v>0</v>
      </c>
      <c r="K90">
        <v>0</v>
      </c>
      <c r="L90">
        <v>0</v>
      </c>
      <c r="M90">
        <v>0</v>
      </c>
      <c r="N90"/>
      <c r="O90" s="53"/>
      <c r="P90">
        <v>0</v>
      </c>
    </row>
    <row r="91" customFormat="1" spans="1:16">
      <c r="A91" t="s">
        <v>389</v>
      </c>
      <c r="B91" t="s">
        <v>390</v>
      </c>
      <c r="C91">
        <v>0</v>
      </c>
      <c r="D91">
        <v>0</v>
      </c>
      <c r="E91">
        <v>0</v>
      </c>
      <c r="F91">
        <v>0</v>
      </c>
      <c r="G91">
        <v>0</v>
      </c>
      <c r="H91">
        <v>0</v>
      </c>
      <c r="I91">
        <v>0</v>
      </c>
      <c r="J91">
        <v>0</v>
      </c>
      <c r="K91">
        <v>0</v>
      </c>
      <c r="L91">
        <v>0</v>
      </c>
      <c r="M91">
        <v>0</v>
      </c>
      <c r="O91" s="326"/>
      <c r="P91">
        <v>0</v>
      </c>
    </row>
    <row r="92" customFormat="1" spans="1:16">
      <c r="A92" t="s">
        <v>391</v>
      </c>
      <c r="B92" t="s">
        <v>392</v>
      </c>
      <c r="C92">
        <v>0</v>
      </c>
      <c r="D92">
        <v>0</v>
      </c>
      <c r="E92">
        <v>0</v>
      </c>
      <c r="F92">
        <v>0</v>
      </c>
      <c r="G92">
        <v>0</v>
      </c>
      <c r="H92">
        <v>0</v>
      </c>
      <c r="I92">
        <v>0</v>
      </c>
      <c r="J92">
        <v>0</v>
      </c>
      <c r="K92">
        <v>0</v>
      </c>
      <c r="L92">
        <v>0</v>
      </c>
      <c r="M92">
        <v>0</v>
      </c>
      <c r="O92" s="326"/>
      <c r="P92">
        <v>0</v>
      </c>
    </row>
    <row r="93" spans="1:28">
      <c r="A93" t="s">
        <v>393</v>
      </c>
      <c r="B93" t="s">
        <v>394</v>
      </c>
      <c r="C93">
        <v>0</v>
      </c>
      <c r="D93">
        <v>0</v>
      </c>
      <c r="E93">
        <v>0</v>
      </c>
      <c r="F93">
        <v>0</v>
      </c>
      <c r="G93">
        <v>0</v>
      </c>
      <c r="H93">
        <v>0</v>
      </c>
      <c r="I93">
        <v>0</v>
      </c>
      <c r="J93">
        <v>0</v>
      </c>
      <c r="K93">
        <v>0</v>
      </c>
      <c r="L93">
        <v>0</v>
      </c>
      <c r="M93">
        <v>0</v>
      </c>
      <c r="O93" s="327"/>
      <c r="P93" s="326">
        <v>0</v>
      </c>
      <c r="Q93">
        <v>0</v>
      </c>
      <c r="R93">
        <v>0</v>
      </c>
      <c r="S93">
        <v>0</v>
      </c>
      <c r="T93">
        <v>0</v>
      </c>
      <c r="U93">
        <v>0</v>
      </c>
      <c r="V93">
        <v>0</v>
      </c>
      <c r="W93">
        <v>0</v>
      </c>
      <c r="X93">
        <v>0</v>
      </c>
      <c r="Y93">
        <v>0</v>
      </c>
      <c r="Z93">
        <v>0</v>
      </c>
      <c r="AA93">
        <v>0</v>
      </c>
      <c r="AB93">
        <v>0</v>
      </c>
    </row>
    <row r="94" spans="1:28">
      <c r="A94" t="s">
        <v>395</v>
      </c>
      <c r="B94" t="s">
        <v>396</v>
      </c>
      <c r="C94">
        <v>0</v>
      </c>
      <c r="D94">
        <v>0</v>
      </c>
      <c r="E94">
        <v>0</v>
      </c>
      <c r="F94">
        <v>0</v>
      </c>
      <c r="G94">
        <v>0</v>
      </c>
      <c r="H94">
        <v>0</v>
      </c>
      <c r="I94">
        <v>0</v>
      </c>
      <c r="J94">
        <v>0</v>
      </c>
      <c r="K94">
        <v>0</v>
      </c>
      <c r="L94">
        <v>0</v>
      </c>
      <c r="M94">
        <v>0</v>
      </c>
      <c r="O94" s="326"/>
      <c r="P94" s="326">
        <v>0</v>
      </c>
      <c r="Q94">
        <v>0</v>
      </c>
      <c r="R94">
        <v>0</v>
      </c>
      <c r="S94">
        <v>0</v>
      </c>
      <c r="T94">
        <v>0</v>
      </c>
      <c r="U94">
        <v>0</v>
      </c>
      <c r="V94">
        <v>0</v>
      </c>
      <c r="W94">
        <v>0</v>
      </c>
      <c r="X94">
        <v>0</v>
      </c>
      <c r="Y94">
        <v>0</v>
      </c>
      <c r="Z94">
        <v>0</v>
      </c>
      <c r="AA94">
        <v>0</v>
      </c>
      <c r="AB94">
        <v>0</v>
      </c>
    </row>
    <row r="95" spans="1:16">
      <c r="A95" t="s">
        <v>397</v>
      </c>
      <c r="B95" t="s">
        <v>398</v>
      </c>
      <c r="C95">
        <v>0</v>
      </c>
      <c r="D95">
        <v>0</v>
      </c>
      <c r="E95">
        <v>0</v>
      </c>
      <c r="F95">
        <v>0</v>
      </c>
      <c r="G95">
        <v>0</v>
      </c>
      <c r="H95">
        <v>0</v>
      </c>
      <c r="I95">
        <v>0</v>
      </c>
      <c r="J95">
        <v>0</v>
      </c>
      <c r="K95">
        <v>0</v>
      </c>
      <c r="L95">
        <v>0</v>
      </c>
      <c r="M95">
        <v>0</v>
      </c>
      <c r="O95" s="327"/>
      <c r="P95" s="326">
        <v>0</v>
      </c>
    </row>
    <row r="96" spans="1:28">
      <c r="A96" t="s">
        <v>399</v>
      </c>
      <c r="B96" t="s">
        <v>400</v>
      </c>
      <c r="C96">
        <v>0</v>
      </c>
      <c r="D96">
        <v>0</v>
      </c>
      <c r="E96">
        <v>0</v>
      </c>
      <c r="F96">
        <v>0</v>
      </c>
      <c r="G96">
        <v>0</v>
      </c>
      <c r="H96">
        <v>0</v>
      </c>
      <c r="I96">
        <v>0</v>
      </c>
      <c r="J96">
        <v>0</v>
      </c>
      <c r="K96">
        <v>0</v>
      </c>
      <c r="L96">
        <v>0</v>
      </c>
      <c r="M96">
        <v>0</v>
      </c>
      <c r="O96" s="327"/>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O97" s="327"/>
      <c r="P97">
        <v>0</v>
      </c>
    </row>
    <row r="98" spans="1:16">
      <c r="A98" t="s">
        <v>76</v>
      </c>
      <c r="B98" t="s">
        <v>77</v>
      </c>
      <c r="C98">
        <v>0</v>
      </c>
      <c r="D98">
        <v>0</v>
      </c>
      <c r="E98">
        <v>0</v>
      </c>
      <c r="F98">
        <v>0</v>
      </c>
      <c r="G98">
        <v>0</v>
      </c>
      <c r="H98">
        <v>0</v>
      </c>
      <c r="I98">
        <v>0</v>
      </c>
      <c r="J98">
        <v>0</v>
      </c>
      <c r="K98">
        <v>0</v>
      </c>
      <c r="L98">
        <v>0</v>
      </c>
      <c r="M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D100">
        <v>0</v>
      </c>
      <c r="E100">
        <v>0</v>
      </c>
      <c r="F100">
        <v>0</v>
      </c>
      <c r="G100">
        <v>0</v>
      </c>
      <c r="H100">
        <v>0</v>
      </c>
      <c r="I100">
        <v>0</v>
      </c>
      <c r="J100">
        <v>0</v>
      </c>
      <c r="K100">
        <v>0</v>
      </c>
      <c r="L100">
        <v>0</v>
      </c>
      <c r="M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D101">
        <v>0</v>
      </c>
      <c r="E101">
        <v>0</v>
      </c>
      <c r="F101">
        <v>0</v>
      </c>
      <c r="G101">
        <v>0</v>
      </c>
      <c r="H101">
        <v>0</v>
      </c>
      <c r="I101">
        <v>0</v>
      </c>
      <c r="J101">
        <v>0</v>
      </c>
      <c r="K101">
        <v>0</v>
      </c>
      <c r="L101">
        <v>0</v>
      </c>
      <c r="M101">
        <v>0</v>
      </c>
      <c r="P101" s="326">
        <v>0</v>
      </c>
      <c r="Q101">
        <v>0</v>
      </c>
      <c r="R101">
        <v>0</v>
      </c>
      <c r="S101">
        <v>0</v>
      </c>
      <c r="T101">
        <v>0</v>
      </c>
      <c r="U101">
        <v>0</v>
      </c>
      <c r="V101">
        <v>0</v>
      </c>
      <c r="W101">
        <v>0</v>
      </c>
      <c r="X101">
        <v>0</v>
      </c>
      <c r="Y101">
        <v>0</v>
      </c>
      <c r="Z101">
        <v>0</v>
      </c>
      <c r="AA101">
        <v>0</v>
      </c>
      <c r="AB101">
        <v>0</v>
      </c>
    </row>
    <row r="102" spans="1:28">
      <c r="A102" t="s">
        <v>90</v>
      </c>
      <c r="B102" t="s">
        <v>91</v>
      </c>
      <c r="C102">
        <v>0</v>
      </c>
      <c r="D102">
        <v>0</v>
      </c>
      <c r="E102">
        <v>0</v>
      </c>
      <c r="F102">
        <v>0</v>
      </c>
      <c r="G102">
        <v>0</v>
      </c>
      <c r="H102">
        <v>0</v>
      </c>
      <c r="I102">
        <v>0</v>
      </c>
      <c r="J102">
        <v>0</v>
      </c>
      <c r="K102">
        <v>0</v>
      </c>
      <c r="L102">
        <v>0</v>
      </c>
      <c r="M102">
        <v>0</v>
      </c>
      <c r="O102" s="326"/>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P103">
        <v>0</v>
      </c>
      <c r="Q103">
        <v>0</v>
      </c>
      <c r="R103">
        <v>0</v>
      </c>
      <c r="S103">
        <v>0</v>
      </c>
      <c r="T103">
        <v>0</v>
      </c>
      <c r="U103">
        <v>0</v>
      </c>
      <c r="V103">
        <v>0</v>
      </c>
      <c r="W103">
        <v>0</v>
      </c>
      <c r="X103">
        <v>0</v>
      </c>
      <c r="Y103">
        <v>0</v>
      </c>
      <c r="Z103">
        <v>0</v>
      </c>
      <c r="AA103">
        <v>0</v>
      </c>
      <c r="AB103">
        <v>0</v>
      </c>
    </row>
    <row r="104" spans="1:28">
      <c r="A104" t="s">
        <v>403</v>
      </c>
      <c r="B104" t="s">
        <v>404</v>
      </c>
      <c r="C104">
        <v>0</v>
      </c>
      <c r="D104">
        <v>0</v>
      </c>
      <c r="E104">
        <v>0</v>
      </c>
      <c r="F104">
        <v>0</v>
      </c>
      <c r="G104">
        <v>0</v>
      </c>
      <c r="H104">
        <v>0</v>
      </c>
      <c r="I104">
        <v>0</v>
      </c>
      <c r="J104">
        <v>0</v>
      </c>
      <c r="K104">
        <v>0</v>
      </c>
      <c r="L104">
        <v>0</v>
      </c>
      <c r="M104">
        <v>0</v>
      </c>
      <c r="P104" s="215">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O105" s="326"/>
      <c r="P105">
        <v>0</v>
      </c>
      <c r="Q105">
        <v>0</v>
      </c>
      <c r="R105">
        <v>0</v>
      </c>
      <c r="S105">
        <v>0</v>
      </c>
      <c r="T105">
        <v>0</v>
      </c>
      <c r="U105">
        <v>0</v>
      </c>
      <c r="V105">
        <v>0</v>
      </c>
      <c r="W105">
        <v>0</v>
      </c>
      <c r="X105">
        <v>0</v>
      </c>
      <c r="Y105">
        <v>0</v>
      </c>
      <c r="Z105">
        <v>0</v>
      </c>
      <c r="AA105">
        <v>0</v>
      </c>
      <c r="AB105">
        <v>0</v>
      </c>
    </row>
    <row r="106" spans="1:28">
      <c r="A106" t="s">
        <v>104</v>
      </c>
      <c r="B106" t="s">
        <v>105</v>
      </c>
      <c r="C106">
        <v>2080297.04</v>
      </c>
      <c r="D106">
        <v>0</v>
      </c>
      <c r="E106">
        <v>0</v>
      </c>
      <c r="F106">
        <v>0</v>
      </c>
      <c r="G106">
        <v>225492.79</v>
      </c>
      <c r="H106">
        <v>554075.86</v>
      </c>
      <c r="I106">
        <v>197885.74</v>
      </c>
      <c r="J106">
        <v>215254.18</v>
      </c>
      <c r="K106">
        <v>170834.59</v>
      </c>
      <c r="L106">
        <v>158100.07</v>
      </c>
      <c r="M106">
        <v>170136.99</v>
      </c>
      <c r="N106">
        <v>170136.99</v>
      </c>
      <c r="O106">
        <v>218379.83</v>
      </c>
      <c r="P106" s="326">
        <v>2458944</v>
      </c>
      <c r="Q106">
        <v>213035</v>
      </c>
      <c r="R106">
        <v>202819</v>
      </c>
      <c r="S106">
        <v>205669</v>
      </c>
      <c r="T106">
        <v>202819</v>
      </c>
      <c r="U106">
        <v>209169</v>
      </c>
      <c r="V106">
        <v>202219</v>
      </c>
      <c r="W106">
        <v>201519</v>
      </c>
      <c r="X106">
        <v>205669</v>
      </c>
      <c r="Y106">
        <v>207319</v>
      </c>
      <c r="Z106">
        <v>205669</v>
      </c>
      <c r="AA106">
        <v>201519</v>
      </c>
      <c r="AB106">
        <v>201519</v>
      </c>
    </row>
    <row r="107" spans="1:28">
      <c r="A107" t="s">
        <v>106</v>
      </c>
      <c r="B107" t="s">
        <v>107</v>
      </c>
      <c r="C107">
        <v>1634750.04</v>
      </c>
      <c r="D107">
        <v>0</v>
      </c>
      <c r="E107">
        <v>0</v>
      </c>
      <c r="F107">
        <v>5629.51</v>
      </c>
      <c r="G107">
        <v>190743.47</v>
      </c>
      <c r="H107">
        <v>439083.41</v>
      </c>
      <c r="I107">
        <v>126902.62</v>
      </c>
      <c r="J107">
        <v>165654.57</v>
      </c>
      <c r="K107">
        <v>134705.76</v>
      </c>
      <c r="L107">
        <v>134149.95</v>
      </c>
      <c r="M107">
        <v>145960.25</v>
      </c>
      <c r="N107">
        <v>145960.25</v>
      </c>
      <c r="O107" s="326">
        <v>145960.25</v>
      </c>
      <c r="P107" s="326">
        <v>1927200</v>
      </c>
      <c r="Q107">
        <v>160600</v>
      </c>
      <c r="R107">
        <v>160600</v>
      </c>
      <c r="S107">
        <v>160600</v>
      </c>
      <c r="T107">
        <v>160600</v>
      </c>
      <c r="U107">
        <v>160600</v>
      </c>
      <c r="V107">
        <v>160600</v>
      </c>
      <c r="W107">
        <v>160600</v>
      </c>
      <c r="X107">
        <v>160600</v>
      </c>
      <c r="Y107">
        <v>160600</v>
      </c>
      <c r="Z107">
        <v>160600</v>
      </c>
      <c r="AA107">
        <v>160600</v>
      </c>
      <c r="AB107">
        <v>160600</v>
      </c>
    </row>
    <row r="108" spans="1:28">
      <c r="A108" t="s">
        <v>110</v>
      </c>
      <c r="B108" t="s">
        <v>111</v>
      </c>
      <c r="C108">
        <v>178030.59</v>
      </c>
      <c r="D108">
        <v>0</v>
      </c>
      <c r="E108">
        <v>0</v>
      </c>
      <c r="F108">
        <v>33302.07</v>
      </c>
      <c r="G108">
        <v>12060.71</v>
      </c>
      <c r="H108">
        <v>48242.84</v>
      </c>
      <c r="I108">
        <v>12060.71</v>
      </c>
      <c r="J108">
        <v>12060.71</v>
      </c>
      <c r="K108">
        <v>12060.71</v>
      </c>
      <c r="L108">
        <v>0</v>
      </c>
      <c r="M108">
        <v>0</v>
      </c>
      <c r="O108">
        <v>48242.84</v>
      </c>
      <c r="P108" s="326">
        <v>147600</v>
      </c>
      <c r="Q108">
        <v>12300</v>
      </c>
      <c r="R108">
        <v>12300</v>
      </c>
      <c r="S108">
        <v>12300</v>
      </c>
      <c r="T108">
        <v>12300</v>
      </c>
      <c r="U108">
        <v>12300</v>
      </c>
      <c r="V108">
        <v>12300</v>
      </c>
      <c r="W108">
        <v>12300</v>
      </c>
      <c r="X108">
        <v>12300</v>
      </c>
      <c r="Y108">
        <v>12300</v>
      </c>
      <c r="Z108">
        <v>12300</v>
      </c>
      <c r="AA108">
        <v>12300</v>
      </c>
      <c r="AB108">
        <v>12300</v>
      </c>
    </row>
    <row r="109" spans="1:28">
      <c r="A109" t="s">
        <v>113</v>
      </c>
      <c r="B109" t="s">
        <v>114</v>
      </c>
      <c r="C109">
        <v>70500</v>
      </c>
      <c r="D109">
        <v>0</v>
      </c>
      <c r="E109">
        <v>0</v>
      </c>
      <c r="F109">
        <v>0</v>
      </c>
      <c r="G109">
        <v>5100</v>
      </c>
      <c r="H109">
        <v>23300</v>
      </c>
      <c r="I109">
        <v>5800</v>
      </c>
      <c r="J109">
        <v>7300</v>
      </c>
      <c r="K109">
        <v>5800</v>
      </c>
      <c r="L109">
        <v>5800</v>
      </c>
      <c r="M109">
        <v>5800</v>
      </c>
      <c r="N109">
        <v>5800</v>
      </c>
      <c r="O109">
        <v>5800</v>
      </c>
      <c r="P109" s="326">
        <v>121116</v>
      </c>
      <c r="Q109">
        <v>18216</v>
      </c>
      <c r="R109">
        <v>8000</v>
      </c>
      <c r="S109">
        <v>10850</v>
      </c>
      <c r="T109">
        <v>8000</v>
      </c>
      <c r="U109">
        <v>14350</v>
      </c>
      <c r="V109">
        <v>7400</v>
      </c>
      <c r="W109">
        <v>6700</v>
      </c>
      <c r="X109">
        <v>10850</v>
      </c>
      <c r="Y109">
        <v>12500</v>
      </c>
      <c r="Z109">
        <v>10850</v>
      </c>
      <c r="AA109">
        <v>6700</v>
      </c>
      <c r="AB109">
        <v>6700</v>
      </c>
    </row>
    <row r="110" spans="1:28">
      <c r="A110" t="s">
        <v>116</v>
      </c>
      <c r="B110" t="s">
        <v>117</v>
      </c>
      <c r="C110">
        <v>163504.57</v>
      </c>
      <c r="D110">
        <v>0</v>
      </c>
      <c r="E110">
        <v>0</v>
      </c>
      <c r="F110">
        <v>9492.48</v>
      </c>
      <c r="G110">
        <v>14820.21</v>
      </c>
      <c r="H110">
        <v>35749.41</v>
      </c>
      <c r="I110">
        <v>12586.01</v>
      </c>
      <c r="J110">
        <v>14396.75</v>
      </c>
      <c r="K110">
        <v>15155.97</v>
      </c>
      <c r="L110">
        <v>15155.97</v>
      </c>
      <c r="M110">
        <v>15382.59</v>
      </c>
      <c r="N110">
        <v>15382.59</v>
      </c>
      <c r="O110">
        <v>15382.59</v>
      </c>
      <c r="P110" s="326">
        <v>221508</v>
      </c>
      <c r="Q110">
        <v>18459</v>
      </c>
      <c r="R110">
        <v>18459</v>
      </c>
      <c r="S110">
        <v>18459</v>
      </c>
      <c r="T110">
        <v>18459</v>
      </c>
      <c r="U110">
        <v>18459</v>
      </c>
      <c r="V110">
        <v>18459</v>
      </c>
      <c r="W110">
        <v>18459</v>
      </c>
      <c r="X110">
        <v>18459</v>
      </c>
      <c r="Y110">
        <v>18459</v>
      </c>
      <c r="Z110">
        <v>18459</v>
      </c>
      <c r="AA110">
        <v>18459</v>
      </c>
      <c r="AB110">
        <v>18459</v>
      </c>
    </row>
    <row r="111" spans="1:28">
      <c r="A111" t="s">
        <v>119</v>
      </c>
      <c r="B111" t="s">
        <v>120</v>
      </c>
      <c r="C111">
        <v>76199.3</v>
      </c>
      <c r="D111">
        <v>0</v>
      </c>
      <c r="E111">
        <v>0</v>
      </c>
      <c r="F111">
        <v>2163.4</v>
      </c>
      <c r="G111">
        <v>2768.4</v>
      </c>
      <c r="H111">
        <v>7700.2</v>
      </c>
      <c r="I111">
        <v>32636.4</v>
      </c>
      <c r="J111">
        <v>15842.15</v>
      </c>
      <c r="K111">
        <v>3112.15</v>
      </c>
      <c r="L111">
        <v>2994.15</v>
      </c>
      <c r="M111">
        <v>2994.15</v>
      </c>
      <c r="N111">
        <v>2994.15</v>
      </c>
      <c r="O111">
        <v>2994.15</v>
      </c>
      <c r="P111" s="326">
        <v>41520</v>
      </c>
      <c r="Q111">
        <v>3460</v>
      </c>
      <c r="R111">
        <v>3460</v>
      </c>
      <c r="S111">
        <v>3460</v>
      </c>
      <c r="T111">
        <v>3460</v>
      </c>
      <c r="U111">
        <v>3460</v>
      </c>
      <c r="V111">
        <v>3460</v>
      </c>
      <c r="W111">
        <v>3460</v>
      </c>
      <c r="X111">
        <v>3460</v>
      </c>
      <c r="Y111">
        <v>3460</v>
      </c>
      <c r="Z111">
        <v>3460</v>
      </c>
      <c r="AA111">
        <v>3460</v>
      </c>
      <c r="AB111">
        <v>3460</v>
      </c>
    </row>
    <row r="112" spans="1:28">
      <c r="A112" t="s">
        <v>122</v>
      </c>
      <c r="B112" t="s">
        <v>123</v>
      </c>
      <c r="C112">
        <v>0</v>
      </c>
      <c r="D112">
        <v>0</v>
      </c>
      <c r="E112">
        <v>0</v>
      </c>
      <c r="F112">
        <v>0</v>
      </c>
      <c r="G112">
        <v>0</v>
      </c>
      <c r="H112">
        <v>0</v>
      </c>
      <c r="I112">
        <v>0</v>
      </c>
      <c r="J112">
        <v>0</v>
      </c>
      <c r="K112">
        <v>0</v>
      </c>
      <c r="L112">
        <v>0</v>
      </c>
      <c r="M112">
        <v>0</v>
      </c>
      <c r="P112" s="326">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26">
        <v>0</v>
      </c>
      <c r="Q113">
        <v>0</v>
      </c>
      <c r="R113">
        <v>0</v>
      </c>
      <c r="S113">
        <v>0</v>
      </c>
      <c r="T113">
        <v>0</v>
      </c>
      <c r="U113">
        <v>0</v>
      </c>
      <c r="V113">
        <v>0</v>
      </c>
      <c r="W113">
        <v>0</v>
      </c>
      <c r="X113">
        <v>0</v>
      </c>
      <c r="Y113">
        <v>0</v>
      </c>
      <c r="Z113">
        <v>0</v>
      </c>
      <c r="AA113">
        <v>0</v>
      </c>
      <c r="AB113">
        <v>0</v>
      </c>
    </row>
    <row r="114" spans="1:28">
      <c r="A114" t="s">
        <v>128</v>
      </c>
      <c r="B114" t="s">
        <v>129</v>
      </c>
      <c r="C114">
        <v>7900</v>
      </c>
      <c r="D114">
        <v>0</v>
      </c>
      <c r="E114">
        <v>0</v>
      </c>
      <c r="F114">
        <v>0</v>
      </c>
      <c r="G114">
        <v>0</v>
      </c>
      <c r="H114">
        <v>0</v>
      </c>
      <c r="I114">
        <v>7900</v>
      </c>
      <c r="J114">
        <v>0</v>
      </c>
      <c r="K114">
        <v>0</v>
      </c>
      <c r="L114">
        <v>0</v>
      </c>
      <c r="M114">
        <v>0</v>
      </c>
      <c r="P114" s="326">
        <v>0</v>
      </c>
      <c r="Q114">
        <v>0</v>
      </c>
      <c r="R114">
        <v>0</v>
      </c>
      <c r="S114">
        <v>0</v>
      </c>
      <c r="T114">
        <v>0</v>
      </c>
      <c r="U114">
        <v>0</v>
      </c>
      <c r="V114">
        <v>0</v>
      </c>
      <c r="W114">
        <v>0</v>
      </c>
      <c r="X114">
        <v>0</v>
      </c>
      <c r="Y114">
        <v>0</v>
      </c>
      <c r="Z114">
        <v>0</v>
      </c>
      <c r="AA114">
        <v>0</v>
      </c>
      <c r="AB114">
        <v>0</v>
      </c>
    </row>
    <row r="115" spans="1:28">
      <c r="A115" t="s">
        <v>131</v>
      </c>
      <c r="B115" t="s">
        <v>132</v>
      </c>
      <c r="C115">
        <v>81337.36</v>
      </c>
      <c r="D115">
        <v>0</v>
      </c>
      <c r="E115">
        <v>0</v>
      </c>
      <c r="F115">
        <v>0</v>
      </c>
      <c r="G115">
        <v>0</v>
      </c>
      <c r="H115">
        <v>15936.6</v>
      </c>
      <c r="I115">
        <v>3187.32</v>
      </c>
      <c r="J115">
        <v>3187.32</v>
      </c>
      <c r="K115">
        <v>35651.04</v>
      </c>
      <c r="L115">
        <v>13813.12</v>
      </c>
      <c r="M115">
        <v>3187.32</v>
      </c>
      <c r="N115">
        <v>3187.32</v>
      </c>
      <c r="O115">
        <v>3187.32</v>
      </c>
      <c r="P115">
        <v>141680</v>
      </c>
      <c r="Q115">
        <v>51425</v>
      </c>
      <c r="R115">
        <v>8205</v>
      </c>
      <c r="S115">
        <v>8205</v>
      </c>
      <c r="T115">
        <v>8205</v>
      </c>
      <c r="U115">
        <v>8205</v>
      </c>
      <c r="V115">
        <v>8205</v>
      </c>
      <c r="W115">
        <v>8205</v>
      </c>
      <c r="X115">
        <v>8205</v>
      </c>
      <c r="Y115">
        <v>8205</v>
      </c>
      <c r="Z115">
        <v>8205</v>
      </c>
      <c r="AA115">
        <v>8205</v>
      </c>
      <c r="AB115">
        <v>8205</v>
      </c>
    </row>
    <row r="116" spans="1:28">
      <c r="A116" t="s">
        <v>133</v>
      </c>
      <c r="B116" t="s">
        <v>134</v>
      </c>
      <c r="C116">
        <v>50427.02</v>
      </c>
      <c r="D116">
        <v>0</v>
      </c>
      <c r="E116">
        <v>0</v>
      </c>
      <c r="F116">
        <v>7337.5</v>
      </c>
      <c r="G116">
        <v>0</v>
      </c>
      <c r="H116">
        <v>0</v>
      </c>
      <c r="I116">
        <v>0</v>
      </c>
      <c r="J116">
        <v>0</v>
      </c>
      <c r="K116">
        <v>32463.72</v>
      </c>
      <c r="L116">
        <v>10625.8</v>
      </c>
      <c r="M116">
        <v>0</v>
      </c>
      <c r="P116" s="326">
        <v>38232</v>
      </c>
      <c r="Q116">
        <v>3186</v>
      </c>
      <c r="R116">
        <v>3186</v>
      </c>
      <c r="S116">
        <v>3186</v>
      </c>
      <c r="T116">
        <v>3186</v>
      </c>
      <c r="U116">
        <v>3186</v>
      </c>
      <c r="V116">
        <v>3186</v>
      </c>
      <c r="W116">
        <v>3186</v>
      </c>
      <c r="X116">
        <v>3186</v>
      </c>
      <c r="Y116">
        <v>3186</v>
      </c>
      <c r="Z116">
        <v>3186</v>
      </c>
      <c r="AA116">
        <v>3186</v>
      </c>
      <c r="AB116">
        <v>3186</v>
      </c>
    </row>
    <row r="117" spans="1:28">
      <c r="A117" t="s">
        <v>139</v>
      </c>
      <c r="B117" t="s">
        <v>140</v>
      </c>
      <c r="C117">
        <v>38247.84</v>
      </c>
      <c r="D117">
        <v>0</v>
      </c>
      <c r="E117">
        <v>0</v>
      </c>
      <c r="F117">
        <v>0</v>
      </c>
      <c r="G117">
        <v>0</v>
      </c>
      <c r="H117">
        <v>15936.6</v>
      </c>
      <c r="I117">
        <v>3187.32</v>
      </c>
      <c r="J117">
        <v>3187.32</v>
      </c>
      <c r="K117">
        <v>3187.32</v>
      </c>
      <c r="L117">
        <v>3187.32</v>
      </c>
      <c r="M117">
        <v>3187.32</v>
      </c>
      <c r="N117">
        <v>3187.32</v>
      </c>
      <c r="O117">
        <v>3187.32</v>
      </c>
      <c r="P117" s="326">
        <v>43220</v>
      </c>
      <c r="Q117">
        <v>43220</v>
      </c>
      <c r="R117">
        <v>0</v>
      </c>
      <c r="S117">
        <v>0</v>
      </c>
      <c r="T117">
        <v>0</v>
      </c>
      <c r="U117">
        <v>0</v>
      </c>
      <c r="V117">
        <v>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0</v>
      </c>
      <c r="D119">
        <v>0</v>
      </c>
      <c r="E119">
        <v>0</v>
      </c>
      <c r="F119">
        <v>0</v>
      </c>
      <c r="G119">
        <v>0</v>
      </c>
      <c r="H119">
        <v>0</v>
      </c>
      <c r="I119">
        <v>0</v>
      </c>
      <c r="J119">
        <v>0</v>
      </c>
      <c r="K119">
        <v>0</v>
      </c>
      <c r="L119">
        <v>0</v>
      </c>
      <c r="M119">
        <v>0</v>
      </c>
      <c r="P119" s="326">
        <v>0</v>
      </c>
      <c r="Q119">
        <v>0</v>
      </c>
      <c r="R119">
        <v>0</v>
      </c>
      <c r="S119">
        <v>0</v>
      </c>
      <c r="T119">
        <v>0</v>
      </c>
      <c r="U119">
        <v>0</v>
      </c>
      <c r="V119">
        <v>0</v>
      </c>
      <c r="W119">
        <v>0</v>
      </c>
      <c r="X119">
        <v>0</v>
      </c>
      <c r="Y119">
        <v>0</v>
      </c>
      <c r="Z119">
        <v>0</v>
      </c>
      <c r="AA119">
        <v>0</v>
      </c>
      <c r="AB119">
        <v>0</v>
      </c>
    </row>
    <row r="120" spans="1:28">
      <c r="A120" t="s">
        <v>407</v>
      </c>
      <c r="B120" t="s">
        <v>408</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413</v>
      </c>
      <c r="B123" t="s">
        <v>414</v>
      </c>
      <c r="C123">
        <v>0</v>
      </c>
      <c r="D123">
        <v>0</v>
      </c>
      <c r="E123">
        <v>0</v>
      </c>
      <c r="F123">
        <v>0</v>
      </c>
      <c r="G123">
        <v>0</v>
      </c>
      <c r="H123">
        <v>0</v>
      </c>
      <c r="I123">
        <v>0</v>
      </c>
      <c r="J123">
        <v>0</v>
      </c>
      <c r="K123">
        <v>0</v>
      </c>
      <c r="L123">
        <v>0</v>
      </c>
      <c r="M123">
        <v>0</v>
      </c>
      <c r="P123" s="326">
        <v>60228</v>
      </c>
      <c r="Q123">
        <v>5019</v>
      </c>
      <c r="R123">
        <v>5019</v>
      </c>
      <c r="S123">
        <v>5019</v>
      </c>
      <c r="T123">
        <v>5019</v>
      </c>
      <c r="U123">
        <v>5019</v>
      </c>
      <c r="V123">
        <v>5019</v>
      </c>
      <c r="W123">
        <v>5019</v>
      </c>
      <c r="X123">
        <v>5019</v>
      </c>
      <c r="Y123">
        <v>5019</v>
      </c>
      <c r="Z123">
        <v>5019</v>
      </c>
      <c r="AA123">
        <v>5019</v>
      </c>
      <c r="AB123">
        <v>5019</v>
      </c>
    </row>
    <row r="124" spans="1:28">
      <c r="A124" t="s">
        <v>149</v>
      </c>
      <c r="B124" t="s">
        <v>150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151</v>
      </c>
      <c r="B125" t="s">
        <v>152</v>
      </c>
      <c r="C125">
        <v>0</v>
      </c>
      <c r="D125">
        <v>0</v>
      </c>
      <c r="E125">
        <v>0</v>
      </c>
      <c r="F125">
        <v>0</v>
      </c>
      <c r="G125">
        <v>0</v>
      </c>
      <c r="H125">
        <v>0</v>
      </c>
      <c r="I125">
        <v>0</v>
      </c>
      <c r="J125">
        <v>0</v>
      </c>
      <c r="K125">
        <v>0</v>
      </c>
      <c r="L125">
        <v>0</v>
      </c>
      <c r="M125">
        <v>0</v>
      </c>
      <c r="P125" s="326">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4739</v>
      </c>
      <c r="D127">
        <v>0</v>
      </c>
      <c r="E127">
        <v>0</v>
      </c>
      <c r="F127">
        <v>4739</v>
      </c>
      <c r="G127">
        <v>0</v>
      </c>
      <c r="H127">
        <v>0</v>
      </c>
      <c r="I127">
        <v>0</v>
      </c>
      <c r="J127">
        <v>0</v>
      </c>
      <c r="K127">
        <v>0</v>
      </c>
      <c r="L127">
        <v>0</v>
      </c>
      <c r="M127">
        <v>0</v>
      </c>
      <c r="P127" s="326">
        <v>0</v>
      </c>
      <c r="Q127">
        <v>0</v>
      </c>
      <c r="R127">
        <v>0</v>
      </c>
      <c r="S127">
        <v>0</v>
      </c>
      <c r="T127">
        <v>0</v>
      </c>
      <c r="U127">
        <v>0</v>
      </c>
      <c r="V127">
        <v>0</v>
      </c>
      <c r="W127">
        <v>0</v>
      </c>
      <c r="X127">
        <v>0</v>
      </c>
      <c r="Y127">
        <v>0</v>
      </c>
      <c r="Z127">
        <v>0</v>
      </c>
      <c r="AA127">
        <v>0</v>
      </c>
      <c r="AB127">
        <v>0</v>
      </c>
    </row>
    <row r="128" spans="1:28">
      <c r="A128" t="s">
        <v>159</v>
      </c>
      <c r="B128" t="s">
        <v>160</v>
      </c>
      <c r="C128">
        <v>5500</v>
      </c>
      <c r="D128">
        <v>0</v>
      </c>
      <c r="E128">
        <v>0</v>
      </c>
      <c r="F128">
        <v>5500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P130" s="215">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0</v>
      </c>
      <c r="D132">
        <v>0</v>
      </c>
      <c r="E132">
        <v>0</v>
      </c>
      <c r="F132">
        <v>0</v>
      </c>
      <c r="G132">
        <v>0</v>
      </c>
      <c r="H132">
        <v>0</v>
      </c>
      <c r="I132">
        <v>0</v>
      </c>
      <c r="J132">
        <v>0</v>
      </c>
      <c r="K132">
        <v>0</v>
      </c>
      <c r="L132">
        <v>0</v>
      </c>
      <c r="M132">
        <v>0</v>
      </c>
      <c r="P132" s="326">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1220.1</v>
      </c>
      <c r="D134">
        <v>0</v>
      </c>
      <c r="E134">
        <v>0</v>
      </c>
      <c r="F134">
        <v>1220.1</v>
      </c>
      <c r="G134">
        <v>0</v>
      </c>
      <c r="H134">
        <v>0</v>
      </c>
      <c r="I134">
        <v>0</v>
      </c>
      <c r="J134">
        <v>0</v>
      </c>
      <c r="K134">
        <v>0</v>
      </c>
      <c r="L134">
        <v>0</v>
      </c>
      <c r="M134">
        <v>0</v>
      </c>
      <c r="P134" s="326">
        <v>0</v>
      </c>
      <c r="Q134">
        <v>0</v>
      </c>
      <c r="R134">
        <v>0</v>
      </c>
      <c r="S134">
        <v>0</v>
      </c>
      <c r="T134">
        <v>0</v>
      </c>
      <c r="U134">
        <v>0</v>
      </c>
      <c r="V134">
        <v>0</v>
      </c>
      <c r="W134">
        <v>0</v>
      </c>
      <c r="X134">
        <v>0</v>
      </c>
      <c r="Y134">
        <v>0</v>
      </c>
      <c r="Z134">
        <v>0</v>
      </c>
      <c r="AA134">
        <v>0</v>
      </c>
      <c r="AB134">
        <v>0</v>
      </c>
    </row>
    <row r="135" spans="1:28">
      <c r="A135" t="s">
        <v>421</v>
      </c>
      <c r="B135" t="s">
        <v>422</v>
      </c>
      <c r="C135">
        <v>0</v>
      </c>
      <c r="D135">
        <v>0</v>
      </c>
      <c r="E135">
        <v>0</v>
      </c>
      <c r="F135">
        <v>0</v>
      </c>
      <c r="G135">
        <v>0</v>
      </c>
      <c r="H135">
        <v>0</v>
      </c>
      <c r="I135">
        <v>0</v>
      </c>
      <c r="J135">
        <v>0</v>
      </c>
      <c r="K135">
        <v>0</v>
      </c>
      <c r="L135">
        <v>0</v>
      </c>
      <c r="M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M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P139">
        <v>0</v>
      </c>
      <c r="Q139">
        <v>0</v>
      </c>
      <c r="R139">
        <v>0</v>
      </c>
      <c r="S139">
        <v>0</v>
      </c>
      <c r="T139">
        <v>0</v>
      </c>
      <c r="U139">
        <v>0</v>
      </c>
      <c r="V139">
        <v>0</v>
      </c>
      <c r="W139">
        <v>0</v>
      </c>
      <c r="X139">
        <v>0</v>
      </c>
      <c r="Y139">
        <v>0</v>
      </c>
      <c r="Z139">
        <v>0</v>
      </c>
      <c r="AA139">
        <v>0</v>
      </c>
      <c r="AB139">
        <v>0</v>
      </c>
    </row>
    <row r="140" customFormat="1" spans="1:28">
      <c r="A140" t="s">
        <v>431</v>
      </c>
      <c r="B140" t="s">
        <v>432</v>
      </c>
      <c r="C140">
        <v>0</v>
      </c>
      <c r="D140">
        <v>0</v>
      </c>
      <c r="E140">
        <v>0</v>
      </c>
      <c r="F140">
        <v>0</v>
      </c>
      <c r="G140">
        <v>0</v>
      </c>
      <c r="H140">
        <v>0</v>
      </c>
      <c r="I140">
        <v>0</v>
      </c>
      <c r="J140">
        <v>0</v>
      </c>
      <c r="K140">
        <v>0</v>
      </c>
      <c r="L140">
        <v>0</v>
      </c>
      <c r="M140">
        <v>0</v>
      </c>
      <c r="P140" s="326">
        <v>0</v>
      </c>
      <c r="Q140">
        <v>0</v>
      </c>
      <c r="R140">
        <v>0</v>
      </c>
      <c r="S140">
        <v>0</v>
      </c>
      <c r="T140">
        <v>0</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M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D143">
        <v>0</v>
      </c>
      <c r="E143">
        <v>0</v>
      </c>
      <c r="F143">
        <v>0</v>
      </c>
      <c r="G143">
        <v>0</v>
      </c>
      <c r="H143">
        <v>0</v>
      </c>
      <c r="I143">
        <v>0</v>
      </c>
      <c r="J143">
        <v>0</v>
      </c>
      <c r="K143">
        <v>0</v>
      </c>
      <c r="L143">
        <v>0</v>
      </c>
      <c r="M143">
        <v>0</v>
      </c>
      <c r="P143">
        <v>0</v>
      </c>
    </row>
    <row r="144" spans="1:16">
      <c r="A144" t="s">
        <v>438</v>
      </c>
      <c r="B144" t="s">
        <v>439</v>
      </c>
      <c r="C144">
        <v>0</v>
      </c>
      <c r="D144">
        <v>0</v>
      </c>
      <c r="E144">
        <v>0</v>
      </c>
      <c r="F144">
        <v>0</v>
      </c>
      <c r="G144">
        <v>0</v>
      </c>
      <c r="H144">
        <v>0</v>
      </c>
      <c r="I144">
        <v>0</v>
      </c>
      <c r="J144">
        <v>0</v>
      </c>
      <c r="K144">
        <v>0</v>
      </c>
      <c r="L144">
        <v>0</v>
      </c>
      <c r="M144">
        <v>0</v>
      </c>
      <c r="P144">
        <v>0</v>
      </c>
    </row>
    <row r="145" spans="1:16">
      <c r="A145" t="s">
        <v>440</v>
      </c>
      <c r="B145" t="s">
        <v>441</v>
      </c>
      <c r="C145">
        <v>0</v>
      </c>
      <c r="D145">
        <v>0</v>
      </c>
      <c r="E145">
        <v>0</v>
      </c>
      <c r="F145">
        <v>0</v>
      </c>
      <c r="G145">
        <v>0</v>
      </c>
      <c r="H145">
        <v>0</v>
      </c>
      <c r="I145">
        <v>0</v>
      </c>
      <c r="J145">
        <v>0</v>
      </c>
      <c r="K145">
        <v>0</v>
      </c>
      <c r="L145">
        <v>0</v>
      </c>
      <c r="M145">
        <v>0</v>
      </c>
      <c r="P145">
        <v>0</v>
      </c>
    </row>
    <row r="146" spans="1:16">
      <c r="A146" t="s">
        <v>442</v>
      </c>
      <c r="B146" t="s">
        <v>443</v>
      </c>
      <c r="C146">
        <v>0</v>
      </c>
      <c r="D146">
        <v>0</v>
      </c>
      <c r="E146">
        <v>0</v>
      </c>
      <c r="F146">
        <v>0</v>
      </c>
      <c r="G146">
        <v>0</v>
      </c>
      <c r="H146">
        <v>0</v>
      </c>
      <c r="I146">
        <v>0</v>
      </c>
      <c r="J146">
        <v>0</v>
      </c>
      <c r="K146">
        <v>0</v>
      </c>
      <c r="L146">
        <v>0</v>
      </c>
      <c r="M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D148">
        <v>0</v>
      </c>
      <c r="E148">
        <v>0</v>
      </c>
      <c r="F148">
        <v>0</v>
      </c>
      <c r="G148">
        <v>0</v>
      </c>
      <c r="H148">
        <v>0</v>
      </c>
      <c r="I148">
        <v>0</v>
      </c>
      <c r="J148">
        <v>0</v>
      </c>
      <c r="K148">
        <v>0</v>
      </c>
      <c r="L148">
        <v>0</v>
      </c>
      <c r="M148">
        <v>0</v>
      </c>
      <c r="P148">
        <v>0</v>
      </c>
    </row>
    <row r="149" spans="1:16">
      <c r="A149" t="s">
        <v>446</v>
      </c>
      <c r="B149" t="s">
        <v>87</v>
      </c>
      <c r="C149">
        <v>0</v>
      </c>
      <c r="D149">
        <v>0</v>
      </c>
      <c r="E149">
        <v>0</v>
      </c>
      <c r="F149">
        <v>0</v>
      </c>
      <c r="G149">
        <v>0</v>
      </c>
      <c r="H149">
        <v>0</v>
      </c>
      <c r="I149">
        <v>0</v>
      </c>
      <c r="J149">
        <v>0</v>
      </c>
      <c r="K149">
        <v>0</v>
      </c>
      <c r="L149">
        <v>0</v>
      </c>
      <c r="M149">
        <v>0</v>
      </c>
      <c r="P149">
        <v>0</v>
      </c>
    </row>
    <row r="150" spans="1:16">
      <c r="A150" t="s">
        <v>447</v>
      </c>
      <c r="B150" t="s">
        <v>91</v>
      </c>
      <c r="C150">
        <v>0</v>
      </c>
      <c r="D150">
        <v>0</v>
      </c>
      <c r="E150">
        <v>0</v>
      </c>
      <c r="F150">
        <v>0</v>
      </c>
      <c r="G150">
        <v>0</v>
      </c>
      <c r="H150">
        <v>0</v>
      </c>
      <c r="I150">
        <v>0</v>
      </c>
      <c r="J150">
        <v>0</v>
      </c>
      <c r="K150">
        <v>0</v>
      </c>
      <c r="L150">
        <v>0</v>
      </c>
      <c r="M150">
        <v>0</v>
      </c>
      <c r="P150">
        <v>0</v>
      </c>
    </row>
    <row r="151" spans="1:16">
      <c r="A151" t="s">
        <v>448</v>
      </c>
      <c r="B151" t="s">
        <v>95</v>
      </c>
      <c r="C151">
        <v>0</v>
      </c>
      <c r="D151">
        <v>0</v>
      </c>
      <c r="E151">
        <v>0</v>
      </c>
      <c r="F151">
        <v>0</v>
      </c>
      <c r="G151">
        <v>0</v>
      </c>
      <c r="H151">
        <v>0</v>
      </c>
      <c r="I151">
        <v>0</v>
      </c>
      <c r="J151">
        <v>0</v>
      </c>
      <c r="K151">
        <v>0</v>
      </c>
      <c r="L151">
        <v>0</v>
      </c>
      <c r="M151">
        <v>0</v>
      </c>
      <c r="P151">
        <v>0</v>
      </c>
    </row>
    <row r="152" spans="1:16">
      <c r="A152" t="s">
        <v>449</v>
      </c>
      <c r="B152" t="s">
        <v>404</v>
      </c>
      <c r="C152">
        <v>0</v>
      </c>
      <c r="D152">
        <v>0</v>
      </c>
      <c r="E152">
        <v>0</v>
      </c>
      <c r="F152">
        <v>0</v>
      </c>
      <c r="G152">
        <v>0</v>
      </c>
      <c r="H152">
        <v>0</v>
      </c>
      <c r="I152">
        <v>0</v>
      </c>
      <c r="J152">
        <v>0</v>
      </c>
      <c r="K152">
        <v>0</v>
      </c>
      <c r="L152">
        <v>0</v>
      </c>
      <c r="M152">
        <v>0</v>
      </c>
      <c r="P152">
        <v>0</v>
      </c>
    </row>
    <row r="153" spans="1:16">
      <c r="A153" t="s">
        <v>450</v>
      </c>
      <c r="B153" t="s">
        <v>99</v>
      </c>
      <c r="C153">
        <v>0</v>
      </c>
      <c r="D153">
        <v>0</v>
      </c>
      <c r="E153">
        <v>0</v>
      </c>
      <c r="F153">
        <v>0</v>
      </c>
      <c r="G153">
        <v>0</v>
      </c>
      <c r="H153">
        <v>0</v>
      </c>
      <c r="I153">
        <v>0</v>
      </c>
      <c r="J153">
        <v>0</v>
      </c>
      <c r="K153">
        <v>0</v>
      </c>
      <c r="L153">
        <v>0</v>
      </c>
      <c r="M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D155">
        <v>0</v>
      </c>
      <c r="E155">
        <v>0</v>
      </c>
      <c r="F155">
        <v>0</v>
      </c>
      <c r="G155">
        <v>0</v>
      </c>
      <c r="H155">
        <v>0</v>
      </c>
      <c r="I155">
        <v>0</v>
      </c>
      <c r="J155">
        <v>0</v>
      </c>
      <c r="K155">
        <v>0</v>
      </c>
      <c r="L155">
        <v>0</v>
      </c>
      <c r="M155">
        <v>0</v>
      </c>
      <c r="P155">
        <v>0</v>
      </c>
    </row>
    <row r="156" spans="1:16">
      <c r="A156" t="s">
        <v>453</v>
      </c>
      <c r="B156" t="s">
        <v>111</v>
      </c>
      <c r="C156">
        <v>0</v>
      </c>
      <c r="D156">
        <v>0</v>
      </c>
      <c r="E156">
        <v>0</v>
      </c>
      <c r="F156">
        <v>0</v>
      </c>
      <c r="G156">
        <v>0</v>
      </c>
      <c r="H156">
        <v>0</v>
      </c>
      <c r="I156">
        <v>0</v>
      </c>
      <c r="J156">
        <v>0</v>
      </c>
      <c r="K156">
        <v>0</v>
      </c>
      <c r="L156">
        <v>0</v>
      </c>
      <c r="M156">
        <v>0</v>
      </c>
      <c r="P156">
        <v>0</v>
      </c>
    </row>
    <row r="157" spans="1:16">
      <c r="A157" t="s">
        <v>454</v>
      </c>
      <c r="B157" t="s">
        <v>114</v>
      </c>
      <c r="C157">
        <v>0</v>
      </c>
      <c r="D157">
        <v>0</v>
      </c>
      <c r="E157">
        <v>0</v>
      </c>
      <c r="F157">
        <v>0</v>
      </c>
      <c r="G157">
        <v>0</v>
      </c>
      <c r="H157">
        <v>0</v>
      </c>
      <c r="I157">
        <v>0</v>
      </c>
      <c r="J157">
        <v>0</v>
      </c>
      <c r="K157">
        <v>0</v>
      </c>
      <c r="L157">
        <v>0</v>
      </c>
      <c r="M157">
        <v>0</v>
      </c>
      <c r="P157">
        <v>0</v>
      </c>
    </row>
    <row r="158" spans="1:16">
      <c r="A158" t="s">
        <v>455</v>
      </c>
      <c r="B158" t="s">
        <v>117</v>
      </c>
      <c r="C158">
        <v>0</v>
      </c>
      <c r="D158">
        <v>0</v>
      </c>
      <c r="E158">
        <v>0</v>
      </c>
      <c r="F158">
        <v>0</v>
      </c>
      <c r="G158">
        <v>0</v>
      </c>
      <c r="H158">
        <v>0</v>
      </c>
      <c r="I158">
        <v>0</v>
      </c>
      <c r="J158">
        <v>0</v>
      </c>
      <c r="K158">
        <v>0</v>
      </c>
      <c r="L158">
        <v>0</v>
      </c>
      <c r="M158">
        <v>0</v>
      </c>
      <c r="P158">
        <v>0</v>
      </c>
    </row>
    <row r="159" spans="1:16">
      <c r="A159" t="s">
        <v>456</v>
      </c>
      <c r="B159" t="s">
        <v>120</v>
      </c>
      <c r="C159">
        <v>0</v>
      </c>
      <c r="D159">
        <v>0</v>
      </c>
      <c r="E159">
        <v>0</v>
      </c>
      <c r="F159">
        <v>0</v>
      </c>
      <c r="G159">
        <v>0</v>
      </c>
      <c r="H159">
        <v>0</v>
      </c>
      <c r="I159">
        <v>0</v>
      </c>
      <c r="J159">
        <v>0</v>
      </c>
      <c r="K159">
        <v>0</v>
      </c>
      <c r="L159">
        <v>0</v>
      </c>
      <c r="M159">
        <v>0</v>
      </c>
      <c r="P159">
        <v>0</v>
      </c>
    </row>
    <row r="160" spans="1:16">
      <c r="A160" t="s">
        <v>457</v>
      </c>
      <c r="B160" t="s">
        <v>123</v>
      </c>
      <c r="C160">
        <v>0</v>
      </c>
      <c r="D160">
        <v>0</v>
      </c>
      <c r="E160">
        <v>0</v>
      </c>
      <c r="F160">
        <v>0</v>
      </c>
      <c r="G160">
        <v>0</v>
      </c>
      <c r="H160">
        <v>0</v>
      </c>
      <c r="I160">
        <v>0</v>
      </c>
      <c r="J160">
        <v>0</v>
      </c>
      <c r="K160">
        <v>0</v>
      </c>
      <c r="L160">
        <v>0</v>
      </c>
      <c r="M160">
        <v>0</v>
      </c>
      <c r="P160">
        <v>0</v>
      </c>
    </row>
    <row r="161" spans="1:16">
      <c r="A161" t="s">
        <v>458</v>
      </c>
      <c r="B161" t="s">
        <v>126</v>
      </c>
      <c r="C161">
        <v>0</v>
      </c>
      <c r="D161">
        <v>0</v>
      </c>
      <c r="E161">
        <v>0</v>
      </c>
      <c r="F161">
        <v>0</v>
      </c>
      <c r="G161">
        <v>0</v>
      </c>
      <c r="H161">
        <v>0</v>
      </c>
      <c r="I161">
        <v>0</v>
      </c>
      <c r="J161">
        <v>0</v>
      </c>
      <c r="K161">
        <v>0</v>
      </c>
      <c r="L161">
        <v>0</v>
      </c>
      <c r="M161">
        <v>0</v>
      </c>
      <c r="P161">
        <v>0</v>
      </c>
    </row>
    <row r="162" spans="1:16">
      <c r="A162" t="s">
        <v>459</v>
      </c>
      <c r="B162" t="s">
        <v>129</v>
      </c>
      <c r="C162">
        <v>0</v>
      </c>
      <c r="D162">
        <v>0</v>
      </c>
      <c r="E162">
        <v>0</v>
      </c>
      <c r="F162">
        <v>0</v>
      </c>
      <c r="G162">
        <v>0</v>
      </c>
      <c r="H162">
        <v>0</v>
      </c>
      <c r="I162">
        <v>0</v>
      </c>
      <c r="J162">
        <v>0</v>
      </c>
      <c r="K162">
        <v>0</v>
      </c>
      <c r="L162">
        <v>0</v>
      </c>
      <c r="M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D164">
        <v>0</v>
      </c>
      <c r="E164">
        <v>0</v>
      </c>
      <c r="F164">
        <v>0</v>
      </c>
      <c r="G164">
        <v>0</v>
      </c>
      <c r="H164">
        <v>0</v>
      </c>
      <c r="I164">
        <v>0</v>
      </c>
      <c r="J164">
        <v>0</v>
      </c>
      <c r="K164">
        <v>0</v>
      </c>
      <c r="L164">
        <v>0</v>
      </c>
      <c r="M164">
        <v>0</v>
      </c>
      <c r="P164">
        <v>0</v>
      </c>
    </row>
    <row r="165" spans="1:16">
      <c r="A165" t="s">
        <v>462</v>
      </c>
      <c r="B165" t="s">
        <v>140</v>
      </c>
      <c r="C165">
        <v>0</v>
      </c>
      <c r="D165">
        <v>0</v>
      </c>
      <c r="E165">
        <v>0</v>
      </c>
      <c r="F165">
        <v>0</v>
      </c>
      <c r="G165">
        <v>0</v>
      </c>
      <c r="H165">
        <v>0</v>
      </c>
      <c r="I165">
        <v>0</v>
      </c>
      <c r="J165">
        <v>0</v>
      </c>
      <c r="K165">
        <v>0</v>
      </c>
      <c r="L165">
        <v>0</v>
      </c>
      <c r="M165">
        <v>0</v>
      </c>
      <c r="P165">
        <v>0</v>
      </c>
    </row>
    <row r="166" spans="1:16">
      <c r="A166" t="s">
        <v>463</v>
      </c>
      <c r="B166" t="s">
        <v>406</v>
      </c>
      <c r="C166">
        <v>0</v>
      </c>
      <c r="D166">
        <v>0</v>
      </c>
      <c r="E166">
        <v>0</v>
      </c>
      <c r="F166">
        <v>0</v>
      </c>
      <c r="G166">
        <v>0</v>
      </c>
      <c r="H166">
        <v>0</v>
      </c>
      <c r="I166">
        <v>0</v>
      </c>
      <c r="J166">
        <v>0</v>
      </c>
      <c r="K166">
        <v>0</v>
      </c>
      <c r="L166">
        <v>0</v>
      </c>
      <c r="M166">
        <v>0</v>
      </c>
      <c r="P166">
        <v>0</v>
      </c>
    </row>
    <row r="167" spans="1:16">
      <c r="A167" t="s">
        <v>464</v>
      </c>
      <c r="B167" t="s">
        <v>146</v>
      </c>
      <c r="C167">
        <v>0</v>
      </c>
      <c r="D167">
        <v>0</v>
      </c>
      <c r="E167">
        <v>0</v>
      </c>
      <c r="F167">
        <v>0</v>
      </c>
      <c r="G167">
        <v>0</v>
      </c>
      <c r="H167">
        <v>0</v>
      </c>
      <c r="I167">
        <v>0</v>
      </c>
      <c r="J167">
        <v>0</v>
      </c>
      <c r="K167">
        <v>0</v>
      </c>
      <c r="L167">
        <v>0</v>
      </c>
      <c r="M167">
        <v>0</v>
      </c>
      <c r="P167">
        <v>0</v>
      </c>
    </row>
    <row r="168" spans="1:16">
      <c r="A168" t="s">
        <v>465</v>
      </c>
      <c r="B168" t="s">
        <v>408</v>
      </c>
      <c r="C168">
        <v>0</v>
      </c>
      <c r="D168">
        <v>0</v>
      </c>
      <c r="E168">
        <v>0</v>
      </c>
      <c r="F168">
        <v>0</v>
      </c>
      <c r="G168">
        <v>0</v>
      </c>
      <c r="H168">
        <v>0</v>
      </c>
      <c r="I168">
        <v>0</v>
      </c>
      <c r="J168">
        <v>0</v>
      </c>
      <c r="K168">
        <v>0</v>
      </c>
      <c r="L168">
        <v>0</v>
      </c>
      <c r="M168">
        <v>0</v>
      </c>
      <c r="P168">
        <v>0</v>
      </c>
    </row>
    <row r="169" spans="1:16">
      <c r="A169" t="s">
        <v>466</v>
      </c>
      <c r="B169" t="s">
        <v>410</v>
      </c>
      <c r="C169">
        <v>0</v>
      </c>
      <c r="D169">
        <v>0</v>
      </c>
      <c r="E169">
        <v>0</v>
      </c>
      <c r="F169">
        <v>0</v>
      </c>
      <c r="G169">
        <v>0</v>
      </c>
      <c r="H169">
        <v>0</v>
      </c>
      <c r="I169">
        <v>0</v>
      </c>
      <c r="J169">
        <v>0</v>
      </c>
      <c r="K169">
        <v>0</v>
      </c>
      <c r="L169">
        <v>0</v>
      </c>
      <c r="M169">
        <v>0</v>
      </c>
      <c r="P169">
        <v>0</v>
      </c>
    </row>
    <row r="170" spans="1:16">
      <c r="A170" t="s">
        <v>467</v>
      </c>
      <c r="B170" t="s">
        <v>412</v>
      </c>
      <c r="C170">
        <v>0</v>
      </c>
      <c r="D170">
        <v>0</v>
      </c>
      <c r="E170">
        <v>0</v>
      </c>
      <c r="F170">
        <v>0</v>
      </c>
      <c r="G170">
        <v>0</v>
      </c>
      <c r="H170">
        <v>0</v>
      </c>
      <c r="I170">
        <v>0</v>
      </c>
      <c r="J170">
        <v>0</v>
      </c>
      <c r="K170">
        <v>0</v>
      </c>
      <c r="L170">
        <v>0</v>
      </c>
      <c r="M170">
        <v>0</v>
      </c>
      <c r="P170">
        <v>0</v>
      </c>
    </row>
    <row r="171" spans="1:16">
      <c r="A171" t="s">
        <v>468</v>
      </c>
      <c r="B171" t="s">
        <v>414</v>
      </c>
      <c r="C171">
        <v>0</v>
      </c>
      <c r="D171">
        <v>0</v>
      </c>
      <c r="E171">
        <v>0</v>
      </c>
      <c r="F171">
        <v>0</v>
      </c>
      <c r="G171">
        <v>0</v>
      </c>
      <c r="H171">
        <v>0</v>
      </c>
      <c r="I171">
        <v>0</v>
      </c>
      <c r="J171">
        <v>0</v>
      </c>
      <c r="K171">
        <v>0</v>
      </c>
      <c r="L171">
        <v>0</v>
      </c>
      <c r="M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D173">
        <v>0</v>
      </c>
      <c r="E173">
        <v>0</v>
      </c>
      <c r="F173">
        <v>0</v>
      </c>
      <c r="G173">
        <v>0</v>
      </c>
      <c r="H173">
        <v>0</v>
      </c>
      <c r="I173">
        <v>0</v>
      </c>
      <c r="J173">
        <v>0</v>
      </c>
      <c r="K173">
        <v>0</v>
      </c>
      <c r="L173">
        <v>0</v>
      </c>
      <c r="M173">
        <v>0</v>
      </c>
      <c r="P173">
        <v>0</v>
      </c>
    </row>
    <row r="174" spans="1:16">
      <c r="A174" t="s">
        <v>471</v>
      </c>
      <c r="B174" t="s">
        <v>416</v>
      </c>
      <c r="C174">
        <v>0</v>
      </c>
      <c r="D174">
        <v>0</v>
      </c>
      <c r="E174">
        <v>0</v>
      </c>
      <c r="F174">
        <v>0</v>
      </c>
      <c r="G174">
        <v>0</v>
      </c>
      <c r="H174">
        <v>0</v>
      </c>
      <c r="I174">
        <v>0</v>
      </c>
      <c r="J174">
        <v>0</v>
      </c>
      <c r="K174">
        <v>0</v>
      </c>
      <c r="L174">
        <v>0</v>
      </c>
      <c r="M174">
        <v>0</v>
      </c>
      <c r="P174">
        <v>0</v>
      </c>
    </row>
    <row r="175" spans="1:16">
      <c r="A175" t="s">
        <v>472</v>
      </c>
      <c r="B175" t="s">
        <v>156</v>
      </c>
      <c r="C175">
        <v>0</v>
      </c>
      <c r="D175">
        <v>0</v>
      </c>
      <c r="E175">
        <v>0</v>
      </c>
      <c r="F175">
        <v>0</v>
      </c>
      <c r="G175">
        <v>0</v>
      </c>
      <c r="H175">
        <v>0</v>
      </c>
      <c r="I175">
        <v>0</v>
      </c>
      <c r="J175">
        <v>0</v>
      </c>
      <c r="K175">
        <v>0</v>
      </c>
      <c r="L175">
        <v>0</v>
      </c>
      <c r="M175">
        <v>0</v>
      </c>
      <c r="P175">
        <v>0</v>
      </c>
    </row>
    <row r="176" spans="1:16">
      <c r="A176" t="s">
        <v>473</v>
      </c>
      <c r="B176" t="s">
        <v>160</v>
      </c>
      <c r="C176">
        <v>0</v>
      </c>
      <c r="D176">
        <v>0</v>
      </c>
      <c r="E176">
        <v>0</v>
      </c>
      <c r="F176">
        <v>0</v>
      </c>
      <c r="G176">
        <v>0</v>
      </c>
      <c r="H176">
        <v>0</v>
      </c>
      <c r="I176">
        <v>0</v>
      </c>
      <c r="J176">
        <v>0</v>
      </c>
      <c r="K176">
        <v>0</v>
      </c>
      <c r="L176">
        <v>0</v>
      </c>
      <c r="M176">
        <v>0</v>
      </c>
      <c r="P176">
        <v>0</v>
      </c>
    </row>
    <row r="177" spans="1:16">
      <c r="A177" t="s">
        <v>474</v>
      </c>
      <c r="B177" t="s">
        <v>162</v>
      </c>
      <c r="C177">
        <v>0</v>
      </c>
      <c r="D177">
        <v>0</v>
      </c>
      <c r="E177">
        <v>0</v>
      </c>
      <c r="F177">
        <v>0</v>
      </c>
      <c r="G177">
        <v>0</v>
      </c>
      <c r="H177">
        <v>0</v>
      </c>
      <c r="I177">
        <v>0</v>
      </c>
      <c r="J177">
        <v>0</v>
      </c>
      <c r="K177">
        <v>0</v>
      </c>
      <c r="L177">
        <v>0</v>
      </c>
      <c r="M177">
        <v>0</v>
      </c>
      <c r="P177">
        <v>0</v>
      </c>
    </row>
    <row r="178" spans="1:16">
      <c r="A178" t="s">
        <v>475</v>
      </c>
      <c r="B178" t="s">
        <v>164</v>
      </c>
      <c r="C178">
        <v>0</v>
      </c>
      <c r="D178">
        <v>0</v>
      </c>
      <c r="E178">
        <v>0</v>
      </c>
      <c r="F178">
        <v>0</v>
      </c>
      <c r="G178">
        <v>0</v>
      </c>
      <c r="H178">
        <v>0</v>
      </c>
      <c r="I178">
        <v>0</v>
      </c>
      <c r="J178">
        <v>0</v>
      </c>
      <c r="K178">
        <v>0</v>
      </c>
      <c r="L178">
        <v>0</v>
      </c>
      <c r="M178">
        <v>0</v>
      </c>
      <c r="P178">
        <v>0</v>
      </c>
    </row>
    <row r="179" spans="1:16">
      <c r="A179" t="s">
        <v>476</v>
      </c>
      <c r="B179" t="s">
        <v>166</v>
      </c>
      <c r="C179">
        <v>0</v>
      </c>
      <c r="D179">
        <v>0</v>
      </c>
      <c r="E179">
        <v>0</v>
      </c>
      <c r="F179">
        <v>0</v>
      </c>
      <c r="G179">
        <v>0</v>
      </c>
      <c r="H179">
        <v>0</v>
      </c>
      <c r="I179">
        <v>0</v>
      </c>
      <c r="J179">
        <v>0</v>
      </c>
      <c r="K179">
        <v>0</v>
      </c>
      <c r="L179">
        <v>0</v>
      </c>
      <c r="M179">
        <v>0</v>
      </c>
      <c r="P179">
        <v>0</v>
      </c>
    </row>
    <row r="180" spans="1:16">
      <c r="A180" t="s">
        <v>477</v>
      </c>
      <c r="B180" t="s">
        <v>168</v>
      </c>
      <c r="C180">
        <v>0</v>
      </c>
      <c r="D180">
        <v>0</v>
      </c>
      <c r="E180">
        <v>0</v>
      </c>
      <c r="F180">
        <v>0</v>
      </c>
      <c r="G180">
        <v>0</v>
      </c>
      <c r="H180">
        <v>0</v>
      </c>
      <c r="I180">
        <v>0</v>
      </c>
      <c r="J180">
        <v>0</v>
      </c>
      <c r="K180">
        <v>0</v>
      </c>
      <c r="L180">
        <v>0</v>
      </c>
      <c r="M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D182">
        <v>0</v>
      </c>
      <c r="E182">
        <v>0</v>
      </c>
      <c r="F182">
        <v>0</v>
      </c>
      <c r="G182">
        <v>0</v>
      </c>
      <c r="H182">
        <v>0</v>
      </c>
      <c r="I182">
        <v>0</v>
      </c>
      <c r="J182">
        <v>0</v>
      </c>
      <c r="K182">
        <v>0</v>
      </c>
      <c r="L182">
        <v>0</v>
      </c>
      <c r="M182">
        <v>0</v>
      </c>
      <c r="P182">
        <v>0</v>
      </c>
    </row>
    <row r="183" spans="1:16">
      <c r="A183" t="s">
        <v>480</v>
      </c>
      <c r="B183" t="s">
        <v>422</v>
      </c>
      <c r="C183">
        <v>0</v>
      </c>
      <c r="D183">
        <v>0</v>
      </c>
      <c r="E183">
        <v>0</v>
      </c>
      <c r="F183">
        <v>0</v>
      </c>
      <c r="G183">
        <v>0</v>
      </c>
      <c r="H183">
        <v>0</v>
      </c>
      <c r="I183">
        <v>0</v>
      </c>
      <c r="J183">
        <v>0</v>
      </c>
      <c r="K183">
        <v>0</v>
      </c>
      <c r="L183">
        <v>0</v>
      </c>
      <c r="M183">
        <v>0</v>
      </c>
      <c r="P183">
        <v>0</v>
      </c>
    </row>
    <row r="184" spans="1:16">
      <c r="A184" t="s">
        <v>481</v>
      </c>
      <c r="B184" t="s">
        <v>424</v>
      </c>
      <c r="C184">
        <v>0</v>
      </c>
      <c r="D184">
        <v>0</v>
      </c>
      <c r="E184">
        <v>0</v>
      </c>
      <c r="F184">
        <v>0</v>
      </c>
      <c r="G184">
        <v>0</v>
      </c>
      <c r="H184">
        <v>0</v>
      </c>
      <c r="I184">
        <v>0</v>
      </c>
      <c r="J184">
        <v>0</v>
      </c>
      <c r="K184">
        <v>0</v>
      </c>
      <c r="L184">
        <v>0</v>
      </c>
      <c r="M184">
        <v>0</v>
      </c>
      <c r="P184">
        <v>0</v>
      </c>
    </row>
    <row r="185" spans="1:16">
      <c r="A185" t="s">
        <v>482</v>
      </c>
      <c r="B185" t="s">
        <v>426</v>
      </c>
      <c r="C185">
        <v>0</v>
      </c>
      <c r="D185">
        <v>0</v>
      </c>
      <c r="E185">
        <v>0</v>
      </c>
      <c r="F185">
        <v>0</v>
      </c>
      <c r="G185">
        <v>0</v>
      </c>
      <c r="H185">
        <v>0</v>
      </c>
      <c r="I185">
        <v>0</v>
      </c>
      <c r="J185">
        <v>0</v>
      </c>
      <c r="K185">
        <v>0</v>
      </c>
      <c r="L185">
        <v>0</v>
      </c>
      <c r="M185">
        <v>0</v>
      </c>
      <c r="P185">
        <v>0</v>
      </c>
    </row>
    <row r="186" spans="1:16">
      <c r="A186" t="s">
        <v>483</v>
      </c>
      <c r="B186" t="s">
        <v>428</v>
      </c>
      <c r="C186">
        <v>0</v>
      </c>
      <c r="D186">
        <v>0</v>
      </c>
      <c r="E186">
        <v>0</v>
      </c>
      <c r="F186">
        <v>0</v>
      </c>
      <c r="G186">
        <v>0</v>
      </c>
      <c r="H186">
        <v>0</v>
      </c>
      <c r="I186">
        <v>0</v>
      </c>
      <c r="J186">
        <v>0</v>
      </c>
      <c r="K186">
        <v>0</v>
      </c>
      <c r="L186">
        <v>0</v>
      </c>
      <c r="M186">
        <v>0</v>
      </c>
      <c r="P186">
        <v>0</v>
      </c>
    </row>
    <row r="187" spans="1:16">
      <c r="A187" t="s">
        <v>484</v>
      </c>
      <c r="B187" t="s">
        <v>430</v>
      </c>
      <c r="C187">
        <v>0</v>
      </c>
      <c r="D187">
        <v>0</v>
      </c>
      <c r="E187">
        <v>0</v>
      </c>
      <c r="F187">
        <v>0</v>
      </c>
      <c r="G187">
        <v>0</v>
      </c>
      <c r="H187">
        <v>0</v>
      </c>
      <c r="I187">
        <v>0</v>
      </c>
      <c r="J187">
        <v>0</v>
      </c>
      <c r="K187">
        <v>0</v>
      </c>
      <c r="L187">
        <v>0</v>
      </c>
      <c r="M187">
        <v>0</v>
      </c>
      <c r="P187">
        <v>0</v>
      </c>
    </row>
    <row r="188" spans="1:16">
      <c r="A188" t="s">
        <v>485</v>
      </c>
      <c r="B188" t="s">
        <v>432</v>
      </c>
      <c r="C188">
        <v>0</v>
      </c>
      <c r="D188">
        <v>0</v>
      </c>
      <c r="E188">
        <v>0</v>
      </c>
      <c r="F188">
        <v>0</v>
      </c>
      <c r="G188">
        <v>0</v>
      </c>
      <c r="H188">
        <v>0</v>
      </c>
      <c r="I188">
        <v>0</v>
      </c>
      <c r="J188">
        <v>0</v>
      </c>
      <c r="K188">
        <v>0</v>
      </c>
      <c r="L188">
        <v>0</v>
      </c>
      <c r="M188">
        <v>0</v>
      </c>
      <c r="P188">
        <v>0</v>
      </c>
    </row>
    <row r="189" spans="1:16">
      <c r="A189" t="s">
        <v>486</v>
      </c>
      <c r="B189" t="s">
        <v>434</v>
      </c>
      <c r="C189">
        <v>0</v>
      </c>
      <c r="D189">
        <v>0</v>
      </c>
      <c r="E189">
        <v>0</v>
      </c>
      <c r="F189">
        <v>0</v>
      </c>
      <c r="G189">
        <v>0</v>
      </c>
      <c r="H189">
        <v>0</v>
      </c>
      <c r="I189">
        <v>0</v>
      </c>
      <c r="J189">
        <v>0</v>
      </c>
      <c r="K189">
        <v>0</v>
      </c>
      <c r="L189">
        <v>0</v>
      </c>
      <c r="M189">
        <v>0</v>
      </c>
      <c r="P189">
        <v>0</v>
      </c>
    </row>
    <row r="190" spans="1:16">
      <c r="A190" t="s">
        <v>487</v>
      </c>
      <c r="B190" t="s">
        <v>488</v>
      </c>
      <c r="C190">
        <v>0</v>
      </c>
      <c r="D190">
        <v>0</v>
      </c>
      <c r="E190">
        <v>0</v>
      </c>
      <c r="F190">
        <v>0</v>
      </c>
      <c r="G190">
        <v>0</v>
      </c>
      <c r="H190">
        <v>0</v>
      </c>
      <c r="I190">
        <v>0</v>
      </c>
      <c r="J190">
        <v>0</v>
      </c>
      <c r="K190">
        <v>0</v>
      </c>
      <c r="L190">
        <v>0</v>
      </c>
      <c r="M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D192">
        <v>0</v>
      </c>
      <c r="E192">
        <v>0</v>
      </c>
      <c r="F192">
        <v>0</v>
      </c>
      <c r="G192">
        <v>0</v>
      </c>
      <c r="H192">
        <v>0</v>
      </c>
      <c r="I192">
        <v>0</v>
      </c>
      <c r="J192">
        <v>0</v>
      </c>
      <c r="K192">
        <v>0</v>
      </c>
      <c r="L192">
        <v>0</v>
      </c>
      <c r="M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D194">
        <v>0</v>
      </c>
      <c r="E194">
        <v>0</v>
      </c>
      <c r="F194">
        <v>0</v>
      </c>
      <c r="G194">
        <v>0</v>
      </c>
      <c r="H194">
        <v>0</v>
      </c>
      <c r="I194">
        <v>0</v>
      </c>
      <c r="J194">
        <v>0</v>
      </c>
      <c r="K194">
        <v>0</v>
      </c>
      <c r="L194">
        <v>0</v>
      </c>
      <c r="M194">
        <v>0</v>
      </c>
      <c r="P194">
        <v>0</v>
      </c>
    </row>
    <row r="195" spans="1:16">
      <c r="A195" t="s">
        <v>494</v>
      </c>
      <c r="B195" t="s">
        <v>87</v>
      </c>
      <c r="C195">
        <v>0</v>
      </c>
      <c r="D195">
        <v>0</v>
      </c>
      <c r="E195">
        <v>0</v>
      </c>
      <c r="F195">
        <v>0</v>
      </c>
      <c r="G195">
        <v>0</v>
      </c>
      <c r="H195">
        <v>0</v>
      </c>
      <c r="I195">
        <v>0</v>
      </c>
      <c r="J195">
        <v>0</v>
      </c>
      <c r="K195">
        <v>0</v>
      </c>
      <c r="L195">
        <v>0</v>
      </c>
      <c r="M195">
        <v>0</v>
      </c>
      <c r="P195">
        <v>0</v>
      </c>
    </row>
    <row r="196" spans="1:16">
      <c r="A196" t="s">
        <v>495</v>
      </c>
      <c r="B196" t="s">
        <v>91</v>
      </c>
      <c r="C196">
        <v>0</v>
      </c>
      <c r="D196">
        <v>0</v>
      </c>
      <c r="E196">
        <v>0</v>
      </c>
      <c r="F196">
        <v>0</v>
      </c>
      <c r="G196">
        <v>0</v>
      </c>
      <c r="H196">
        <v>0</v>
      </c>
      <c r="I196">
        <v>0</v>
      </c>
      <c r="J196">
        <v>0</v>
      </c>
      <c r="K196">
        <v>0</v>
      </c>
      <c r="L196">
        <v>0</v>
      </c>
      <c r="M196">
        <v>0</v>
      </c>
      <c r="P196">
        <v>0</v>
      </c>
    </row>
    <row r="197" spans="1:16">
      <c r="A197" t="s">
        <v>496</v>
      </c>
      <c r="B197" t="s">
        <v>95</v>
      </c>
      <c r="C197">
        <v>0</v>
      </c>
      <c r="D197">
        <v>0</v>
      </c>
      <c r="E197">
        <v>0</v>
      </c>
      <c r="F197">
        <v>0</v>
      </c>
      <c r="G197">
        <v>0</v>
      </c>
      <c r="H197">
        <v>0</v>
      </c>
      <c r="I197">
        <v>0</v>
      </c>
      <c r="J197">
        <v>0</v>
      </c>
      <c r="K197">
        <v>0</v>
      </c>
      <c r="L197">
        <v>0</v>
      </c>
      <c r="M197">
        <v>0</v>
      </c>
      <c r="P197">
        <v>0</v>
      </c>
    </row>
    <row r="198" spans="1:16">
      <c r="A198" t="s">
        <v>497</v>
      </c>
      <c r="B198" t="s">
        <v>404</v>
      </c>
      <c r="C198">
        <v>0</v>
      </c>
      <c r="D198">
        <v>0</v>
      </c>
      <c r="E198">
        <v>0</v>
      </c>
      <c r="F198">
        <v>0</v>
      </c>
      <c r="G198">
        <v>0</v>
      </c>
      <c r="H198">
        <v>0</v>
      </c>
      <c r="I198">
        <v>0</v>
      </c>
      <c r="J198">
        <v>0</v>
      </c>
      <c r="K198">
        <v>0</v>
      </c>
      <c r="L198">
        <v>0</v>
      </c>
      <c r="M198">
        <v>0</v>
      </c>
      <c r="P198">
        <v>0</v>
      </c>
    </row>
    <row r="199" spans="1:16">
      <c r="A199" t="s">
        <v>498</v>
      </c>
      <c r="B199" t="s">
        <v>99</v>
      </c>
      <c r="C199">
        <v>0</v>
      </c>
      <c r="D199">
        <v>0</v>
      </c>
      <c r="E199">
        <v>0</v>
      </c>
      <c r="F199">
        <v>0</v>
      </c>
      <c r="G199">
        <v>0</v>
      </c>
      <c r="H199">
        <v>0</v>
      </c>
      <c r="I199">
        <v>0</v>
      </c>
      <c r="J199">
        <v>0</v>
      </c>
      <c r="K199">
        <v>0</v>
      </c>
      <c r="L199">
        <v>0</v>
      </c>
      <c r="M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D201">
        <v>0</v>
      </c>
      <c r="E201">
        <v>0</v>
      </c>
      <c r="F201">
        <v>0</v>
      </c>
      <c r="G201">
        <v>0</v>
      </c>
      <c r="H201">
        <v>0</v>
      </c>
      <c r="I201">
        <v>0</v>
      </c>
      <c r="J201">
        <v>0</v>
      </c>
      <c r="K201">
        <v>0</v>
      </c>
      <c r="L201">
        <v>0</v>
      </c>
      <c r="M201">
        <v>0</v>
      </c>
      <c r="P201">
        <v>0</v>
      </c>
    </row>
    <row r="202" spans="1:16">
      <c r="A202" t="s">
        <v>501</v>
      </c>
      <c r="B202" t="s">
        <v>111</v>
      </c>
      <c r="C202">
        <v>0</v>
      </c>
      <c r="D202">
        <v>0</v>
      </c>
      <c r="E202">
        <v>0</v>
      </c>
      <c r="F202">
        <v>0</v>
      </c>
      <c r="G202">
        <v>0</v>
      </c>
      <c r="H202">
        <v>0</v>
      </c>
      <c r="I202">
        <v>0</v>
      </c>
      <c r="J202">
        <v>0</v>
      </c>
      <c r="K202">
        <v>0</v>
      </c>
      <c r="L202">
        <v>0</v>
      </c>
      <c r="M202">
        <v>0</v>
      </c>
      <c r="P202">
        <v>0</v>
      </c>
    </row>
    <row r="203" spans="1:16">
      <c r="A203" t="s">
        <v>502</v>
      </c>
      <c r="B203" t="s">
        <v>114</v>
      </c>
      <c r="C203">
        <v>0</v>
      </c>
      <c r="D203">
        <v>0</v>
      </c>
      <c r="E203">
        <v>0</v>
      </c>
      <c r="F203">
        <v>0</v>
      </c>
      <c r="G203">
        <v>0</v>
      </c>
      <c r="H203">
        <v>0</v>
      </c>
      <c r="I203">
        <v>0</v>
      </c>
      <c r="J203">
        <v>0</v>
      </c>
      <c r="K203">
        <v>0</v>
      </c>
      <c r="L203">
        <v>0</v>
      </c>
      <c r="M203">
        <v>0</v>
      </c>
      <c r="P203">
        <v>0</v>
      </c>
    </row>
    <row r="204" spans="1:16">
      <c r="A204" t="s">
        <v>503</v>
      </c>
      <c r="B204" t="s">
        <v>117</v>
      </c>
      <c r="C204">
        <v>0</v>
      </c>
      <c r="D204">
        <v>0</v>
      </c>
      <c r="E204">
        <v>0</v>
      </c>
      <c r="F204">
        <v>0</v>
      </c>
      <c r="G204">
        <v>0</v>
      </c>
      <c r="H204">
        <v>0</v>
      </c>
      <c r="I204">
        <v>0</v>
      </c>
      <c r="J204">
        <v>0</v>
      </c>
      <c r="K204">
        <v>0</v>
      </c>
      <c r="L204">
        <v>0</v>
      </c>
      <c r="M204">
        <v>0</v>
      </c>
      <c r="P204">
        <v>0</v>
      </c>
    </row>
    <row r="205" spans="1:16">
      <c r="A205" t="s">
        <v>504</v>
      </c>
      <c r="B205" t="s">
        <v>120</v>
      </c>
      <c r="C205">
        <v>0</v>
      </c>
      <c r="D205">
        <v>0</v>
      </c>
      <c r="E205">
        <v>0</v>
      </c>
      <c r="F205">
        <v>0</v>
      </c>
      <c r="G205">
        <v>0</v>
      </c>
      <c r="H205">
        <v>0</v>
      </c>
      <c r="I205">
        <v>0</v>
      </c>
      <c r="J205">
        <v>0</v>
      </c>
      <c r="K205">
        <v>0</v>
      </c>
      <c r="L205">
        <v>0</v>
      </c>
      <c r="M205">
        <v>0</v>
      </c>
      <c r="P205">
        <v>0</v>
      </c>
    </row>
    <row r="206" spans="1:16">
      <c r="A206" t="s">
        <v>505</v>
      </c>
      <c r="B206" t="s">
        <v>123</v>
      </c>
      <c r="C206">
        <v>0</v>
      </c>
      <c r="D206">
        <v>0</v>
      </c>
      <c r="E206">
        <v>0</v>
      </c>
      <c r="F206">
        <v>0</v>
      </c>
      <c r="G206">
        <v>0</v>
      </c>
      <c r="H206">
        <v>0</v>
      </c>
      <c r="I206">
        <v>0</v>
      </c>
      <c r="J206">
        <v>0</v>
      </c>
      <c r="K206">
        <v>0</v>
      </c>
      <c r="L206">
        <v>0</v>
      </c>
      <c r="M206">
        <v>0</v>
      </c>
      <c r="P206">
        <v>0</v>
      </c>
    </row>
    <row r="207" spans="1:16">
      <c r="A207" t="s">
        <v>506</v>
      </c>
      <c r="B207" t="s">
        <v>126</v>
      </c>
      <c r="C207">
        <v>0</v>
      </c>
      <c r="D207">
        <v>0</v>
      </c>
      <c r="E207">
        <v>0</v>
      </c>
      <c r="F207">
        <v>0</v>
      </c>
      <c r="G207">
        <v>0</v>
      </c>
      <c r="H207">
        <v>0</v>
      </c>
      <c r="I207">
        <v>0</v>
      </c>
      <c r="J207">
        <v>0</v>
      </c>
      <c r="K207">
        <v>0</v>
      </c>
      <c r="L207">
        <v>0</v>
      </c>
      <c r="M207">
        <v>0</v>
      </c>
      <c r="P207">
        <v>0</v>
      </c>
    </row>
    <row r="208" spans="1:16">
      <c r="A208" t="s">
        <v>507</v>
      </c>
      <c r="B208" t="s">
        <v>129</v>
      </c>
      <c r="C208">
        <v>0</v>
      </c>
      <c r="D208">
        <v>0</v>
      </c>
      <c r="E208">
        <v>0</v>
      </c>
      <c r="F208">
        <v>0</v>
      </c>
      <c r="G208">
        <v>0</v>
      </c>
      <c r="H208">
        <v>0</v>
      </c>
      <c r="I208">
        <v>0</v>
      </c>
      <c r="J208">
        <v>0</v>
      </c>
      <c r="K208">
        <v>0</v>
      </c>
      <c r="L208">
        <v>0</v>
      </c>
      <c r="M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D210">
        <v>0</v>
      </c>
      <c r="E210">
        <v>0</v>
      </c>
      <c r="F210">
        <v>0</v>
      </c>
      <c r="G210">
        <v>0</v>
      </c>
      <c r="H210">
        <v>0</v>
      </c>
      <c r="I210">
        <v>0</v>
      </c>
      <c r="J210">
        <v>0</v>
      </c>
      <c r="K210">
        <v>0</v>
      </c>
      <c r="L210">
        <v>0</v>
      </c>
      <c r="M210">
        <v>0</v>
      </c>
      <c r="P210">
        <v>0</v>
      </c>
    </row>
    <row r="211" spans="1:16">
      <c r="A211" t="s">
        <v>510</v>
      </c>
      <c r="B211" t="s">
        <v>511</v>
      </c>
      <c r="C211">
        <v>0</v>
      </c>
      <c r="D211">
        <v>0</v>
      </c>
      <c r="E211">
        <v>0</v>
      </c>
      <c r="F211">
        <v>0</v>
      </c>
      <c r="G211">
        <v>0</v>
      </c>
      <c r="H211">
        <v>0</v>
      </c>
      <c r="I211">
        <v>0</v>
      </c>
      <c r="J211">
        <v>0</v>
      </c>
      <c r="K211">
        <v>0</v>
      </c>
      <c r="L211">
        <v>0</v>
      </c>
      <c r="M211">
        <v>0</v>
      </c>
      <c r="P211">
        <v>0</v>
      </c>
    </row>
    <row r="212" spans="1:16">
      <c r="A212" t="s">
        <v>512</v>
      </c>
      <c r="B212" t="s">
        <v>513</v>
      </c>
      <c r="C212">
        <v>0</v>
      </c>
      <c r="D212">
        <v>0</v>
      </c>
      <c r="E212">
        <v>0</v>
      </c>
      <c r="F212">
        <v>0</v>
      </c>
      <c r="G212">
        <v>0</v>
      </c>
      <c r="H212">
        <v>0</v>
      </c>
      <c r="I212">
        <v>0</v>
      </c>
      <c r="J212">
        <v>0</v>
      </c>
      <c r="K212">
        <v>0</v>
      </c>
      <c r="L212">
        <v>0</v>
      </c>
      <c r="M212">
        <v>0</v>
      </c>
      <c r="P212">
        <v>0</v>
      </c>
    </row>
    <row r="213" spans="1:16">
      <c r="A213" t="s">
        <v>514</v>
      </c>
      <c r="B213" t="s">
        <v>148</v>
      </c>
      <c r="C213">
        <v>0</v>
      </c>
      <c r="D213">
        <v>0</v>
      </c>
      <c r="E213">
        <v>0</v>
      </c>
      <c r="F213">
        <v>0</v>
      </c>
      <c r="G213">
        <v>0</v>
      </c>
      <c r="H213">
        <v>0</v>
      </c>
      <c r="I213">
        <v>0</v>
      </c>
      <c r="J213">
        <v>0</v>
      </c>
      <c r="K213">
        <v>0</v>
      </c>
      <c r="L213">
        <v>0</v>
      </c>
      <c r="M213">
        <v>0</v>
      </c>
      <c r="P213">
        <v>0</v>
      </c>
    </row>
    <row r="214" spans="1:16">
      <c r="A214" t="s">
        <v>515</v>
      </c>
      <c r="B214" t="s">
        <v>516</v>
      </c>
      <c r="C214">
        <v>0</v>
      </c>
      <c r="D214">
        <v>0</v>
      </c>
      <c r="E214">
        <v>0</v>
      </c>
      <c r="F214">
        <v>0</v>
      </c>
      <c r="G214">
        <v>0</v>
      </c>
      <c r="H214">
        <v>0</v>
      </c>
      <c r="I214">
        <v>0</v>
      </c>
      <c r="J214">
        <v>0</v>
      </c>
      <c r="K214">
        <v>0</v>
      </c>
      <c r="L214">
        <v>0</v>
      </c>
      <c r="M214">
        <v>0</v>
      </c>
      <c r="P214">
        <v>0</v>
      </c>
    </row>
    <row r="215" spans="1:16">
      <c r="A215" t="s">
        <v>517</v>
      </c>
      <c r="B215" t="s">
        <v>518</v>
      </c>
      <c r="C215">
        <v>0</v>
      </c>
      <c r="D215">
        <v>0</v>
      </c>
      <c r="E215">
        <v>0</v>
      </c>
      <c r="F215">
        <v>0</v>
      </c>
      <c r="G215">
        <v>0</v>
      </c>
      <c r="H215">
        <v>0</v>
      </c>
      <c r="I215">
        <v>0</v>
      </c>
      <c r="J215">
        <v>0</v>
      </c>
      <c r="K215">
        <v>0</v>
      </c>
      <c r="L215">
        <v>0</v>
      </c>
      <c r="M215">
        <v>0</v>
      </c>
      <c r="P215">
        <v>0</v>
      </c>
    </row>
    <row r="216" spans="1:16">
      <c r="A216" t="s">
        <v>519</v>
      </c>
      <c r="B216" t="s">
        <v>520</v>
      </c>
      <c r="C216">
        <v>0</v>
      </c>
      <c r="D216">
        <v>0</v>
      </c>
      <c r="E216">
        <v>0</v>
      </c>
      <c r="F216">
        <v>0</v>
      </c>
      <c r="G216">
        <v>0</v>
      </c>
      <c r="H216">
        <v>0</v>
      </c>
      <c r="I216">
        <v>0</v>
      </c>
      <c r="J216">
        <v>0</v>
      </c>
      <c r="K216">
        <v>0</v>
      </c>
      <c r="L216">
        <v>0</v>
      </c>
      <c r="M216">
        <v>0</v>
      </c>
      <c r="P216">
        <v>0</v>
      </c>
    </row>
    <row r="217" spans="1:16">
      <c r="A217" t="s">
        <v>521</v>
      </c>
      <c r="B217" t="s">
        <v>522</v>
      </c>
      <c r="C217">
        <v>0</v>
      </c>
      <c r="D217">
        <v>0</v>
      </c>
      <c r="E217">
        <v>0</v>
      </c>
      <c r="F217">
        <v>0</v>
      </c>
      <c r="G217">
        <v>0</v>
      </c>
      <c r="H217">
        <v>0</v>
      </c>
      <c r="I217">
        <v>0</v>
      </c>
      <c r="J217">
        <v>0</v>
      </c>
      <c r="K217">
        <v>0</v>
      </c>
      <c r="L217">
        <v>0</v>
      </c>
      <c r="M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D219">
        <v>0</v>
      </c>
      <c r="E219">
        <v>0</v>
      </c>
      <c r="F219">
        <v>0</v>
      </c>
      <c r="G219">
        <v>0</v>
      </c>
      <c r="H219">
        <v>0</v>
      </c>
      <c r="I219">
        <v>0</v>
      </c>
      <c r="J219">
        <v>0</v>
      </c>
      <c r="K219">
        <v>0</v>
      </c>
      <c r="L219">
        <v>0</v>
      </c>
      <c r="M219">
        <v>0</v>
      </c>
      <c r="P219">
        <v>0</v>
      </c>
    </row>
    <row r="220" spans="1:16">
      <c r="A220" t="s">
        <v>525</v>
      </c>
      <c r="B220" t="s">
        <v>526</v>
      </c>
      <c r="C220">
        <v>0</v>
      </c>
      <c r="D220">
        <v>0</v>
      </c>
      <c r="E220">
        <v>0</v>
      </c>
      <c r="F220">
        <v>0</v>
      </c>
      <c r="G220">
        <v>0</v>
      </c>
      <c r="H220">
        <v>0</v>
      </c>
      <c r="I220">
        <v>0</v>
      </c>
      <c r="J220">
        <v>0</v>
      </c>
      <c r="K220">
        <v>0</v>
      </c>
      <c r="L220">
        <v>0</v>
      </c>
      <c r="M220">
        <v>0</v>
      </c>
      <c r="P220">
        <v>0</v>
      </c>
    </row>
    <row r="221" spans="1:16">
      <c r="A221" t="s">
        <v>527</v>
      </c>
      <c r="B221" t="s">
        <v>158</v>
      </c>
      <c r="C221">
        <v>0</v>
      </c>
      <c r="D221">
        <v>0</v>
      </c>
      <c r="E221">
        <v>0</v>
      </c>
      <c r="F221">
        <v>0</v>
      </c>
      <c r="G221">
        <v>0</v>
      </c>
      <c r="H221">
        <v>0</v>
      </c>
      <c r="I221">
        <v>0</v>
      </c>
      <c r="J221">
        <v>0</v>
      </c>
      <c r="K221">
        <v>0</v>
      </c>
      <c r="L221">
        <v>0</v>
      </c>
      <c r="M221">
        <v>0</v>
      </c>
      <c r="P221">
        <v>0</v>
      </c>
    </row>
    <row r="222" spans="1:16">
      <c r="A222" t="s">
        <v>528</v>
      </c>
      <c r="B222" t="s">
        <v>529</v>
      </c>
      <c r="C222">
        <v>0</v>
      </c>
      <c r="D222">
        <v>0</v>
      </c>
      <c r="E222">
        <v>0</v>
      </c>
      <c r="F222">
        <v>0</v>
      </c>
      <c r="G222">
        <v>0</v>
      </c>
      <c r="H222">
        <v>0</v>
      </c>
      <c r="I222">
        <v>0</v>
      </c>
      <c r="J222">
        <v>0</v>
      </c>
      <c r="K222">
        <v>0</v>
      </c>
      <c r="L222">
        <v>0</v>
      </c>
      <c r="M222">
        <v>0</v>
      </c>
      <c r="P222">
        <v>0</v>
      </c>
    </row>
    <row r="223" spans="1:16">
      <c r="A223" t="s">
        <v>530</v>
      </c>
      <c r="B223" t="s">
        <v>531</v>
      </c>
      <c r="C223">
        <v>0</v>
      </c>
      <c r="D223">
        <v>0</v>
      </c>
      <c r="E223">
        <v>0</v>
      </c>
      <c r="F223">
        <v>0</v>
      </c>
      <c r="G223">
        <v>0</v>
      </c>
      <c r="H223">
        <v>0</v>
      </c>
      <c r="I223">
        <v>0</v>
      </c>
      <c r="J223">
        <v>0</v>
      </c>
      <c r="K223">
        <v>0</v>
      </c>
      <c r="L223">
        <v>0</v>
      </c>
      <c r="M223">
        <v>0</v>
      </c>
      <c r="P223">
        <v>0</v>
      </c>
    </row>
    <row r="224" spans="1:16">
      <c r="A224" t="s">
        <v>532</v>
      </c>
      <c r="B224" t="s">
        <v>533</v>
      </c>
      <c r="C224">
        <v>0</v>
      </c>
      <c r="D224">
        <v>0</v>
      </c>
      <c r="E224">
        <v>0</v>
      </c>
      <c r="F224">
        <v>0</v>
      </c>
      <c r="G224">
        <v>0</v>
      </c>
      <c r="H224">
        <v>0</v>
      </c>
      <c r="I224">
        <v>0</v>
      </c>
      <c r="J224">
        <v>0</v>
      </c>
      <c r="K224">
        <v>0</v>
      </c>
      <c r="L224">
        <v>0</v>
      </c>
      <c r="M224">
        <v>0</v>
      </c>
      <c r="P224">
        <v>0</v>
      </c>
    </row>
    <row r="225" spans="1:16">
      <c r="A225" t="s">
        <v>534</v>
      </c>
      <c r="B225" t="s">
        <v>535</v>
      </c>
      <c r="C225">
        <v>0</v>
      </c>
      <c r="D225">
        <v>0</v>
      </c>
      <c r="E225">
        <v>0</v>
      </c>
      <c r="F225">
        <v>0</v>
      </c>
      <c r="G225">
        <v>0</v>
      </c>
      <c r="H225">
        <v>0</v>
      </c>
      <c r="I225">
        <v>0</v>
      </c>
      <c r="J225">
        <v>0</v>
      </c>
      <c r="K225">
        <v>0</v>
      </c>
      <c r="L225">
        <v>0</v>
      </c>
      <c r="M225">
        <v>0</v>
      </c>
      <c r="P225">
        <v>0</v>
      </c>
    </row>
    <row r="226" spans="1:16">
      <c r="A226" t="s">
        <v>536</v>
      </c>
      <c r="B226" t="s">
        <v>537</v>
      </c>
      <c r="C226">
        <v>0</v>
      </c>
      <c r="D226">
        <v>0</v>
      </c>
      <c r="E226">
        <v>0</v>
      </c>
      <c r="F226">
        <v>0</v>
      </c>
      <c r="G226">
        <v>0</v>
      </c>
      <c r="H226">
        <v>0</v>
      </c>
      <c r="I226">
        <v>0</v>
      </c>
      <c r="J226">
        <v>0</v>
      </c>
      <c r="K226">
        <v>0</v>
      </c>
      <c r="L226">
        <v>0</v>
      </c>
      <c r="M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D228">
        <v>0</v>
      </c>
      <c r="E228">
        <v>0</v>
      </c>
      <c r="F228">
        <v>0</v>
      </c>
      <c r="G228">
        <v>0</v>
      </c>
      <c r="H228">
        <v>0</v>
      </c>
      <c r="I228">
        <v>0</v>
      </c>
      <c r="J228">
        <v>0</v>
      </c>
      <c r="K228">
        <v>0</v>
      </c>
      <c r="L228">
        <v>0</v>
      </c>
      <c r="M228">
        <v>0</v>
      </c>
      <c r="P228">
        <v>0</v>
      </c>
    </row>
    <row r="229" spans="1:16">
      <c r="A229" t="s">
        <v>541</v>
      </c>
      <c r="B229" t="s">
        <v>542</v>
      </c>
      <c r="C229">
        <v>0</v>
      </c>
      <c r="D229">
        <v>0</v>
      </c>
      <c r="E229">
        <v>0</v>
      </c>
      <c r="F229">
        <v>0</v>
      </c>
      <c r="G229">
        <v>0</v>
      </c>
      <c r="H229">
        <v>0</v>
      </c>
      <c r="I229">
        <v>0</v>
      </c>
      <c r="J229">
        <v>0</v>
      </c>
      <c r="K229">
        <v>0</v>
      </c>
      <c r="L229">
        <v>0</v>
      </c>
      <c r="M229">
        <v>0</v>
      </c>
      <c r="P229">
        <v>0</v>
      </c>
    </row>
    <row r="230" spans="1:16">
      <c r="A230" t="s">
        <v>543</v>
      </c>
      <c r="B230" t="s">
        <v>544</v>
      </c>
      <c r="C230">
        <v>0</v>
      </c>
      <c r="D230">
        <v>0</v>
      </c>
      <c r="E230">
        <v>0</v>
      </c>
      <c r="F230">
        <v>0</v>
      </c>
      <c r="G230">
        <v>0</v>
      </c>
      <c r="H230">
        <v>0</v>
      </c>
      <c r="I230">
        <v>0</v>
      </c>
      <c r="J230">
        <v>0</v>
      </c>
      <c r="K230">
        <v>0</v>
      </c>
      <c r="L230">
        <v>0</v>
      </c>
      <c r="M230">
        <v>0</v>
      </c>
      <c r="P230">
        <v>0</v>
      </c>
    </row>
    <row r="231" spans="1:16">
      <c r="A231" t="s">
        <v>545</v>
      </c>
      <c r="B231" t="s">
        <v>546</v>
      </c>
      <c r="C231">
        <v>0</v>
      </c>
      <c r="D231">
        <v>0</v>
      </c>
      <c r="E231">
        <v>0</v>
      </c>
      <c r="F231">
        <v>0</v>
      </c>
      <c r="G231">
        <v>0</v>
      </c>
      <c r="H231">
        <v>0</v>
      </c>
      <c r="I231">
        <v>0</v>
      </c>
      <c r="J231">
        <v>0</v>
      </c>
      <c r="K231">
        <v>0</v>
      </c>
      <c r="L231">
        <v>0</v>
      </c>
      <c r="M231">
        <v>0</v>
      </c>
      <c r="P231">
        <v>0</v>
      </c>
    </row>
    <row r="232" spans="1:16">
      <c r="A232" t="s">
        <v>547</v>
      </c>
      <c r="B232" t="s">
        <v>548</v>
      </c>
      <c r="C232">
        <v>0</v>
      </c>
      <c r="D232">
        <v>0</v>
      </c>
      <c r="E232">
        <v>0</v>
      </c>
      <c r="F232">
        <v>0</v>
      </c>
      <c r="G232">
        <v>0</v>
      </c>
      <c r="H232">
        <v>0</v>
      </c>
      <c r="I232">
        <v>0</v>
      </c>
      <c r="J232">
        <v>0</v>
      </c>
      <c r="K232">
        <v>0</v>
      </c>
      <c r="L232">
        <v>0</v>
      </c>
      <c r="M232">
        <v>0</v>
      </c>
      <c r="P232">
        <v>0</v>
      </c>
    </row>
    <row r="233" spans="1:16">
      <c r="A233" t="s">
        <v>549</v>
      </c>
      <c r="B233" t="s">
        <v>550</v>
      </c>
      <c r="C233">
        <v>0</v>
      </c>
      <c r="D233">
        <v>0</v>
      </c>
      <c r="E233">
        <v>0</v>
      </c>
      <c r="F233">
        <v>0</v>
      </c>
      <c r="G233">
        <v>0</v>
      </c>
      <c r="H233">
        <v>0</v>
      </c>
      <c r="I233">
        <v>0</v>
      </c>
      <c r="J233">
        <v>0</v>
      </c>
      <c r="K233">
        <v>0</v>
      </c>
      <c r="L233">
        <v>0</v>
      </c>
      <c r="M233">
        <v>0</v>
      </c>
      <c r="P233">
        <v>0</v>
      </c>
    </row>
    <row r="234" spans="1:16">
      <c r="A234" t="s">
        <v>551</v>
      </c>
      <c r="B234" t="s">
        <v>552</v>
      </c>
      <c r="C234">
        <v>0</v>
      </c>
      <c r="D234">
        <v>0</v>
      </c>
      <c r="E234">
        <v>0</v>
      </c>
      <c r="F234">
        <v>0</v>
      </c>
      <c r="G234">
        <v>0</v>
      </c>
      <c r="H234">
        <v>0</v>
      </c>
      <c r="I234">
        <v>0</v>
      </c>
      <c r="J234">
        <v>0</v>
      </c>
      <c r="K234">
        <v>0</v>
      </c>
      <c r="L234">
        <v>0</v>
      </c>
      <c r="M234">
        <v>0</v>
      </c>
      <c r="P234">
        <v>0</v>
      </c>
    </row>
    <row r="235" spans="1:16">
      <c r="A235" t="s">
        <v>553</v>
      </c>
      <c r="B235" t="s">
        <v>554</v>
      </c>
      <c r="C235">
        <v>0</v>
      </c>
      <c r="D235">
        <v>0</v>
      </c>
      <c r="E235">
        <v>0</v>
      </c>
      <c r="F235">
        <v>0</v>
      </c>
      <c r="G235">
        <v>0</v>
      </c>
      <c r="H235">
        <v>0</v>
      </c>
      <c r="I235">
        <v>0</v>
      </c>
      <c r="J235">
        <v>0</v>
      </c>
      <c r="K235">
        <v>0</v>
      </c>
      <c r="L235">
        <v>0</v>
      </c>
      <c r="M235">
        <v>0</v>
      </c>
      <c r="P235">
        <v>0</v>
      </c>
    </row>
    <row r="236" spans="1:16">
      <c r="A236" t="s">
        <v>555</v>
      </c>
      <c r="B236" t="s">
        <v>556</v>
      </c>
      <c r="C236">
        <v>0</v>
      </c>
      <c r="D236">
        <v>0</v>
      </c>
      <c r="E236">
        <v>0</v>
      </c>
      <c r="F236">
        <v>0</v>
      </c>
      <c r="G236">
        <v>0</v>
      </c>
      <c r="H236">
        <v>0</v>
      </c>
      <c r="I236">
        <v>0</v>
      </c>
      <c r="J236">
        <v>0</v>
      </c>
      <c r="K236">
        <v>0</v>
      </c>
      <c r="L236">
        <v>0</v>
      </c>
      <c r="M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D238">
        <v>0</v>
      </c>
      <c r="E238">
        <v>0</v>
      </c>
      <c r="F238">
        <v>0</v>
      </c>
      <c r="G238">
        <v>0</v>
      </c>
      <c r="H238">
        <v>0</v>
      </c>
      <c r="I238">
        <v>0</v>
      </c>
      <c r="J238">
        <v>0</v>
      </c>
      <c r="K238">
        <v>0</v>
      </c>
      <c r="L238">
        <v>0</v>
      </c>
      <c r="M238">
        <v>0</v>
      </c>
      <c r="P238">
        <v>0</v>
      </c>
    </row>
    <row r="239" spans="1:16">
      <c r="A239" t="s">
        <v>560</v>
      </c>
      <c r="B239" t="s">
        <v>561</v>
      </c>
      <c r="C239">
        <v>0</v>
      </c>
      <c r="D239">
        <v>0</v>
      </c>
      <c r="E239">
        <v>0</v>
      </c>
      <c r="F239">
        <v>0</v>
      </c>
      <c r="G239">
        <v>0</v>
      </c>
      <c r="H239">
        <v>0</v>
      </c>
      <c r="I239">
        <v>0</v>
      </c>
      <c r="J239">
        <v>0</v>
      </c>
      <c r="K239">
        <v>0</v>
      </c>
      <c r="L239">
        <v>0</v>
      </c>
      <c r="M239">
        <v>0</v>
      </c>
      <c r="P239">
        <v>0</v>
      </c>
    </row>
    <row r="240" spans="1:16">
      <c r="A240" t="s">
        <v>562</v>
      </c>
      <c r="B240" t="s">
        <v>563</v>
      </c>
      <c r="C240">
        <v>0</v>
      </c>
      <c r="D240">
        <v>0</v>
      </c>
      <c r="E240">
        <v>0</v>
      </c>
      <c r="F240">
        <v>0</v>
      </c>
      <c r="G240">
        <v>0</v>
      </c>
      <c r="H240">
        <v>0</v>
      </c>
      <c r="I240">
        <v>0</v>
      </c>
      <c r="J240">
        <v>0</v>
      </c>
      <c r="K240">
        <v>0</v>
      </c>
      <c r="L240">
        <v>0</v>
      </c>
      <c r="M240">
        <v>0</v>
      </c>
      <c r="P240">
        <v>0</v>
      </c>
    </row>
    <row r="241" spans="1:16">
      <c r="A241" t="s">
        <v>564</v>
      </c>
      <c r="B241" t="s">
        <v>565</v>
      </c>
      <c r="C241">
        <v>0</v>
      </c>
      <c r="D241">
        <v>0</v>
      </c>
      <c r="E241">
        <v>0</v>
      </c>
      <c r="F241">
        <v>0</v>
      </c>
      <c r="G241">
        <v>0</v>
      </c>
      <c r="H241">
        <v>0</v>
      </c>
      <c r="I241">
        <v>0</v>
      </c>
      <c r="J241">
        <v>0</v>
      </c>
      <c r="K241">
        <v>0</v>
      </c>
      <c r="L241">
        <v>0</v>
      </c>
      <c r="M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D243">
        <v>0</v>
      </c>
      <c r="E243">
        <v>0</v>
      </c>
      <c r="F243">
        <v>0</v>
      </c>
      <c r="G243">
        <v>0</v>
      </c>
      <c r="H243">
        <v>0</v>
      </c>
      <c r="I243">
        <v>0</v>
      </c>
      <c r="J243">
        <v>0</v>
      </c>
      <c r="K243">
        <v>0</v>
      </c>
      <c r="L243">
        <v>0</v>
      </c>
      <c r="M243">
        <v>0</v>
      </c>
      <c r="P243">
        <v>0</v>
      </c>
    </row>
    <row r="244" spans="1:16">
      <c r="A244" t="s">
        <v>569</v>
      </c>
      <c r="B244" t="s">
        <v>570</v>
      </c>
      <c r="C244">
        <v>0</v>
      </c>
      <c r="D244">
        <v>0</v>
      </c>
      <c r="E244">
        <v>0</v>
      </c>
      <c r="F244">
        <v>0</v>
      </c>
      <c r="G244">
        <v>0</v>
      </c>
      <c r="H244">
        <v>0</v>
      </c>
      <c r="I244">
        <v>0</v>
      </c>
      <c r="J244">
        <v>0</v>
      </c>
      <c r="K244">
        <v>0</v>
      </c>
      <c r="L244">
        <v>0</v>
      </c>
      <c r="M244">
        <v>0</v>
      </c>
      <c r="P244">
        <v>0</v>
      </c>
    </row>
    <row r="245" spans="1:16">
      <c r="A245" t="s">
        <v>571</v>
      </c>
      <c r="B245" t="s">
        <v>572</v>
      </c>
      <c r="C245">
        <v>0</v>
      </c>
      <c r="D245">
        <v>0</v>
      </c>
      <c r="E245">
        <v>0</v>
      </c>
      <c r="F245">
        <v>0</v>
      </c>
      <c r="G245">
        <v>0</v>
      </c>
      <c r="H245">
        <v>0</v>
      </c>
      <c r="I245">
        <v>0</v>
      </c>
      <c r="J245">
        <v>0</v>
      </c>
      <c r="K245">
        <v>0</v>
      </c>
      <c r="L245">
        <v>0</v>
      </c>
      <c r="M245">
        <v>0</v>
      </c>
      <c r="P245">
        <v>0</v>
      </c>
    </row>
    <row r="246" spans="1:16">
      <c r="A246" t="s">
        <v>573</v>
      </c>
      <c r="B246" t="s">
        <v>574</v>
      </c>
      <c r="C246">
        <v>0</v>
      </c>
      <c r="D246">
        <v>0</v>
      </c>
      <c r="E246">
        <v>0</v>
      </c>
      <c r="F246">
        <v>0</v>
      </c>
      <c r="G246">
        <v>0</v>
      </c>
      <c r="H246">
        <v>0</v>
      </c>
      <c r="I246">
        <v>0</v>
      </c>
      <c r="J246">
        <v>0</v>
      </c>
      <c r="K246">
        <v>0</v>
      </c>
      <c r="L246">
        <v>0</v>
      </c>
      <c r="M246">
        <v>0</v>
      </c>
      <c r="P246">
        <v>0</v>
      </c>
    </row>
    <row r="247" spans="1:16">
      <c r="A247" t="s">
        <v>575</v>
      </c>
      <c r="B247" t="s">
        <v>576</v>
      </c>
      <c r="C247">
        <v>0</v>
      </c>
      <c r="D247">
        <v>0</v>
      </c>
      <c r="E247">
        <v>0</v>
      </c>
      <c r="F247">
        <v>0</v>
      </c>
      <c r="G247">
        <v>0</v>
      </c>
      <c r="H247">
        <v>0</v>
      </c>
      <c r="I247">
        <v>0</v>
      </c>
      <c r="J247">
        <v>0</v>
      </c>
      <c r="K247">
        <v>0</v>
      </c>
      <c r="L247">
        <v>0</v>
      </c>
      <c r="M247">
        <v>0</v>
      </c>
      <c r="P247">
        <v>0</v>
      </c>
    </row>
    <row r="248" spans="1:16">
      <c r="A248" t="s">
        <v>577</v>
      </c>
      <c r="B248" t="s">
        <v>99</v>
      </c>
      <c r="C248">
        <v>0</v>
      </c>
      <c r="D248">
        <v>0</v>
      </c>
      <c r="E248">
        <v>0</v>
      </c>
      <c r="F248">
        <v>0</v>
      </c>
      <c r="G248">
        <v>0</v>
      </c>
      <c r="H248">
        <v>0</v>
      </c>
      <c r="I248">
        <v>0</v>
      </c>
      <c r="J248">
        <v>0</v>
      </c>
      <c r="K248">
        <v>0</v>
      </c>
      <c r="L248">
        <v>0</v>
      </c>
      <c r="M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D250">
        <v>0</v>
      </c>
      <c r="E250">
        <v>0</v>
      </c>
      <c r="F250">
        <v>0</v>
      </c>
      <c r="G250">
        <v>0</v>
      </c>
      <c r="H250">
        <v>0</v>
      </c>
      <c r="I250">
        <v>0</v>
      </c>
      <c r="J250">
        <v>0</v>
      </c>
      <c r="K250">
        <v>0</v>
      </c>
      <c r="L250">
        <v>0</v>
      </c>
      <c r="M250">
        <v>0</v>
      </c>
      <c r="P250">
        <v>0</v>
      </c>
    </row>
    <row r="251" spans="1:16">
      <c r="A251" t="s">
        <v>581</v>
      </c>
      <c r="B251" t="s">
        <v>582</v>
      </c>
      <c r="C251">
        <v>0</v>
      </c>
      <c r="D251">
        <v>0</v>
      </c>
      <c r="E251">
        <v>0</v>
      </c>
      <c r="F251">
        <v>0</v>
      </c>
      <c r="G251">
        <v>0</v>
      </c>
      <c r="H251">
        <v>0</v>
      </c>
      <c r="I251">
        <v>0</v>
      </c>
      <c r="J251">
        <v>0</v>
      </c>
      <c r="K251">
        <v>0</v>
      </c>
      <c r="L251">
        <v>0</v>
      </c>
      <c r="M251">
        <v>0</v>
      </c>
      <c r="P251">
        <v>0</v>
      </c>
    </row>
    <row r="252" spans="1:16">
      <c r="A252" t="s">
        <v>583</v>
      </c>
      <c r="B252" t="s">
        <v>584</v>
      </c>
      <c r="C252">
        <v>0</v>
      </c>
      <c r="D252">
        <v>0</v>
      </c>
      <c r="E252">
        <v>0</v>
      </c>
      <c r="F252">
        <v>0</v>
      </c>
      <c r="G252">
        <v>0</v>
      </c>
      <c r="H252">
        <v>0</v>
      </c>
      <c r="I252">
        <v>0</v>
      </c>
      <c r="J252">
        <v>0</v>
      </c>
      <c r="K252">
        <v>0</v>
      </c>
      <c r="L252">
        <v>0</v>
      </c>
      <c r="M252">
        <v>0</v>
      </c>
      <c r="P252">
        <v>0</v>
      </c>
    </row>
    <row r="253" spans="1:16">
      <c r="A253" t="s">
        <v>585</v>
      </c>
      <c r="B253" t="s">
        <v>586</v>
      </c>
      <c r="C253">
        <v>0</v>
      </c>
      <c r="D253">
        <v>0</v>
      </c>
      <c r="E253">
        <v>0</v>
      </c>
      <c r="F253">
        <v>0</v>
      </c>
      <c r="G253">
        <v>0</v>
      </c>
      <c r="H253">
        <v>0</v>
      </c>
      <c r="I253">
        <v>0</v>
      </c>
      <c r="J253">
        <v>0</v>
      </c>
      <c r="K253">
        <v>0</v>
      </c>
      <c r="L253">
        <v>0</v>
      </c>
      <c r="M253">
        <v>0</v>
      </c>
      <c r="P253">
        <v>0</v>
      </c>
    </row>
    <row r="254" spans="1:16">
      <c r="A254" t="s">
        <v>587</v>
      </c>
      <c r="B254" t="s">
        <v>588</v>
      </c>
      <c r="C254">
        <v>0</v>
      </c>
      <c r="D254">
        <v>0</v>
      </c>
      <c r="E254">
        <v>0</v>
      </c>
      <c r="F254">
        <v>0</v>
      </c>
      <c r="G254">
        <v>0</v>
      </c>
      <c r="H254">
        <v>0</v>
      </c>
      <c r="I254">
        <v>0</v>
      </c>
      <c r="J254">
        <v>0</v>
      </c>
      <c r="K254">
        <v>0</v>
      </c>
      <c r="L254">
        <v>0</v>
      </c>
      <c r="M254">
        <v>0</v>
      </c>
      <c r="P254">
        <v>0</v>
      </c>
    </row>
    <row r="255" spans="1:16">
      <c r="A255" t="s">
        <v>589</v>
      </c>
      <c r="B255" t="s">
        <v>590</v>
      </c>
      <c r="C255">
        <v>0</v>
      </c>
      <c r="D255">
        <v>0</v>
      </c>
      <c r="E255">
        <v>0</v>
      </c>
      <c r="F255">
        <v>0</v>
      </c>
      <c r="G255">
        <v>0</v>
      </c>
      <c r="H255">
        <v>0</v>
      </c>
      <c r="I255">
        <v>0</v>
      </c>
      <c r="J255">
        <v>0</v>
      </c>
      <c r="K255">
        <v>0</v>
      </c>
      <c r="L255">
        <v>0</v>
      </c>
      <c r="M255">
        <v>0</v>
      </c>
      <c r="P255">
        <v>0</v>
      </c>
    </row>
    <row r="256" spans="1:16">
      <c r="A256" t="s">
        <v>591</v>
      </c>
      <c r="B256" t="s">
        <v>592</v>
      </c>
      <c r="C256">
        <v>0</v>
      </c>
      <c r="D256">
        <v>0</v>
      </c>
      <c r="E256">
        <v>0</v>
      </c>
      <c r="F256">
        <v>0</v>
      </c>
      <c r="G256">
        <v>0</v>
      </c>
      <c r="H256">
        <v>0</v>
      </c>
      <c r="I256">
        <v>0</v>
      </c>
      <c r="J256">
        <v>0</v>
      </c>
      <c r="K256">
        <v>0</v>
      </c>
      <c r="L256">
        <v>0</v>
      </c>
      <c r="M256">
        <v>0</v>
      </c>
      <c r="P256">
        <v>0</v>
      </c>
    </row>
    <row r="257" spans="1:16">
      <c r="A257" t="s">
        <v>593</v>
      </c>
      <c r="B257" t="s">
        <v>594</v>
      </c>
      <c r="C257">
        <v>0</v>
      </c>
      <c r="D257">
        <v>0</v>
      </c>
      <c r="E257">
        <v>0</v>
      </c>
      <c r="F257">
        <v>0</v>
      </c>
      <c r="G257">
        <v>0</v>
      </c>
      <c r="H257">
        <v>0</v>
      </c>
      <c r="I257">
        <v>0</v>
      </c>
      <c r="J257">
        <v>0</v>
      </c>
      <c r="K257">
        <v>0</v>
      </c>
      <c r="L257">
        <v>0</v>
      </c>
      <c r="M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D259">
        <v>0</v>
      </c>
      <c r="E259">
        <v>0</v>
      </c>
      <c r="F259">
        <v>0</v>
      </c>
      <c r="G259">
        <v>0</v>
      </c>
      <c r="H259">
        <v>0</v>
      </c>
      <c r="I259">
        <v>0</v>
      </c>
      <c r="J259">
        <v>0</v>
      </c>
      <c r="K259">
        <v>0</v>
      </c>
      <c r="L259">
        <v>0</v>
      </c>
      <c r="M259">
        <v>0</v>
      </c>
      <c r="P259">
        <v>0</v>
      </c>
    </row>
    <row r="260" spans="1:16">
      <c r="A260" t="s">
        <v>598</v>
      </c>
      <c r="B260" t="s">
        <v>511</v>
      </c>
      <c r="C260">
        <v>0</v>
      </c>
      <c r="D260">
        <v>0</v>
      </c>
      <c r="E260">
        <v>0</v>
      </c>
      <c r="F260">
        <v>0</v>
      </c>
      <c r="G260">
        <v>0</v>
      </c>
      <c r="H260">
        <v>0</v>
      </c>
      <c r="I260">
        <v>0</v>
      </c>
      <c r="J260">
        <v>0</v>
      </c>
      <c r="K260">
        <v>0</v>
      </c>
      <c r="L260">
        <v>0</v>
      </c>
      <c r="M260">
        <v>0</v>
      </c>
      <c r="P260">
        <v>0</v>
      </c>
    </row>
    <row r="261" spans="1:16">
      <c r="A261" t="s">
        <v>599</v>
      </c>
      <c r="B261" t="s">
        <v>513</v>
      </c>
      <c r="C261">
        <v>0</v>
      </c>
      <c r="D261">
        <v>0</v>
      </c>
      <c r="E261">
        <v>0</v>
      </c>
      <c r="F261">
        <v>0</v>
      </c>
      <c r="G261">
        <v>0</v>
      </c>
      <c r="H261">
        <v>0</v>
      </c>
      <c r="I261">
        <v>0</v>
      </c>
      <c r="J261">
        <v>0</v>
      </c>
      <c r="K261">
        <v>0</v>
      </c>
      <c r="L261">
        <v>0</v>
      </c>
      <c r="M261">
        <v>0</v>
      </c>
      <c r="P261">
        <v>0</v>
      </c>
    </row>
    <row r="262" spans="1:16">
      <c r="A262" t="s">
        <v>600</v>
      </c>
      <c r="B262" t="s">
        <v>146</v>
      </c>
      <c r="C262">
        <v>0</v>
      </c>
      <c r="D262">
        <v>0</v>
      </c>
      <c r="E262">
        <v>0</v>
      </c>
      <c r="F262">
        <v>0</v>
      </c>
      <c r="G262">
        <v>0</v>
      </c>
      <c r="H262">
        <v>0</v>
      </c>
      <c r="I262">
        <v>0</v>
      </c>
      <c r="J262">
        <v>0</v>
      </c>
      <c r="K262">
        <v>0</v>
      </c>
      <c r="L262">
        <v>0</v>
      </c>
      <c r="M262">
        <v>0</v>
      </c>
      <c r="P262">
        <v>0</v>
      </c>
    </row>
    <row r="263" spans="1:16">
      <c r="A263" t="s">
        <v>601</v>
      </c>
      <c r="B263" t="s">
        <v>516</v>
      </c>
      <c r="C263">
        <v>0</v>
      </c>
      <c r="D263">
        <v>0</v>
      </c>
      <c r="E263">
        <v>0</v>
      </c>
      <c r="F263">
        <v>0</v>
      </c>
      <c r="G263">
        <v>0</v>
      </c>
      <c r="H263">
        <v>0</v>
      </c>
      <c r="I263">
        <v>0</v>
      </c>
      <c r="J263">
        <v>0</v>
      </c>
      <c r="K263">
        <v>0</v>
      </c>
      <c r="L263">
        <v>0</v>
      </c>
      <c r="M263">
        <v>0</v>
      </c>
      <c r="P263">
        <v>0</v>
      </c>
    </row>
    <row r="264" spans="1:16">
      <c r="A264" t="s">
        <v>602</v>
      </c>
      <c r="B264" t="s">
        <v>518</v>
      </c>
      <c r="C264">
        <v>0</v>
      </c>
      <c r="D264">
        <v>0</v>
      </c>
      <c r="E264">
        <v>0</v>
      </c>
      <c r="F264">
        <v>0</v>
      </c>
      <c r="G264">
        <v>0</v>
      </c>
      <c r="H264">
        <v>0</v>
      </c>
      <c r="I264">
        <v>0</v>
      </c>
      <c r="J264">
        <v>0</v>
      </c>
      <c r="K264">
        <v>0</v>
      </c>
      <c r="L264">
        <v>0</v>
      </c>
      <c r="M264">
        <v>0</v>
      </c>
      <c r="P264">
        <v>0</v>
      </c>
    </row>
    <row r="265" spans="1:16">
      <c r="A265" t="s">
        <v>603</v>
      </c>
      <c r="B265" t="s">
        <v>520</v>
      </c>
      <c r="C265">
        <v>0</v>
      </c>
      <c r="D265">
        <v>0</v>
      </c>
      <c r="E265">
        <v>0</v>
      </c>
      <c r="F265">
        <v>0</v>
      </c>
      <c r="G265">
        <v>0</v>
      </c>
      <c r="H265">
        <v>0</v>
      </c>
      <c r="I265">
        <v>0</v>
      </c>
      <c r="J265">
        <v>0</v>
      </c>
      <c r="K265">
        <v>0</v>
      </c>
      <c r="L265">
        <v>0</v>
      </c>
      <c r="M265">
        <v>0</v>
      </c>
      <c r="P265">
        <v>0</v>
      </c>
    </row>
    <row r="266" spans="1:16">
      <c r="A266" t="s">
        <v>604</v>
      </c>
      <c r="B266" t="s">
        <v>522</v>
      </c>
      <c r="C266">
        <v>0</v>
      </c>
      <c r="D266">
        <v>0</v>
      </c>
      <c r="E266">
        <v>0</v>
      </c>
      <c r="F266">
        <v>0</v>
      </c>
      <c r="G266">
        <v>0</v>
      </c>
      <c r="H266">
        <v>0</v>
      </c>
      <c r="I266">
        <v>0</v>
      </c>
      <c r="J266">
        <v>0</v>
      </c>
      <c r="K266">
        <v>0</v>
      </c>
      <c r="L266">
        <v>0</v>
      </c>
      <c r="M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D268">
        <v>0</v>
      </c>
      <c r="E268">
        <v>0</v>
      </c>
      <c r="F268">
        <v>0</v>
      </c>
      <c r="G268">
        <v>0</v>
      </c>
      <c r="H268">
        <v>0</v>
      </c>
      <c r="I268">
        <v>0</v>
      </c>
      <c r="J268">
        <v>0</v>
      </c>
      <c r="K268">
        <v>0</v>
      </c>
      <c r="L268">
        <v>0</v>
      </c>
      <c r="M268">
        <v>0</v>
      </c>
      <c r="P268">
        <v>0</v>
      </c>
    </row>
    <row r="269" spans="1:16">
      <c r="A269" t="s">
        <v>607</v>
      </c>
      <c r="B269" t="s">
        <v>526</v>
      </c>
      <c r="C269">
        <v>0</v>
      </c>
      <c r="D269">
        <v>0</v>
      </c>
      <c r="E269">
        <v>0</v>
      </c>
      <c r="F269">
        <v>0</v>
      </c>
      <c r="G269">
        <v>0</v>
      </c>
      <c r="H269">
        <v>0</v>
      </c>
      <c r="I269">
        <v>0</v>
      </c>
      <c r="J269">
        <v>0</v>
      </c>
      <c r="K269">
        <v>0</v>
      </c>
      <c r="L269">
        <v>0</v>
      </c>
      <c r="M269">
        <v>0</v>
      </c>
      <c r="P269">
        <v>0</v>
      </c>
    </row>
    <row r="270" spans="1:16">
      <c r="A270" t="s">
        <v>608</v>
      </c>
      <c r="B270" t="s">
        <v>158</v>
      </c>
      <c r="C270">
        <v>0</v>
      </c>
      <c r="D270">
        <v>0</v>
      </c>
      <c r="E270">
        <v>0</v>
      </c>
      <c r="F270">
        <v>0</v>
      </c>
      <c r="G270">
        <v>0</v>
      </c>
      <c r="H270">
        <v>0</v>
      </c>
      <c r="I270">
        <v>0</v>
      </c>
      <c r="J270">
        <v>0</v>
      </c>
      <c r="K270">
        <v>0</v>
      </c>
      <c r="L270">
        <v>0</v>
      </c>
      <c r="M270">
        <v>0</v>
      </c>
      <c r="P270">
        <v>0</v>
      </c>
    </row>
    <row r="271" spans="1:16">
      <c r="A271" t="s">
        <v>609</v>
      </c>
      <c r="B271" t="s">
        <v>529</v>
      </c>
      <c r="C271">
        <v>0</v>
      </c>
      <c r="D271">
        <v>0</v>
      </c>
      <c r="E271">
        <v>0</v>
      </c>
      <c r="F271">
        <v>0</v>
      </c>
      <c r="G271">
        <v>0</v>
      </c>
      <c r="H271">
        <v>0</v>
      </c>
      <c r="I271">
        <v>0</v>
      </c>
      <c r="J271">
        <v>0</v>
      </c>
      <c r="K271">
        <v>0</v>
      </c>
      <c r="L271">
        <v>0</v>
      </c>
      <c r="M271">
        <v>0</v>
      </c>
      <c r="P271">
        <v>0</v>
      </c>
    </row>
    <row r="272" spans="1:16">
      <c r="A272" t="s">
        <v>610</v>
      </c>
      <c r="B272" t="s">
        <v>531</v>
      </c>
      <c r="C272">
        <v>0</v>
      </c>
      <c r="D272">
        <v>0</v>
      </c>
      <c r="E272">
        <v>0</v>
      </c>
      <c r="F272">
        <v>0</v>
      </c>
      <c r="G272">
        <v>0</v>
      </c>
      <c r="H272">
        <v>0</v>
      </c>
      <c r="I272">
        <v>0</v>
      </c>
      <c r="J272">
        <v>0</v>
      </c>
      <c r="K272">
        <v>0</v>
      </c>
      <c r="L272">
        <v>0</v>
      </c>
      <c r="M272">
        <v>0</v>
      </c>
      <c r="P272">
        <v>0</v>
      </c>
    </row>
    <row r="273" spans="1:16">
      <c r="A273" t="s">
        <v>611</v>
      </c>
      <c r="B273" t="s">
        <v>533</v>
      </c>
      <c r="C273">
        <v>0</v>
      </c>
      <c r="D273">
        <v>0</v>
      </c>
      <c r="E273">
        <v>0</v>
      </c>
      <c r="F273">
        <v>0</v>
      </c>
      <c r="G273">
        <v>0</v>
      </c>
      <c r="H273">
        <v>0</v>
      </c>
      <c r="I273">
        <v>0</v>
      </c>
      <c r="J273">
        <v>0</v>
      </c>
      <c r="K273">
        <v>0</v>
      </c>
      <c r="L273">
        <v>0</v>
      </c>
      <c r="M273">
        <v>0</v>
      </c>
      <c r="P273">
        <v>0</v>
      </c>
    </row>
    <row r="274" spans="1:16">
      <c r="A274" t="s">
        <v>612</v>
      </c>
      <c r="B274" t="s">
        <v>535</v>
      </c>
      <c r="C274">
        <v>0</v>
      </c>
      <c r="D274">
        <v>0</v>
      </c>
      <c r="E274">
        <v>0</v>
      </c>
      <c r="F274">
        <v>0</v>
      </c>
      <c r="G274">
        <v>0</v>
      </c>
      <c r="H274">
        <v>0</v>
      </c>
      <c r="I274">
        <v>0</v>
      </c>
      <c r="J274">
        <v>0</v>
      </c>
      <c r="K274">
        <v>0</v>
      </c>
      <c r="L274">
        <v>0</v>
      </c>
      <c r="M274">
        <v>0</v>
      </c>
      <c r="P274">
        <v>0</v>
      </c>
    </row>
    <row r="275" spans="1:16">
      <c r="A275" t="s">
        <v>613</v>
      </c>
      <c r="B275" t="s">
        <v>168</v>
      </c>
      <c r="C275">
        <v>0</v>
      </c>
      <c r="D275">
        <v>0</v>
      </c>
      <c r="E275">
        <v>0</v>
      </c>
      <c r="F275">
        <v>0</v>
      </c>
      <c r="G275">
        <v>0</v>
      </c>
      <c r="H275">
        <v>0</v>
      </c>
      <c r="I275">
        <v>0</v>
      </c>
      <c r="J275">
        <v>0</v>
      </c>
      <c r="K275">
        <v>0</v>
      </c>
      <c r="L275">
        <v>0</v>
      </c>
      <c r="M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D277">
        <v>0</v>
      </c>
      <c r="E277">
        <v>0</v>
      </c>
      <c r="F277">
        <v>0</v>
      </c>
      <c r="G277">
        <v>0</v>
      </c>
      <c r="H277">
        <v>0</v>
      </c>
      <c r="I277">
        <v>0</v>
      </c>
      <c r="J277">
        <v>0</v>
      </c>
      <c r="K277">
        <v>0</v>
      </c>
      <c r="L277">
        <v>0</v>
      </c>
      <c r="M277">
        <v>0</v>
      </c>
      <c r="P277">
        <v>0</v>
      </c>
    </row>
    <row r="278" spans="1:16">
      <c r="A278" t="s">
        <v>616</v>
      </c>
      <c r="B278" t="s">
        <v>542</v>
      </c>
      <c r="C278">
        <v>0</v>
      </c>
      <c r="D278">
        <v>0</v>
      </c>
      <c r="E278">
        <v>0</v>
      </c>
      <c r="F278">
        <v>0</v>
      </c>
      <c r="G278">
        <v>0</v>
      </c>
      <c r="H278">
        <v>0</v>
      </c>
      <c r="I278">
        <v>0</v>
      </c>
      <c r="J278">
        <v>0</v>
      </c>
      <c r="K278">
        <v>0</v>
      </c>
      <c r="L278">
        <v>0</v>
      </c>
      <c r="M278">
        <v>0</v>
      </c>
      <c r="P278">
        <v>0</v>
      </c>
    </row>
    <row r="279" spans="1:16">
      <c r="A279" t="s">
        <v>617</v>
      </c>
      <c r="B279" t="s">
        <v>544</v>
      </c>
      <c r="C279">
        <v>0</v>
      </c>
      <c r="D279">
        <v>0</v>
      </c>
      <c r="E279">
        <v>0</v>
      </c>
      <c r="F279">
        <v>0</v>
      </c>
      <c r="G279">
        <v>0</v>
      </c>
      <c r="H279">
        <v>0</v>
      </c>
      <c r="I279">
        <v>0</v>
      </c>
      <c r="J279">
        <v>0</v>
      </c>
      <c r="K279">
        <v>0</v>
      </c>
      <c r="L279">
        <v>0</v>
      </c>
      <c r="M279">
        <v>0</v>
      </c>
      <c r="P279">
        <v>0</v>
      </c>
    </row>
    <row r="280" spans="1:16">
      <c r="A280" t="s">
        <v>618</v>
      </c>
      <c r="B280" t="s">
        <v>546</v>
      </c>
      <c r="C280">
        <v>0</v>
      </c>
      <c r="D280">
        <v>0</v>
      </c>
      <c r="E280">
        <v>0</v>
      </c>
      <c r="F280">
        <v>0</v>
      </c>
      <c r="G280">
        <v>0</v>
      </c>
      <c r="H280">
        <v>0</v>
      </c>
      <c r="I280">
        <v>0</v>
      </c>
      <c r="J280">
        <v>0</v>
      </c>
      <c r="K280">
        <v>0</v>
      </c>
      <c r="L280">
        <v>0</v>
      </c>
      <c r="M280">
        <v>0</v>
      </c>
      <c r="P280">
        <v>0</v>
      </c>
    </row>
    <row r="281" spans="1:16">
      <c r="A281" t="s">
        <v>619</v>
      </c>
      <c r="B281" t="s">
        <v>548</v>
      </c>
      <c r="C281">
        <v>0</v>
      </c>
      <c r="D281">
        <v>0</v>
      </c>
      <c r="E281">
        <v>0</v>
      </c>
      <c r="F281">
        <v>0</v>
      </c>
      <c r="G281">
        <v>0</v>
      </c>
      <c r="H281">
        <v>0</v>
      </c>
      <c r="I281">
        <v>0</v>
      </c>
      <c r="J281">
        <v>0</v>
      </c>
      <c r="K281">
        <v>0</v>
      </c>
      <c r="L281">
        <v>0</v>
      </c>
      <c r="M281">
        <v>0</v>
      </c>
      <c r="P281">
        <v>0</v>
      </c>
    </row>
    <row r="282" spans="1:16">
      <c r="A282" t="s">
        <v>620</v>
      </c>
      <c r="B282" t="s">
        <v>550</v>
      </c>
      <c r="C282">
        <v>0</v>
      </c>
      <c r="D282">
        <v>0</v>
      </c>
      <c r="E282">
        <v>0</v>
      </c>
      <c r="F282">
        <v>0</v>
      </c>
      <c r="G282">
        <v>0</v>
      </c>
      <c r="H282">
        <v>0</v>
      </c>
      <c r="I282">
        <v>0</v>
      </c>
      <c r="J282">
        <v>0</v>
      </c>
      <c r="K282">
        <v>0</v>
      </c>
      <c r="L282">
        <v>0</v>
      </c>
      <c r="M282">
        <v>0</v>
      </c>
      <c r="P282">
        <v>0</v>
      </c>
    </row>
    <row r="283" spans="1:16">
      <c r="A283" t="s">
        <v>621</v>
      </c>
      <c r="B283" t="s">
        <v>552</v>
      </c>
      <c r="C283">
        <v>0</v>
      </c>
      <c r="D283">
        <v>0</v>
      </c>
      <c r="E283">
        <v>0</v>
      </c>
      <c r="F283">
        <v>0</v>
      </c>
      <c r="G283">
        <v>0</v>
      </c>
      <c r="H283">
        <v>0</v>
      </c>
      <c r="I283">
        <v>0</v>
      </c>
      <c r="J283">
        <v>0</v>
      </c>
      <c r="K283">
        <v>0</v>
      </c>
      <c r="L283">
        <v>0</v>
      </c>
      <c r="M283">
        <v>0</v>
      </c>
      <c r="P283">
        <v>0</v>
      </c>
    </row>
    <row r="284" spans="1:16">
      <c r="A284" t="s">
        <v>622</v>
      </c>
      <c r="B284" t="s">
        <v>554</v>
      </c>
      <c r="C284">
        <v>0</v>
      </c>
      <c r="D284">
        <v>0</v>
      </c>
      <c r="E284">
        <v>0</v>
      </c>
      <c r="F284">
        <v>0</v>
      </c>
      <c r="G284">
        <v>0</v>
      </c>
      <c r="H284">
        <v>0</v>
      </c>
      <c r="I284">
        <v>0</v>
      </c>
      <c r="J284">
        <v>0</v>
      </c>
      <c r="K284">
        <v>0</v>
      </c>
      <c r="L284">
        <v>0</v>
      </c>
      <c r="M284">
        <v>0</v>
      </c>
      <c r="P284">
        <v>0</v>
      </c>
    </row>
    <row r="285" spans="1:16">
      <c r="A285" t="s">
        <v>623</v>
      </c>
      <c r="B285" t="s">
        <v>624</v>
      </c>
      <c r="C285">
        <v>0</v>
      </c>
      <c r="D285">
        <v>0</v>
      </c>
      <c r="E285">
        <v>0</v>
      </c>
      <c r="F285">
        <v>0</v>
      </c>
      <c r="G285">
        <v>0</v>
      </c>
      <c r="H285">
        <v>0</v>
      </c>
      <c r="I285">
        <v>0</v>
      </c>
      <c r="J285">
        <v>0</v>
      </c>
      <c r="K285">
        <v>0</v>
      </c>
      <c r="L285">
        <v>0</v>
      </c>
      <c r="M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D288">
        <v>0</v>
      </c>
      <c r="E288">
        <v>0</v>
      </c>
      <c r="F288">
        <v>0</v>
      </c>
      <c r="G288">
        <v>0</v>
      </c>
      <c r="H288">
        <v>0</v>
      </c>
      <c r="I288">
        <v>0</v>
      </c>
      <c r="J288">
        <v>0</v>
      </c>
      <c r="K288">
        <v>0</v>
      </c>
      <c r="L288">
        <v>0</v>
      </c>
      <c r="M288">
        <v>0</v>
      </c>
      <c r="P288">
        <v>0</v>
      </c>
    </row>
    <row r="289" spans="1:16">
      <c r="A289" t="s">
        <v>628</v>
      </c>
      <c r="B289" t="s">
        <v>570</v>
      </c>
      <c r="C289">
        <v>0</v>
      </c>
      <c r="D289">
        <v>0</v>
      </c>
      <c r="E289">
        <v>0</v>
      </c>
      <c r="F289">
        <v>0</v>
      </c>
      <c r="G289">
        <v>0</v>
      </c>
      <c r="H289">
        <v>0</v>
      </c>
      <c r="I289">
        <v>0</v>
      </c>
      <c r="J289">
        <v>0</v>
      </c>
      <c r="K289">
        <v>0</v>
      </c>
      <c r="L289">
        <v>0</v>
      </c>
      <c r="M289">
        <v>0</v>
      </c>
      <c r="P289">
        <v>0</v>
      </c>
    </row>
    <row r="290" spans="1:16">
      <c r="A290" t="s">
        <v>629</v>
      </c>
      <c r="B290" t="s">
        <v>572</v>
      </c>
      <c r="C290">
        <v>0</v>
      </c>
      <c r="D290">
        <v>0</v>
      </c>
      <c r="E290">
        <v>0</v>
      </c>
      <c r="F290">
        <v>0</v>
      </c>
      <c r="G290">
        <v>0</v>
      </c>
      <c r="H290">
        <v>0</v>
      </c>
      <c r="I290">
        <v>0</v>
      </c>
      <c r="J290">
        <v>0</v>
      </c>
      <c r="K290">
        <v>0</v>
      </c>
      <c r="L290">
        <v>0</v>
      </c>
      <c r="M290">
        <v>0</v>
      </c>
      <c r="P290">
        <v>0</v>
      </c>
    </row>
    <row r="291" spans="1:16">
      <c r="A291" t="s">
        <v>630</v>
      </c>
      <c r="B291" t="s">
        <v>95</v>
      </c>
      <c r="C291">
        <v>0</v>
      </c>
      <c r="D291">
        <v>0</v>
      </c>
      <c r="E291">
        <v>0</v>
      </c>
      <c r="F291">
        <v>0</v>
      </c>
      <c r="G291">
        <v>0</v>
      </c>
      <c r="H291">
        <v>0</v>
      </c>
      <c r="I291">
        <v>0</v>
      </c>
      <c r="J291">
        <v>0</v>
      </c>
      <c r="K291">
        <v>0</v>
      </c>
      <c r="L291">
        <v>0</v>
      </c>
      <c r="M291">
        <v>0</v>
      </c>
      <c r="P291">
        <v>0</v>
      </c>
    </row>
    <row r="292" spans="1:16">
      <c r="A292" t="s">
        <v>631</v>
      </c>
      <c r="B292" t="s">
        <v>576</v>
      </c>
      <c r="C292">
        <v>0</v>
      </c>
      <c r="D292">
        <v>0</v>
      </c>
      <c r="E292">
        <v>0</v>
      </c>
      <c r="F292">
        <v>0</v>
      </c>
      <c r="G292">
        <v>0</v>
      </c>
      <c r="H292">
        <v>0</v>
      </c>
      <c r="I292">
        <v>0</v>
      </c>
      <c r="J292">
        <v>0</v>
      </c>
      <c r="K292">
        <v>0</v>
      </c>
      <c r="L292">
        <v>0</v>
      </c>
      <c r="M292">
        <v>0</v>
      </c>
      <c r="P292">
        <v>0</v>
      </c>
    </row>
    <row r="293" spans="1:16">
      <c r="A293" t="s">
        <v>632</v>
      </c>
      <c r="B293" t="s">
        <v>633</v>
      </c>
      <c r="C293">
        <v>0</v>
      </c>
      <c r="D293">
        <v>0</v>
      </c>
      <c r="E293">
        <v>0</v>
      </c>
      <c r="F293">
        <v>0</v>
      </c>
      <c r="G293">
        <v>0</v>
      </c>
      <c r="H293">
        <v>0</v>
      </c>
      <c r="I293">
        <v>0</v>
      </c>
      <c r="J293">
        <v>0</v>
      </c>
      <c r="K293">
        <v>0</v>
      </c>
      <c r="L293">
        <v>0</v>
      </c>
      <c r="M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D295">
        <v>0</v>
      </c>
      <c r="E295">
        <v>0</v>
      </c>
      <c r="F295">
        <v>0</v>
      </c>
      <c r="G295">
        <v>0</v>
      </c>
      <c r="H295">
        <v>0</v>
      </c>
      <c r="I295">
        <v>0</v>
      </c>
      <c r="J295">
        <v>0</v>
      </c>
      <c r="K295">
        <v>0</v>
      </c>
      <c r="L295">
        <v>0</v>
      </c>
      <c r="M295">
        <v>0</v>
      </c>
      <c r="P295">
        <v>0</v>
      </c>
    </row>
    <row r="296" spans="1:16">
      <c r="A296" t="s">
        <v>636</v>
      </c>
      <c r="B296" t="s">
        <v>582</v>
      </c>
      <c r="C296">
        <v>0</v>
      </c>
      <c r="D296">
        <v>0</v>
      </c>
      <c r="E296">
        <v>0</v>
      </c>
      <c r="F296">
        <v>0</v>
      </c>
      <c r="G296">
        <v>0</v>
      </c>
      <c r="H296">
        <v>0</v>
      </c>
      <c r="I296">
        <v>0</v>
      </c>
      <c r="J296">
        <v>0</v>
      </c>
      <c r="K296">
        <v>0</v>
      </c>
      <c r="L296">
        <v>0</v>
      </c>
      <c r="M296">
        <v>0</v>
      </c>
      <c r="P296">
        <v>0</v>
      </c>
    </row>
    <row r="297" spans="1:16">
      <c r="A297" t="s">
        <v>637</v>
      </c>
      <c r="B297" t="s">
        <v>584</v>
      </c>
      <c r="C297">
        <v>0</v>
      </c>
      <c r="D297">
        <v>0</v>
      </c>
      <c r="E297">
        <v>0</v>
      </c>
      <c r="F297">
        <v>0</v>
      </c>
      <c r="G297">
        <v>0</v>
      </c>
      <c r="H297">
        <v>0</v>
      </c>
      <c r="I297">
        <v>0</v>
      </c>
      <c r="J297">
        <v>0</v>
      </c>
      <c r="K297">
        <v>0</v>
      </c>
      <c r="L297">
        <v>0</v>
      </c>
      <c r="M297">
        <v>0</v>
      </c>
      <c r="P297">
        <v>0</v>
      </c>
    </row>
    <row r="298" spans="1:16">
      <c r="A298" t="s">
        <v>638</v>
      </c>
      <c r="B298" t="s">
        <v>586</v>
      </c>
      <c r="C298">
        <v>0</v>
      </c>
      <c r="D298">
        <v>0</v>
      </c>
      <c r="E298">
        <v>0</v>
      </c>
      <c r="F298">
        <v>0</v>
      </c>
      <c r="G298">
        <v>0</v>
      </c>
      <c r="H298">
        <v>0</v>
      </c>
      <c r="I298">
        <v>0</v>
      </c>
      <c r="J298">
        <v>0</v>
      </c>
      <c r="K298">
        <v>0</v>
      </c>
      <c r="L298">
        <v>0</v>
      </c>
      <c r="M298">
        <v>0</v>
      </c>
      <c r="P298">
        <v>0</v>
      </c>
    </row>
    <row r="299" spans="1:16">
      <c r="A299" t="s">
        <v>639</v>
      </c>
      <c r="B299" t="s">
        <v>588</v>
      </c>
      <c r="C299">
        <v>0</v>
      </c>
      <c r="D299">
        <v>0</v>
      </c>
      <c r="E299">
        <v>0</v>
      </c>
      <c r="F299">
        <v>0</v>
      </c>
      <c r="G299">
        <v>0</v>
      </c>
      <c r="H299">
        <v>0</v>
      </c>
      <c r="I299">
        <v>0</v>
      </c>
      <c r="J299">
        <v>0</v>
      </c>
      <c r="K299">
        <v>0</v>
      </c>
      <c r="L299">
        <v>0</v>
      </c>
      <c r="M299">
        <v>0</v>
      </c>
      <c r="P299">
        <v>0</v>
      </c>
    </row>
    <row r="300" spans="1:16">
      <c r="A300" t="s">
        <v>640</v>
      </c>
      <c r="B300" t="s">
        <v>590</v>
      </c>
      <c r="C300">
        <v>0</v>
      </c>
      <c r="D300">
        <v>0</v>
      </c>
      <c r="E300">
        <v>0</v>
      </c>
      <c r="F300">
        <v>0</v>
      </c>
      <c r="G300">
        <v>0</v>
      </c>
      <c r="H300">
        <v>0</v>
      </c>
      <c r="I300">
        <v>0</v>
      </c>
      <c r="J300">
        <v>0</v>
      </c>
      <c r="K300">
        <v>0</v>
      </c>
      <c r="L300">
        <v>0</v>
      </c>
      <c r="M300">
        <v>0</v>
      </c>
      <c r="P300">
        <v>0</v>
      </c>
    </row>
    <row r="301" spans="1:16">
      <c r="A301" t="s">
        <v>641</v>
      </c>
      <c r="B301" t="s">
        <v>592</v>
      </c>
      <c r="C301">
        <v>0</v>
      </c>
      <c r="D301">
        <v>0</v>
      </c>
      <c r="E301">
        <v>0</v>
      </c>
      <c r="F301">
        <v>0</v>
      </c>
      <c r="G301">
        <v>0</v>
      </c>
      <c r="H301">
        <v>0</v>
      </c>
      <c r="I301">
        <v>0</v>
      </c>
      <c r="J301">
        <v>0</v>
      </c>
      <c r="K301">
        <v>0</v>
      </c>
      <c r="L301">
        <v>0</v>
      </c>
      <c r="M301">
        <v>0</v>
      </c>
      <c r="P301">
        <v>0</v>
      </c>
    </row>
    <row r="302" spans="1:16">
      <c r="A302" t="s">
        <v>642</v>
      </c>
      <c r="B302" t="s">
        <v>129</v>
      </c>
      <c r="C302">
        <v>0</v>
      </c>
      <c r="D302">
        <v>0</v>
      </c>
      <c r="E302">
        <v>0</v>
      </c>
      <c r="F302">
        <v>0</v>
      </c>
      <c r="G302">
        <v>0</v>
      </c>
      <c r="H302">
        <v>0</v>
      </c>
      <c r="I302">
        <v>0</v>
      </c>
      <c r="J302">
        <v>0</v>
      </c>
      <c r="K302">
        <v>0</v>
      </c>
      <c r="L302">
        <v>0</v>
      </c>
      <c r="M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D304">
        <v>0</v>
      </c>
      <c r="E304">
        <v>0</v>
      </c>
      <c r="F304">
        <v>0</v>
      </c>
      <c r="G304">
        <v>0</v>
      </c>
      <c r="H304">
        <v>0</v>
      </c>
      <c r="I304">
        <v>0</v>
      </c>
      <c r="J304">
        <v>0</v>
      </c>
      <c r="K304">
        <v>0</v>
      </c>
      <c r="L304">
        <v>0</v>
      </c>
      <c r="M304">
        <v>0</v>
      </c>
      <c r="P304">
        <v>0</v>
      </c>
    </row>
    <row r="305" spans="1:16">
      <c r="A305" t="s">
        <v>645</v>
      </c>
      <c r="B305" t="s">
        <v>511</v>
      </c>
      <c r="C305">
        <v>0</v>
      </c>
      <c r="D305">
        <v>0</v>
      </c>
      <c r="E305">
        <v>0</v>
      </c>
      <c r="F305">
        <v>0</v>
      </c>
      <c r="G305">
        <v>0</v>
      </c>
      <c r="H305">
        <v>0</v>
      </c>
      <c r="I305">
        <v>0</v>
      </c>
      <c r="J305">
        <v>0</v>
      </c>
      <c r="K305">
        <v>0</v>
      </c>
      <c r="L305">
        <v>0</v>
      </c>
      <c r="M305">
        <v>0</v>
      </c>
      <c r="P305">
        <v>0</v>
      </c>
    </row>
    <row r="306" spans="1:16">
      <c r="A306" t="s">
        <v>646</v>
      </c>
      <c r="B306" t="s">
        <v>513</v>
      </c>
      <c r="C306">
        <v>0</v>
      </c>
      <c r="D306">
        <v>0</v>
      </c>
      <c r="E306">
        <v>0</v>
      </c>
      <c r="F306">
        <v>0</v>
      </c>
      <c r="G306">
        <v>0</v>
      </c>
      <c r="H306">
        <v>0</v>
      </c>
      <c r="I306">
        <v>0</v>
      </c>
      <c r="J306">
        <v>0</v>
      </c>
      <c r="K306">
        <v>0</v>
      </c>
      <c r="L306">
        <v>0</v>
      </c>
      <c r="M306">
        <v>0</v>
      </c>
      <c r="P306">
        <v>0</v>
      </c>
    </row>
    <row r="307" spans="1:16">
      <c r="A307" t="s">
        <v>647</v>
      </c>
      <c r="B307" t="s">
        <v>148</v>
      </c>
      <c r="C307">
        <v>0</v>
      </c>
      <c r="D307">
        <v>0</v>
      </c>
      <c r="E307">
        <v>0</v>
      </c>
      <c r="F307">
        <v>0</v>
      </c>
      <c r="G307">
        <v>0</v>
      </c>
      <c r="H307">
        <v>0</v>
      </c>
      <c r="I307">
        <v>0</v>
      </c>
      <c r="J307">
        <v>0</v>
      </c>
      <c r="K307">
        <v>0</v>
      </c>
      <c r="L307">
        <v>0</v>
      </c>
      <c r="M307">
        <v>0</v>
      </c>
      <c r="P307">
        <v>0</v>
      </c>
    </row>
    <row r="308" spans="1:16">
      <c r="A308" t="s">
        <v>648</v>
      </c>
      <c r="B308" t="s">
        <v>516</v>
      </c>
      <c r="C308">
        <v>0</v>
      </c>
      <c r="D308">
        <v>0</v>
      </c>
      <c r="E308">
        <v>0</v>
      </c>
      <c r="F308">
        <v>0</v>
      </c>
      <c r="G308">
        <v>0</v>
      </c>
      <c r="H308">
        <v>0</v>
      </c>
      <c r="I308">
        <v>0</v>
      </c>
      <c r="J308">
        <v>0</v>
      </c>
      <c r="K308">
        <v>0</v>
      </c>
      <c r="L308">
        <v>0</v>
      </c>
      <c r="M308">
        <v>0</v>
      </c>
      <c r="P308">
        <v>0</v>
      </c>
    </row>
    <row r="309" spans="1:16">
      <c r="A309" t="s">
        <v>649</v>
      </c>
      <c r="B309" t="s">
        <v>518</v>
      </c>
      <c r="C309">
        <v>0</v>
      </c>
      <c r="D309">
        <v>0</v>
      </c>
      <c r="E309">
        <v>0</v>
      </c>
      <c r="F309">
        <v>0</v>
      </c>
      <c r="G309">
        <v>0</v>
      </c>
      <c r="H309">
        <v>0</v>
      </c>
      <c r="I309">
        <v>0</v>
      </c>
      <c r="J309">
        <v>0</v>
      </c>
      <c r="K309">
        <v>0</v>
      </c>
      <c r="L309">
        <v>0</v>
      </c>
      <c r="M309">
        <v>0</v>
      </c>
      <c r="P309">
        <v>0</v>
      </c>
    </row>
    <row r="310" spans="1:16">
      <c r="A310" t="s">
        <v>650</v>
      </c>
      <c r="B310" t="s">
        <v>520</v>
      </c>
      <c r="C310">
        <v>0</v>
      </c>
      <c r="D310">
        <v>0</v>
      </c>
      <c r="E310">
        <v>0</v>
      </c>
      <c r="F310">
        <v>0</v>
      </c>
      <c r="G310">
        <v>0</v>
      </c>
      <c r="H310">
        <v>0</v>
      </c>
      <c r="I310">
        <v>0</v>
      </c>
      <c r="J310">
        <v>0</v>
      </c>
      <c r="K310">
        <v>0</v>
      </c>
      <c r="L310">
        <v>0</v>
      </c>
      <c r="M310">
        <v>0</v>
      </c>
      <c r="P310">
        <v>0</v>
      </c>
    </row>
    <row r="311" spans="1:16">
      <c r="A311" t="s">
        <v>651</v>
      </c>
      <c r="B311" t="s">
        <v>522</v>
      </c>
      <c r="C311">
        <v>0</v>
      </c>
      <c r="D311">
        <v>0</v>
      </c>
      <c r="E311">
        <v>0</v>
      </c>
      <c r="F311">
        <v>0</v>
      </c>
      <c r="G311">
        <v>0</v>
      </c>
      <c r="H311">
        <v>0</v>
      </c>
      <c r="I311">
        <v>0</v>
      </c>
      <c r="J311">
        <v>0</v>
      </c>
      <c r="K311">
        <v>0</v>
      </c>
      <c r="L311">
        <v>0</v>
      </c>
      <c r="M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D313">
        <v>0</v>
      </c>
      <c r="E313">
        <v>0</v>
      </c>
      <c r="F313">
        <v>0</v>
      </c>
      <c r="G313">
        <v>0</v>
      </c>
      <c r="H313">
        <v>0</v>
      </c>
      <c r="I313">
        <v>0</v>
      </c>
      <c r="J313">
        <v>0</v>
      </c>
      <c r="K313">
        <v>0</v>
      </c>
      <c r="L313">
        <v>0</v>
      </c>
      <c r="M313">
        <v>0</v>
      </c>
      <c r="P313">
        <v>0</v>
      </c>
    </row>
    <row r="314" spans="1:16">
      <c r="A314" t="s">
        <v>654</v>
      </c>
      <c r="B314" t="s">
        <v>526</v>
      </c>
      <c r="C314">
        <v>0</v>
      </c>
      <c r="D314">
        <v>0</v>
      </c>
      <c r="E314">
        <v>0</v>
      </c>
      <c r="F314">
        <v>0</v>
      </c>
      <c r="G314">
        <v>0</v>
      </c>
      <c r="H314">
        <v>0</v>
      </c>
      <c r="I314">
        <v>0</v>
      </c>
      <c r="J314">
        <v>0</v>
      </c>
      <c r="K314">
        <v>0</v>
      </c>
      <c r="L314">
        <v>0</v>
      </c>
      <c r="M314">
        <v>0</v>
      </c>
      <c r="P314">
        <v>0</v>
      </c>
    </row>
    <row r="315" spans="1:16">
      <c r="A315" t="s">
        <v>655</v>
      </c>
      <c r="B315" t="s">
        <v>158</v>
      </c>
      <c r="C315">
        <v>0</v>
      </c>
      <c r="D315">
        <v>0</v>
      </c>
      <c r="E315">
        <v>0</v>
      </c>
      <c r="F315">
        <v>0</v>
      </c>
      <c r="G315">
        <v>0</v>
      </c>
      <c r="H315">
        <v>0</v>
      </c>
      <c r="I315">
        <v>0</v>
      </c>
      <c r="J315">
        <v>0</v>
      </c>
      <c r="K315">
        <v>0</v>
      </c>
      <c r="L315">
        <v>0</v>
      </c>
      <c r="M315">
        <v>0</v>
      </c>
      <c r="P315">
        <v>0</v>
      </c>
    </row>
    <row r="316" spans="1:16">
      <c r="A316" t="s">
        <v>656</v>
      </c>
      <c r="B316" t="s">
        <v>529</v>
      </c>
      <c r="C316">
        <v>0</v>
      </c>
      <c r="D316">
        <v>0</v>
      </c>
      <c r="E316">
        <v>0</v>
      </c>
      <c r="F316">
        <v>0</v>
      </c>
      <c r="G316">
        <v>0</v>
      </c>
      <c r="H316">
        <v>0</v>
      </c>
      <c r="I316">
        <v>0</v>
      </c>
      <c r="J316">
        <v>0</v>
      </c>
      <c r="K316">
        <v>0</v>
      </c>
      <c r="L316">
        <v>0</v>
      </c>
      <c r="M316">
        <v>0</v>
      </c>
      <c r="P316">
        <v>0</v>
      </c>
    </row>
    <row r="317" spans="1:16">
      <c r="A317" t="s">
        <v>657</v>
      </c>
      <c r="B317" t="s">
        <v>531</v>
      </c>
      <c r="C317">
        <v>0</v>
      </c>
      <c r="D317">
        <v>0</v>
      </c>
      <c r="E317">
        <v>0</v>
      </c>
      <c r="F317">
        <v>0</v>
      </c>
      <c r="G317">
        <v>0</v>
      </c>
      <c r="H317">
        <v>0</v>
      </c>
      <c r="I317">
        <v>0</v>
      </c>
      <c r="J317">
        <v>0</v>
      </c>
      <c r="K317">
        <v>0</v>
      </c>
      <c r="L317">
        <v>0</v>
      </c>
      <c r="M317">
        <v>0</v>
      </c>
      <c r="P317">
        <v>0</v>
      </c>
    </row>
    <row r="318" spans="1:16">
      <c r="A318" t="s">
        <v>658</v>
      </c>
      <c r="B318" t="s">
        <v>164</v>
      </c>
      <c r="C318">
        <v>0</v>
      </c>
      <c r="D318">
        <v>0</v>
      </c>
      <c r="E318">
        <v>0</v>
      </c>
      <c r="F318">
        <v>0</v>
      </c>
      <c r="G318">
        <v>0</v>
      </c>
      <c r="H318">
        <v>0</v>
      </c>
      <c r="I318">
        <v>0</v>
      </c>
      <c r="J318">
        <v>0</v>
      </c>
      <c r="K318">
        <v>0</v>
      </c>
      <c r="L318">
        <v>0</v>
      </c>
      <c r="M318">
        <v>0</v>
      </c>
      <c r="P318">
        <v>0</v>
      </c>
    </row>
    <row r="319" spans="1:16">
      <c r="A319" t="s">
        <v>659</v>
      </c>
      <c r="B319" t="s">
        <v>535</v>
      </c>
      <c r="C319">
        <v>0</v>
      </c>
      <c r="D319">
        <v>0</v>
      </c>
      <c r="E319">
        <v>0</v>
      </c>
      <c r="F319">
        <v>0</v>
      </c>
      <c r="G319">
        <v>0</v>
      </c>
      <c r="H319">
        <v>0</v>
      </c>
      <c r="I319">
        <v>0</v>
      </c>
      <c r="J319">
        <v>0</v>
      </c>
      <c r="K319">
        <v>0</v>
      </c>
      <c r="L319">
        <v>0</v>
      </c>
      <c r="M319">
        <v>0</v>
      </c>
      <c r="P319">
        <v>0</v>
      </c>
    </row>
    <row r="320" spans="1:16">
      <c r="A320" t="s">
        <v>660</v>
      </c>
      <c r="B320" t="s">
        <v>537</v>
      </c>
      <c r="C320">
        <v>0</v>
      </c>
      <c r="D320">
        <v>0</v>
      </c>
      <c r="E320">
        <v>0</v>
      </c>
      <c r="F320">
        <v>0</v>
      </c>
      <c r="G320">
        <v>0</v>
      </c>
      <c r="H320">
        <v>0</v>
      </c>
      <c r="I320">
        <v>0</v>
      </c>
      <c r="J320">
        <v>0</v>
      </c>
      <c r="K320">
        <v>0</v>
      </c>
      <c r="L320">
        <v>0</v>
      </c>
      <c r="M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D322">
        <v>0</v>
      </c>
      <c r="E322">
        <v>0</v>
      </c>
      <c r="F322">
        <v>0</v>
      </c>
      <c r="G322">
        <v>0</v>
      </c>
      <c r="H322">
        <v>0</v>
      </c>
      <c r="I322">
        <v>0</v>
      </c>
      <c r="J322">
        <v>0</v>
      </c>
      <c r="K322">
        <v>0</v>
      </c>
      <c r="L322">
        <v>0</v>
      </c>
      <c r="M322">
        <v>0</v>
      </c>
      <c r="P322">
        <v>0</v>
      </c>
    </row>
    <row r="323" spans="1:16">
      <c r="A323" t="s">
        <v>663</v>
      </c>
      <c r="B323" t="s">
        <v>542</v>
      </c>
      <c r="C323">
        <v>0</v>
      </c>
      <c r="D323">
        <v>0</v>
      </c>
      <c r="E323">
        <v>0</v>
      </c>
      <c r="F323">
        <v>0</v>
      </c>
      <c r="G323">
        <v>0</v>
      </c>
      <c r="H323">
        <v>0</v>
      </c>
      <c r="I323">
        <v>0</v>
      </c>
      <c r="J323">
        <v>0</v>
      </c>
      <c r="K323">
        <v>0</v>
      </c>
      <c r="L323">
        <v>0</v>
      </c>
      <c r="M323">
        <v>0</v>
      </c>
      <c r="P323">
        <v>0</v>
      </c>
    </row>
    <row r="324" spans="1:16">
      <c r="A324" t="s">
        <v>664</v>
      </c>
      <c r="B324" t="s">
        <v>544</v>
      </c>
      <c r="C324">
        <v>0</v>
      </c>
      <c r="D324">
        <v>0</v>
      </c>
      <c r="E324">
        <v>0</v>
      </c>
      <c r="F324">
        <v>0</v>
      </c>
      <c r="G324">
        <v>0</v>
      </c>
      <c r="H324">
        <v>0</v>
      </c>
      <c r="I324">
        <v>0</v>
      </c>
      <c r="J324">
        <v>0</v>
      </c>
      <c r="K324">
        <v>0</v>
      </c>
      <c r="L324">
        <v>0</v>
      </c>
      <c r="M324">
        <v>0</v>
      </c>
      <c r="P324">
        <v>0</v>
      </c>
    </row>
    <row r="325" spans="1:16">
      <c r="A325" t="s">
        <v>665</v>
      </c>
      <c r="B325" t="s">
        <v>546</v>
      </c>
      <c r="C325">
        <v>0</v>
      </c>
      <c r="D325">
        <v>0</v>
      </c>
      <c r="E325">
        <v>0</v>
      </c>
      <c r="F325">
        <v>0</v>
      </c>
      <c r="G325">
        <v>0</v>
      </c>
      <c r="H325">
        <v>0</v>
      </c>
      <c r="I325">
        <v>0</v>
      </c>
      <c r="J325">
        <v>0</v>
      </c>
      <c r="K325">
        <v>0</v>
      </c>
      <c r="L325">
        <v>0</v>
      </c>
      <c r="M325">
        <v>0</v>
      </c>
      <c r="P325">
        <v>0</v>
      </c>
    </row>
    <row r="326" spans="1:16">
      <c r="A326" t="s">
        <v>666</v>
      </c>
      <c r="B326" t="s">
        <v>548</v>
      </c>
      <c r="C326">
        <v>0</v>
      </c>
      <c r="D326">
        <v>0</v>
      </c>
      <c r="E326">
        <v>0</v>
      </c>
      <c r="F326">
        <v>0</v>
      </c>
      <c r="G326">
        <v>0</v>
      </c>
      <c r="H326">
        <v>0</v>
      </c>
      <c r="I326">
        <v>0</v>
      </c>
      <c r="J326">
        <v>0</v>
      </c>
      <c r="K326">
        <v>0</v>
      </c>
      <c r="L326">
        <v>0</v>
      </c>
      <c r="M326">
        <v>0</v>
      </c>
      <c r="P326">
        <v>0</v>
      </c>
    </row>
    <row r="327" spans="1:16">
      <c r="A327" t="s">
        <v>667</v>
      </c>
      <c r="B327" t="s">
        <v>550</v>
      </c>
      <c r="C327">
        <v>0</v>
      </c>
      <c r="D327">
        <v>0</v>
      </c>
      <c r="E327">
        <v>0</v>
      </c>
      <c r="F327">
        <v>0</v>
      </c>
      <c r="G327">
        <v>0</v>
      </c>
      <c r="H327">
        <v>0</v>
      </c>
      <c r="I327">
        <v>0</v>
      </c>
      <c r="J327">
        <v>0</v>
      </c>
      <c r="K327">
        <v>0</v>
      </c>
      <c r="L327">
        <v>0</v>
      </c>
      <c r="M327">
        <v>0</v>
      </c>
      <c r="P327">
        <v>0</v>
      </c>
    </row>
    <row r="328" spans="1:16">
      <c r="A328" t="s">
        <v>668</v>
      </c>
      <c r="B328" t="s">
        <v>552</v>
      </c>
      <c r="C328">
        <v>0</v>
      </c>
      <c r="D328">
        <v>0</v>
      </c>
      <c r="E328">
        <v>0</v>
      </c>
      <c r="F328">
        <v>0</v>
      </c>
      <c r="G328">
        <v>0</v>
      </c>
      <c r="H328">
        <v>0</v>
      </c>
      <c r="I328">
        <v>0</v>
      </c>
      <c r="J328">
        <v>0</v>
      </c>
      <c r="K328">
        <v>0</v>
      </c>
      <c r="L328">
        <v>0</v>
      </c>
      <c r="M328">
        <v>0</v>
      </c>
      <c r="P328">
        <v>0</v>
      </c>
    </row>
    <row r="329" spans="1:16">
      <c r="A329" t="s">
        <v>669</v>
      </c>
      <c r="B329" t="s">
        <v>554</v>
      </c>
      <c r="C329">
        <v>0</v>
      </c>
      <c r="D329">
        <v>0</v>
      </c>
      <c r="E329">
        <v>0</v>
      </c>
      <c r="F329">
        <v>0</v>
      </c>
      <c r="G329">
        <v>0</v>
      </c>
      <c r="H329">
        <v>0</v>
      </c>
      <c r="I329">
        <v>0</v>
      </c>
      <c r="J329">
        <v>0</v>
      </c>
      <c r="K329">
        <v>0</v>
      </c>
      <c r="L329">
        <v>0</v>
      </c>
      <c r="M329">
        <v>0</v>
      </c>
      <c r="P329">
        <v>0</v>
      </c>
    </row>
    <row r="330" spans="1:16">
      <c r="A330" t="s">
        <v>670</v>
      </c>
      <c r="B330" t="s">
        <v>671</v>
      </c>
      <c r="C330">
        <v>0</v>
      </c>
      <c r="D330">
        <v>0</v>
      </c>
      <c r="E330">
        <v>0</v>
      </c>
      <c r="F330">
        <v>0</v>
      </c>
      <c r="G330">
        <v>0</v>
      </c>
      <c r="H330">
        <v>0</v>
      </c>
      <c r="I330">
        <v>0</v>
      </c>
      <c r="J330">
        <v>0</v>
      </c>
      <c r="K330">
        <v>0</v>
      </c>
      <c r="L330">
        <v>0</v>
      </c>
      <c r="M330">
        <v>0</v>
      </c>
      <c r="P330">
        <v>0</v>
      </c>
    </row>
    <row r="331" spans="1:16">
      <c r="A331">
        <v>6402</v>
      </c>
      <c r="B331" t="s">
        <v>672</v>
      </c>
      <c r="C331">
        <v>0</v>
      </c>
      <c r="D331">
        <v>0</v>
      </c>
      <c r="E331">
        <v>0</v>
      </c>
      <c r="F331">
        <v>0</v>
      </c>
      <c r="G331">
        <v>0</v>
      </c>
      <c r="H331">
        <v>0</v>
      </c>
      <c r="I331">
        <v>0</v>
      </c>
      <c r="J331">
        <v>0</v>
      </c>
      <c r="K331">
        <v>0</v>
      </c>
      <c r="L331">
        <v>0</v>
      </c>
      <c r="M331">
        <v>0</v>
      </c>
      <c r="P331">
        <v>0</v>
      </c>
    </row>
    <row r="332" spans="1:28">
      <c r="A332">
        <v>6403</v>
      </c>
      <c r="B332" t="s">
        <v>673</v>
      </c>
      <c r="C332">
        <v>18079.9116386287</v>
      </c>
      <c r="D332">
        <v>0</v>
      </c>
      <c r="E332">
        <v>0</v>
      </c>
      <c r="F332">
        <v>274.96</v>
      </c>
      <c r="G332">
        <v>1736.39423656409</v>
      </c>
      <c r="H332">
        <v>7338.14513781305</v>
      </c>
      <c r="I332">
        <v>1641.21376723709</v>
      </c>
      <c r="J332">
        <v>1975.44973358238</v>
      </c>
      <c r="K332">
        <v>1657.51568793507</v>
      </c>
      <c r="L332">
        <v>1696.7285296087</v>
      </c>
      <c r="M332">
        <v>1759.5045458883</v>
      </c>
      <c r="N332">
        <v>0</v>
      </c>
      <c r="O332">
        <v>0</v>
      </c>
      <c r="P332">
        <v>21578.7076840875</v>
      </c>
      <c r="Q332">
        <v>1777.47165803974</v>
      </c>
      <c r="R332">
        <v>1800.11236600434</v>
      </c>
      <c r="S332">
        <v>1800.11236600434</v>
      </c>
      <c r="T332">
        <v>1800.11236600434</v>
      </c>
      <c r="U332">
        <v>1800.11236600434</v>
      </c>
      <c r="V332">
        <v>1800.11236600434</v>
      </c>
      <c r="W332">
        <v>1800.11236600434</v>
      </c>
      <c r="X332">
        <v>1800.11236600434</v>
      </c>
      <c r="Y332">
        <v>1800.11236600434</v>
      </c>
      <c r="Z332">
        <v>1800.11236600434</v>
      </c>
      <c r="AA332">
        <v>1800.11236600434</v>
      </c>
      <c r="AB332">
        <v>1800.11236600434</v>
      </c>
    </row>
    <row r="333" spans="1:28">
      <c r="A333">
        <v>6404</v>
      </c>
      <c r="B333" t="s">
        <v>674</v>
      </c>
      <c r="C333">
        <v>445935.028361371</v>
      </c>
      <c r="D333">
        <v>0</v>
      </c>
      <c r="E333">
        <v>0</v>
      </c>
      <c r="F333">
        <v>-72551.47</v>
      </c>
      <c r="G333">
        <v>-44611.1342365641</v>
      </c>
      <c r="H333">
        <v>400424.654862187</v>
      </c>
      <c r="I333">
        <v>4156.30623276293</v>
      </c>
      <c r="J333">
        <v>27345.4702664176</v>
      </c>
      <c r="K333">
        <v>9446.75431206492</v>
      </c>
      <c r="L333">
        <v>34995.0114703913</v>
      </c>
      <c r="M333">
        <v>41371.8754541117</v>
      </c>
      <c r="N333">
        <v>46800.2</v>
      </c>
      <c r="O333">
        <v>-1442.63999999998</v>
      </c>
      <c r="P333">
        <v>425198.72828185</v>
      </c>
      <c r="Q333">
        <v>-13617.7354750376</v>
      </c>
      <c r="R333">
        <v>41246.9512506262</v>
      </c>
      <c r="S333">
        <v>38396.9512506262</v>
      </c>
      <c r="T333">
        <v>41246.9512506262</v>
      </c>
      <c r="U333">
        <v>34896.9512506262</v>
      </c>
      <c r="V333">
        <v>41846.9512506262</v>
      </c>
      <c r="W333">
        <v>42546.9512506262</v>
      </c>
      <c r="X333">
        <v>38396.9512506262</v>
      </c>
      <c r="Y333">
        <v>36746.9512506262</v>
      </c>
      <c r="Z333">
        <v>38396.9512506262</v>
      </c>
      <c r="AA333">
        <v>42546.9512506262</v>
      </c>
      <c r="AB333">
        <v>42546.9512506262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P337">
        <v>0</v>
      </c>
    </row>
    <row r="338" spans="1:16">
      <c r="A338">
        <v>6603.02</v>
      </c>
      <c r="B338" t="s">
        <v>679</v>
      </c>
      <c r="C338">
        <v>0</v>
      </c>
      <c r="D338">
        <v>0</v>
      </c>
      <c r="E338">
        <v>0</v>
      </c>
      <c r="F338">
        <v>0</v>
      </c>
      <c r="G338">
        <v>0</v>
      </c>
      <c r="H338">
        <v>0</v>
      </c>
      <c r="I338">
        <v>0</v>
      </c>
      <c r="J338">
        <v>0</v>
      </c>
      <c r="K338">
        <v>0</v>
      </c>
      <c r="L338">
        <v>0</v>
      </c>
      <c r="M338">
        <v>0</v>
      </c>
      <c r="P338">
        <v>0</v>
      </c>
    </row>
    <row r="339" spans="1:16">
      <c r="A339">
        <v>6603.99</v>
      </c>
      <c r="B339" t="s">
        <v>680</v>
      </c>
      <c r="C339">
        <v>0</v>
      </c>
      <c r="D339">
        <v>0</v>
      </c>
      <c r="E339">
        <v>0</v>
      </c>
      <c r="F339">
        <v>0</v>
      </c>
      <c r="G339">
        <v>0</v>
      </c>
      <c r="H339">
        <v>0</v>
      </c>
      <c r="I339">
        <v>0</v>
      </c>
      <c r="J339">
        <v>0</v>
      </c>
      <c r="K339">
        <v>0</v>
      </c>
      <c r="L339">
        <v>0</v>
      </c>
      <c r="M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D341">
        <v>0</v>
      </c>
      <c r="E341">
        <v>0</v>
      </c>
      <c r="F341">
        <v>0</v>
      </c>
      <c r="G341">
        <v>0</v>
      </c>
      <c r="H341">
        <v>0</v>
      </c>
      <c r="I341">
        <v>0</v>
      </c>
      <c r="J341">
        <v>0</v>
      </c>
      <c r="K341">
        <v>0</v>
      </c>
      <c r="L341">
        <v>0</v>
      </c>
      <c r="M341">
        <v>0</v>
      </c>
      <c r="P341">
        <v>0</v>
      </c>
    </row>
    <row r="342" spans="1:16">
      <c r="A342">
        <v>6604.02</v>
      </c>
      <c r="B342" t="s">
        <v>683</v>
      </c>
      <c r="C342">
        <v>0</v>
      </c>
      <c r="D342">
        <v>0</v>
      </c>
      <c r="E342">
        <v>0</v>
      </c>
      <c r="F342">
        <v>0</v>
      </c>
      <c r="G342">
        <v>0</v>
      </c>
      <c r="H342">
        <v>0</v>
      </c>
      <c r="I342">
        <v>0</v>
      </c>
      <c r="J342">
        <v>0</v>
      </c>
      <c r="K342">
        <v>0</v>
      </c>
      <c r="L342">
        <v>0</v>
      </c>
      <c r="M342">
        <v>0</v>
      </c>
      <c r="P342">
        <v>0</v>
      </c>
    </row>
    <row r="343" spans="1:16">
      <c r="A343">
        <v>6605</v>
      </c>
      <c r="B343" t="s">
        <v>684</v>
      </c>
      <c r="C343">
        <v>-8585.35776504999</v>
      </c>
      <c r="D343">
        <v>0</v>
      </c>
      <c r="E343">
        <v>0</v>
      </c>
      <c r="F343">
        <v>397.56</v>
      </c>
      <c r="G343">
        <v>2508.13780597017</v>
      </c>
      <c r="H343">
        <v>-12533.8307465394</v>
      </c>
      <c r="I343">
        <v>-3503.72588627047</v>
      </c>
      <c r="J343">
        <v>2908.54804094329</v>
      </c>
      <c r="K343">
        <v>550.470940394776</v>
      </c>
      <c r="L343">
        <v>-1518.76811602048</v>
      </c>
      <c r="M343">
        <v>2606.25019647216</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0</v>
      </c>
      <c r="D345">
        <v>0</v>
      </c>
      <c r="E345">
        <v>0</v>
      </c>
      <c r="F345">
        <v>0</v>
      </c>
      <c r="G345">
        <v>0</v>
      </c>
      <c r="H345">
        <v>0</v>
      </c>
      <c r="I345">
        <v>0</v>
      </c>
      <c r="J345">
        <v>0</v>
      </c>
      <c r="K345">
        <v>0</v>
      </c>
      <c r="L345">
        <v>0</v>
      </c>
      <c r="M345">
        <v>0</v>
      </c>
      <c r="P345">
        <v>0</v>
      </c>
    </row>
    <row r="346" customFormat="1" spans="1:16">
      <c r="A346">
        <v>6112</v>
      </c>
      <c r="B346" t="s">
        <v>687</v>
      </c>
      <c r="C346">
        <v>0</v>
      </c>
      <c r="D346">
        <v>0</v>
      </c>
      <c r="E346">
        <v>0</v>
      </c>
      <c r="F346">
        <v>0</v>
      </c>
      <c r="G346">
        <v>0</v>
      </c>
      <c r="H346">
        <v>0</v>
      </c>
      <c r="I346">
        <v>0</v>
      </c>
      <c r="J346">
        <v>0</v>
      </c>
      <c r="K346">
        <v>0</v>
      </c>
      <c r="L346">
        <v>0</v>
      </c>
      <c r="M346">
        <v>0</v>
      </c>
      <c r="N346"/>
      <c r="O346"/>
      <c r="P346">
        <v>0</v>
      </c>
    </row>
    <row r="347" spans="1:28">
      <c r="A347">
        <v>6113</v>
      </c>
      <c r="B347" t="s">
        <v>688</v>
      </c>
      <c r="C347">
        <v>454520.386126421</v>
      </c>
      <c r="D347">
        <v>0</v>
      </c>
      <c r="E347">
        <v>0</v>
      </c>
      <c r="F347">
        <v>-72949.03</v>
      </c>
      <c r="G347">
        <v>-47119.2720425343</v>
      </c>
      <c r="H347">
        <v>412958.485608726</v>
      </c>
      <c r="I347">
        <v>7660.03211903341</v>
      </c>
      <c r="J347">
        <v>24436.9222254743</v>
      </c>
      <c r="K347">
        <v>8896.28337167015</v>
      </c>
      <c r="L347">
        <v>36513.7795864118</v>
      </c>
      <c r="M347">
        <v>38765.6252576395</v>
      </c>
      <c r="N347">
        <v>46800.2</v>
      </c>
      <c r="O347">
        <v>-1442.63999999998</v>
      </c>
      <c r="P347">
        <v>425198.72828185</v>
      </c>
      <c r="Q347">
        <v>-13617.7354750376</v>
      </c>
      <c r="R347">
        <v>41246.9512506262</v>
      </c>
      <c r="S347">
        <v>38396.9512506262</v>
      </c>
      <c r="T347">
        <v>41246.9512506262</v>
      </c>
      <c r="U347">
        <v>34896.9512506262</v>
      </c>
      <c r="V347">
        <v>41846.9512506262</v>
      </c>
      <c r="W347">
        <v>42546.9512506262</v>
      </c>
      <c r="X347">
        <v>38396.9512506262</v>
      </c>
      <c r="Y347">
        <v>36746.9512506262</v>
      </c>
      <c r="Z347">
        <v>38396.9512506262</v>
      </c>
      <c r="AA347">
        <v>42546.9512506262</v>
      </c>
      <c r="AB347">
        <v>42546.9512506262</v>
      </c>
    </row>
    <row r="348" spans="1:28">
      <c r="A348">
        <v>6712</v>
      </c>
      <c r="B348" t="s">
        <v>689</v>
      </c>
      <c r="C348">
        <v>-2224.83003217819</v>
      </c>
      <c r="D348">
        <v>0</v>
      </c>
      <c r="E348">
        <v>0</v>
      </c>
      <c r="F348">
        <v>0</v>
      </c>
      <c r="G348">
        <v>0</v>
      </c>
      <c r="H348">
        <v>-2224.83003217819</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D349">
        <v>0</v>
      </c>
      <c r="E349">
        <v>0</v>
      </c>
      <c r="F349">
        <v>0</v>
      </c>
      <c r="G349">
        <v>0</v>
      </c>
      <c r="H349">
        <v>0</v>
      </c>
      <c r="I349">
        <v>0</v>
      </c>
      <c r="J349">
        <v>0</v>
      </c>
      <c r="K349">
        <v>0</v>
      </c>
      <c r="L349">
        <v>0</v>
      </c>
      <c r="M349">
        <v>0</v>
      </c>
      <c r="P349">
        <v>0</v>
      </c>
    </row>
    <row r="350" spans="1:16">
      <c r="A350">
        <v>6711</v>
      </c>
      <c r="B350" t="s">
        <v>691</v>
      </c>
      <c r="C350">
        <v>2224.83003217819</v>
      </c>
      <c r="D350">
        <v>0</v>
      </c>
      <c r="E350">
        <v>0</v>
      </c>
      <c r="F350">
        <v>0</v>
      </c>
      <c r="G350">
        <v>0</v>
      </c>
      <c r="H350">
        <v>2224.83003217819</v>
      </c>
      <c r="I350">
        <v>0</v>
      </c>
      <c r="J350">
        <v>0</v>
      </c>
      <c r="K350">
        <v>0</v>
      </c>
      <c r="L350">
        <v>0</v>
      </c>
      <c r="M350">
        <v>0</v>
      </c>
      <c r="P350">
        <v>0</v>
      </c>
    </row>
    <row r="351" spans="1:28">
      <c r="A351">
        <v>6713</v>
      </c>
      <c r="B351" t="s">
        <v>692</v>
      </c>
      <c r="C351">
        <v>452295.556094243</v>
      </c>
      <c r="D351">
        <v>0</v>
      </c>
      <c r="E351">
        <v>0</v>
      </c>
      <c r="F351">
        <v>-72949.03</v>
      </c>
      <c r="G351">
        <v>-47119.2720425343</v>
      </c>
      <c r="H351">
        <v>410733.655576548</v>
      </c>
      <c r="I351">
        <v>7660.03211903341</v>
      </c>
      <c r="J351">
        <v>24436.9222254743</v>
      </c>
      <c r="K351">
        <v>8896.28337167015</v>
      </c>
      <c r="L351">
        <v>36513.7795864118</v>
      </c>
      <c r="M351">
        <v>38765.6252576395</v>
      </c>
      <c r="N351">
        <v>46800.2</v>
      </c>
      <c r="O351">
        <v>-1442.63999999998</v>
      </c>
      <c r="P351">
        <v>425198.72828185</v>
      </c>
      <c r="Q351">
        <v>-13617.7354750376</v>
      </c>
      <c r="R351">
        <v>41246.9512506262</v>
      </c>
      <c r="S351">
        <v>38396.9512506262</v>
      </c>
      <c r="T351">
        <v>41246.9512506262</v>
      </c>
      <c r="U351">
        <v>34896.9512506262</v>
      </c>
      <c r="V351">
        <v>41846.9512506262</v>
      </c>
      <c r="W351">
        <v>42546.9512506262</v>
      </c>
      <c r="X351">
        <v>38396.9512506262</v>
      </c>
      <c r="Y351">
        <v>36746.9512506262</v>
      </c>
      <c r="Z351">
        <v>38396.9512506262</v>
      </c>
      <c r="AA351">
        <v>42546.9512506262</v>
      </c>
      <c r="AB351">
        <v>42546.9512506262</v>
      </c>
    </row>
    <row r="352" spans="1:28">
      <c r="A352">
        <v>6714</v>
      </c>
      <c r="B352" t="s">
        <v>693</v>
      </c>
      <c r="C352">
        <v>452295.556094243</v>
      </c>
      <c r="D352">
        <v>0</v>
      </c>
      <c r="E352">
        <v>0</v>
      </c>
      <c r="F352">
        <v>-72949.03</v>
      </c>
      <c r="G352">
        <v>-47119.2720425343</v>
      </c>
      <c r="H352">
        <v>410733.655576548</v>
      </c>
      <c r="I352">
        <v>7660.03211903341</v>
      </c>
      <c r="J352">
        <v>24436.9222254743</v>
      </c>
      <c r="K352">
        <v>8896.28337167015</v>
      </c>
      <c r="L352">
        <v>36513.7795864118</v>
      </c>
      <c r="M352">
        <v>38765.6252576395</v>
      </c>
      <c r="N352">
        <v>46800.2</v>
      </c>
      <c r="O352">
        <v>-1442.63999999998</v>
      </c>
      <c r="P352">
        <v>425198.72828185</v>
      </c>
      <c r="Q352">
        <v>-13617.7354750376</v>
      </c>
      <c r="R352">
        <v>41246.9512506262</v>
      </c>
      <c r="S352">
        <v>38396.9512506262</v>
      </c>
      <c r="T352">
        <v>41246.9512506262</v>
      </c>
      <c r="U352">
        <v>34896.9512506262</v>
      </c>
      <c r="V352">
        <v>41846.9512506262</v>
      </c>
      <c r="W352">
        <v>42546.9512506262</v>
      </c>
      <c r="X352">
        <v>38396.9512506262</v>
      </c>
      <c r="Y352">
        <v>36746.9512506262</v>
      </c>
      <c r="Z352">
        <v>38396.9512506262</v>
      </c>
      <c r="AA352">
        <v>42546.9512506262</v>
      </c>
      <c r="AB352">
        <v>42546.9512506262</v>
      </c>
    </row>
    <row r="353" spans="1:16">
      <c r="A353">
        <v>6801</v>
      </c>
      <c r="B353" t="s">
        <v>694</v>
      </c>
      <c r="C353">
        <v>0</v>
      </c>
      <c r="D353">
        <v>0</v>
      </c>
      <c r="E353">
        <v>0</v>
      </c>
      <c r="F353">
        <v>0</v>
      </c>
      <c r="G353">
        <v>0</v>
      </c>
      <c r="H353">
        <v>0</v>
      </c>
      <c r="I353">
        <v>0</v>
      </c>
      <c r="J353">
        <v>0</v>
      </c>
      <c r="K353">
        <v>0</v>
      </c>
      <c r="L353">
        <v>0</v>
      </c>
      <c r="M353">
        <v>0</v>
      </c>
      <c r="P353">
        <v>0</v>
      </c>
    </row>
    <row r="354" spans="1:28">
      <c r="A354">
        <v>6715</v>
      </c>
      <c r="B354" t="s">
        <v>695</v>
      </c>
      <c r="C354">
        <v>525244.586094243</v>
      </c>
      <c r="D354">
        <v>0</v>
      </c>
      <c r="E354">
        <v>0</v>
      </c>
      <c r="F354">
        <v>0</v>
      </c>
      <c r="G354">
        <v>-47119.2720425343</v>
      </c>
      <c r="H354">
        <v>410733.655576548</v>
      </c>
      <c r="I354">
        <v>7660.03211903341</v>
      </c>
      <c r="J354">
        <v>24436.9222254743</v>
      </c>
      <c r="K354">
        <v>8896.28337167015</v>
      </c>
      <c r="L354">
        <v>36513.7795864118</v>
      </c>
      <c r="M354">
        <v>38765.6252576395</v>
      </c>
      <c r="N354">
        <v>46800.2</v>
      </c>
      <c r="O354">
        <v>-1442.63999999998</v>
      </c>
      <c r="P354">
        <v>425198.72828185</v>
      </c>
      <c r="Q354">
        <v>-13617.7354750376</v>
      </c>
      <c r="R354">
        <v>41246.9512506262</v>
      </c>
      <c r="S354">
        <v>38396.9512506262</v>
      </c>
      <c r="T354">
        <v>41246.9512506262</v>
      </c>
      <c r="U354">
        <v>34896.9512506262</v>
      </c>
      <c r="V354">
        <v>41846.9512506262</v>
      </c>
      <c r="W354">
        <v>42546.9512506262</v>
      </c>
      <c r="X354">
        <v>38396.9512506262</v>
      </c>
      <c r="Y354">
        <v>36746.9512506262</v>
      </c>
      <c r="Z354">
        <v>38396.9512506262</v>
      </c>
      <c r="AA354">
        <v>42546.9512506262</v>
      </c>
      <c r="AB354">
        <v>42546.9512506262</v>
      </c>
    </row>
    <row r="355" customFormat="1" spans="1:16">
      <c r="A355">
        <v>6716</v>
      </c>
      <c r="B355" t="s">
        <v>696</v>
      </c>
      <c r="C355">
        <v>479887.026094243</v>
      </c>
      <c r="D355">
        <v>0</v>
      </c>
      <c r="E355">
        <v>0</v>
      </c>
      <c r="F355">
        <v>0</v>
      </c>
      <c r="G355">
        <v>-47119.2720425343</v>
      </c>
      <c r="H355">
        <v>410733.655576548</v>
      </c>
      <c r="I355">
        <v>7660.03211903341</v>
      </c>
      <c r="J355">
        <v>24436.9222254743</v>
      </c>
      <c r="K355">
        <v>8896.28337167015</v>
      </c>
      <c r="L355">
        <v>36513.7795864118</v>
      </c>
      <c r="M355">
        <v>38765.6252576395</v>
      </c>
      <c r="P355">
        <v>0</v>
      </c>
    </row>
    <row r="356" spans="1:28">
      <c r="A356" t="s">
        <v>697</v>
      </c>
      <c r="B356" t="s">
        <v>698</v>
      </c>
      <c r="C356">
        <v>0.191676986233751</v>
      </c>
      <c r="D356">
        <v>0</v>
      </c>
      <c r="E356">
        <v>0</v>
      </c>
      <c r="F356">
        <v>1</v>
      </c>
      <c r="G356">
        <v>-0.18178889498224</v>
      </c>
      <c r="H356">
        <v>0.400607493474012</v>
      </c>
      <c r="I356">
        <v>0.0254067141858596</v>
      </c>
      <c r="J356">
        <v>0.108897864881451</v>
      </c>
      <c r="K356">
        <v>0.0470821041220177</v>
      </c>
      <c r="L356">
        <v>0.155572975359749</v>
      </c>
      <c r="M356">
        <v>0.175455957326311</v>
      </c>
      <c r="N356">
        <v>0.191021224489796</v>
      </c>
      <c r="O356">
        <v>-0.00588832653061218</v>
      </c>
      <c r="P356">
        <v>0.134693993778127</v>
      </c>
      <c r="Q356">
        <v>-0.0428350841161013</v>
      </c>
      <c r="R356">
        <v>0.155733404210336</v>
      </c>
      <c r="S356">
        <v>0.145422824005557</v>
      </c>
      <c r="T356">
        <v>0.155733404210336</v>
      </c>
      <c r="U356">
        <v>0.132760707964602</v>
      </c>
      <c r="V356">
        <v>0.157904052674499</v>
      </c>
      <c r="W356">
        <v>0.160436475882691</v>
      </c>
      <c r="X356">
        <v>0.145422824005557</v>
      </c>
      <c r="Y356">
        <v>0.139453540729107</v>
      </c>
      <c r="Z356">
        <v>0.145422824005557</v>
      </c>
      <c r="AA356">
        <v>0.160436475882691</v>
      </c>
      <c r="AB356">
        <v>0.160436475882691</v>
      </c>
    </row>
    <row r="357" customFormat="1" spans="2:28">
      <c r="B357" t="s">
        <v>697</v>
      </c>
      <c r="C357">
        <v>0.150926231703374</v>
      </c>
      <c r="D357">
        <v>0</v>
      </c>
      <c r="E357">
        <v>0</v>
      </c>
      <c r="F357">
        <v>-1.91337100848976</v>
      </c>
      <c r="G357">
        <v>-0.199785710583431</v>
      </c>
      <c r="H357">
        <v>0.403526217315407</v>
      </c>
      <c r="I357">
        <v>0.0335688788831751</v>
      </c>
      <c r="J357">
        <v>0.0907587024768745</v>
      </c>
      <c r="K357">
        <v>0.03772024095271</v>
      </c>
      <c r="L357">
        <v>0.154818423217001</v>
      </c>
      <c r="M357">
        <v>0.157696319731299</v>
      </c>
      <c r="N357">
        <v>0.191021224489796</v>
      </c>
      <c r="O357">
        <v>-0.00588832653061218</v>
      </c>
      <c r="P357">
        <v>0.128188467570751</v>
      </c>
      <c r="Q357">
        <v>-0.0492655276571325</v>
      </c>
      <c r="R357">
        <v>0.14922105230602</v>
      </c>
      <c r="S357">
        <v>0.138910472101241</v>
      </c>
      <c r="T357">
        <v>0.14922105230602</v>
      </c>
      <c r="U357">
        <v>0.126248356060286</v>
      </c>
      <c r="V357">
        <v>0.151391700770183</v>
      </c>
      <c r="W357">
        <v>0.153924123978375</v>
      </c>
      <c r="X357">
        <v>0.138910472101241</v>
      </c>
      <c r="Y357">
        <v>0.132941188824791</v>
      </c>
      <c r="Z357">
        <v>0.138910472101241</v>
      </c>
      <c r="AA357">
        <v>0.153924123978375</v>
      </c>
      <c r="AB357">
        <v>0.153924123978375</v>
      </c>
    </row>
    <row r="358" customFormat="1" spans="2:28">
      <c r="B358" t="s">
        <v>699</v>
      </c>
      <c r="C358">
        <v>0.175268549588148</v>
      </c>
      <c r="D358">
        <v>0</v>
      </c>
      <c r="E358">
        <v>0</v>
      </c>
      <c r="F358">
        <v>0</v>
      </c>
      <c r="G358">
        <v>-0.199785710583431</v>
      </c>
      <c r="H358">
        <v>0.403526217315407</v>
      </c>
      <c r="I358">
        <v>0.0335688788831751</v>
      </c>
      <c r="J358">
        <v>0.0907587024768745</v>
      </c>
      <c r="K358">
        <v>0.03772024095271</v>
      </c>
      <c r="L358">
        <v>0.154818423217001</v>
      </c>
      <c r="M358">
        <v>0.157696319731299</v>
      </c>
      <c r="N358">
        <v>0.191021224489796</v>
      </c>
      <c r="O358">
        <v>-0.00588832653061218</v>
      </c>
      <c r="P358">
        <v>0.128188467570751</v>
      </c>
      <c r="Q358">
        <v>-0.0492655276571325</v>
      </c>
      <c r="R358">
        <v>0.14922105230602</v>
      </c>
      <c r="S358">
        <v>0.138910472101241</v>
      </c>
      <c r="T358">
        <v>0.14922105230602</v>
      </c>
      <c r="U358">
        <v>0.126248356060286</v>
      </c>
      <c r="V358">
        <v>0.151391700770183</v>
      </c>
      <c r="W358">
        <v>0.153924123978375</v>
      </c>
      <c r="X358">
        <v>0.138910472101241</v>
      </c>
      <c r="Y358">
        <v>0.132941188824791</v>
      </c>
      <c r="Z358">
        <v>0.138910472101241</v>
      </c>
      <c r="AA358">
        <v>0.153924123978375</v>
      </c>
      <c r="AB358">
        <v>0.153924123978375</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customFormat="1" spans="2:16">
      <c r="B360" t="s">
        <v>702</v>
      </c>
      <c r="C360">
        <v>0</v>
      </c>
      <c r="P360">
        <v>0</v>
      </c>
    </row>
    <row r="361" customFormat="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customFormat="1" spans="2:16">
      <c r="B362" t="s">
        <v>704</v>
      </c>
      <c r="C362">
        <v>0</v>
      </c>
      <c r="P362">
        <v>0</v>
      </c>
    </row>
    <row r="363" customFormat="1" spans="2:16">
      <c r="B363" t="s">
        <v>705</v>
      </c>
      <c r="C363">
        <v>0</v>
      </c>
      <c r="P363">
        <v>0</v>
      </c>
    </row>
    <row r="364" customFormat="1" spans="2:16">
      <c r="B364" t="s">
        <v>706</v>
      </c>
      <c r="C364">
        <v>0</v>
      </c>
      <c r="P364">
        <v>0</v>
      </c>
    </row>
    <row r="365" customFormat="1" spans="2:16">
      <c r="B365" t="s">
        <v>707</v>
      </c>
      <c r="C365">
        <v>0</v>
      </c>
      <c r="P365">
        <v>0</v>
      </c>
    </row>
    <row r="366" customFormat="1"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70" zoomScaleNormal="70" zoomScaleSheetLayoutView="40" workbookViewId="0">
      <selection activeCell="X661" sqref="X661"/>
    </sheetView>
  </sheetViews>
  <sheetFormatPr defaultColWidth="8.75454545454545" defaultRowHeight="14.5"/>
  <cols>
    <col min="1" max="1" width="8.75454545454545" style="263"/>
    <col min="2" max="2" width="10.5" style="122" customWidth="1"/>
    <col min="3" max="3" width="12.8727272727273" style="124" customWidth="1"/>
    <col min="4" max="4" width="25.1272727272727" style="122" customWidth="1"/>
    <col min="5" max="6" width="32.8727272727273" style="122" customWidth="1"/>
    <col min="7" max="7" width="16.3727272727273" style="123" customWidth="1"/>
    <col min="8" max="8" width="16.8727272727273" style="264" customWidth="1"/>
    <col min="9" max="9" width="13.1272727272727" style="264" customWidth="1" outlineLevel="1"/>
    <col min="10" max="13" width="12.3727272727273" style="123" customWidth="1" outlineLevel="1"/>
    <col min="14" max="14" width="15.5" style="123" customWidth="1"/>
    <col min="15" max="26" width="7.12727272727273" style="123" customWidth="1" outlineLevel="1"/>
    <col min="27" max="27" width="11.2545454545455" style="123" customWidth="1"/>
    <col min="28" max="28" width="18" style="123" customWidth="1"/>
    <col min="29" max="29" width="17.6272727272727"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5" customWidth="1" outlineLevel="2"/>
    <col min="65" max="65" width="4.62727272727273" style="266" customWidth="1"/>
    <col min="66" max="66" width="8.75454545454545" style="267"/>
    <col min="67" max="16384" width="8.75454545454545" style="263"/>
  </cols>
  <sheetData>
    <row r="1" s="259" customFormat="1" ht="23.1" customHeight="1" spans="1:66">
      <c r="A1" s="268" t="s">
        <v>709</v>
      </c>
      <c r="B1" s="269" t="s">
        <v>710</v>
      </c>
      <c r="C1" s="270" t="s">
        <v>711</v>
      </c>
      <c r="D1" s="270"/>
      <c r="E1" s="270"/>
      <c r="F1" s="270"/>
      <c r="G1" s="270"/>
      <c r="H1" s="271" t="s">
        <v>712</v>
      </c>
      <c r="I1" s="271"/>
      <c r="J1" s="271"/>
      <c r="K1" s="271"/>
      <c r="L1" s="271"/>
      <c r="M1" s="271"/>
      <c r="N1" s="271"/>
      <c r="O1" s="271" t="s">
        <v>713</v>
      </c>
      <c r="P1" s="271"/>
      <c r="Q1" s="271"/>
      <c r="R1" s="271"/>
      <c r="S1" s="271"/>
      <c r="T1" s="271"/>
      <c r="U1" s="271"/>
      <c r="V1" s="271"/>
      <c r="W1" s="271"/>
      <c r="X1" s="271"/>
      <c r="Y1" s="271"/>
      <c r="Z1" s="271"/>
      <c r="AA1" s="290"/>
      <c r="AB1" s="268" t="s">
        <v>712</v>
      </c>
      <c r="AC1" s="259" t="s">
        <v>712</v>
      </c>
      <c r="AF1" s="259" t="s">
        <v>712</v>
      </c>
      <c r="AI1" s="259" t="s">
        <v>712</v>
      </c>
      <c r="AL1" s="259" t="s">
        <v>712</v>
      </c>
      <c r="AO1" s="259" t="s">
        <v>712</v>
      </c>
      <c r="AR1" s="259" t="s">
        <v>712</v>
      </c>
      <c r="AU1" s="259" t="s">
        <v>712</v>
      </c>
      <c r="AX1" s="259" t="s">
        <v>712</v>
      </c>
      <c r="BA1" s="259" t="s">
        <v>712</v>
      </c>
      <c r="BD1" s="259" t="s">
        <v>712</v>
      </c>
      <c r="BG1" s="259" t="s">
        <v>712</v>
      </c>
      <c r="BJ1" s="259" t="s">
        <v>712</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714</v>
      </c>
      <c r="AD2" s="293"/>
      <c r="AE2" s="294"/>
      <c r="AF2" s="295" t="s">
        <v>715</v>
      </c>
      <c r="AG2" s="298"/>
      <c r="AH2" s="299"/>
      <c r="AI2" s="295" t="s">
        <v>716</v>
      </c>
      <c r="AJ2" s="298"/>
      <c r="AK2" s="299"/>
      <c r="AL2" s="295" t="s">
        <v>717</v>
      </c>
      <c r="AM2" s="298" t="s">
        <v>717</v>
      </c>
      <c r="AN2" s="299" t="s">
        <v>717</v>
      </c>
      <c r="AO2" s="295" t="s">
        <v>718</v>
      </c>
      <c r="AP2" s="298" t="s">
        <v>718</v>
      </c>
      <c r="AQ2" s="299" t="s">
        <v>718</v>
      </c>
      <c r="AR2" s="295" t="s">
        <v>719</v>
      </c>
      <c r="AS2" s="298" t="s">
        <v>719</v>
      </c>
      <c r="AT2" s="299" t="s">
        <v>719</v>
      </c>
      <c r="AU2" s="295" t="s">
        <v>720</v>
      </c>
      <c r="AV2" s="298" t="s">
        <v>720</v>
      </c>
      <c r="AW2" s="299" t="s">
        <v>720</v>
      </c>
      <c r="AX2" s="295" t="s">
        <v>721</v>
      </c>
      <c r="AY2" s="298" t="s">
        <v>721</v>
      </c>
      <c r="AZ2" s="299" t="s">
        <v>721</v>
      </c>
      <c r="BA2" s="295" t="s">
        <v>722</v>
      </c>
      <c r="BB2" s="298" t="s">
        <v>722</v>
      </c>
      <c r="BC2" s="299" t="s">
        <v>722</v>
      </c>
      <c r="BD2" s="295" t="s">
        <v>723</v>
      </c>
      <c r="BE2" s="298" t="s">
        <v>723</v>
      </c>
      <c r="BF2" s="299" t="s">
        <v>723</v>
      </c>
      <c r="BG2" s="295" t="s">
        <v>724</v>
      </c>
      <c r="BH2" s="298" t="s">
        <v>724</v>
      </c>
      <c r="BI2" s="299" t="s">
        <v>724</v>
      </c>
      <c r="BJ2" s="295" t="s">
        <v>725</v>
      </c>
      <c r="BK2" s="298" t="s">
        <v>725</v>
      </c>
      <c r="BL2" s="298" t="s">
        <v>725</v>
      </c>
      <c r="BM2" s="307"/>
      <c r="BN2" s="299"/>
    </row>
    <row r="3" s="260" customFormat="1" ht="53.1" customHeight="1" spans="1:66">
      <c r="A3" s="275"/>
      <c r="B3" s="276"/>
      <c r="C3" s="277" t="s">
        <v>726</v>
      </c>
      <c r="D3" s="278" t="s">
        <v>3</v>
      </c>
      <c r="E3" s="278" t="s">
        <v>727</v>
      </c>
      <c r="F3" s="278" t="s">
        <v>728</v>
      </c>
      <c r="G3" s="278" t="s">
        <v>729</v>
      </c>
      <c r="H3" s="260" t="s">
        <v>730</v>
      </c>
      <c r="I3" s="260" t="s">
        <v>731</v>
      </c>
      <c r="J3" s="260" t="s">
        <v>732</v>
      </c>
      <c r="K3" s="260" t="s">
        <v>733</v>
      </c>
      <c r="L3" s="260" t="s">
        <v>734</v>
      </c>
      <c r="M3" s="260" t="s">
        <v>735</v>
      </c>
      <c r="N3" s="260" t="s">
        <v>736</v>
      </c>
      <c r="O3" s="283" t="s">
        <v>714</v>
      </c>
      <c r="P3" s="283" t="s">
        <v>715</v>
      </c>
      <c r="Q3" s="283" t="s">
        <v>716</v>
      </c>
      <c r="R3" s="283" t="s">
        <v>717</v>
      </c>
      <c r="S3" s="283" t="s">
        <v>718</v>
      </c>
      <c r="T3" s="283" t="s">
        <v>719</v>
      </c>
      <c r="U3" s="283" t="s">
        <v>720</v>
      </c>
      <c r="V3" s="283" t="s">
        <v>721</v>
      </c>
      <c r="W3" s="283" t="s">
        <v>722</v>
      </c>
      <c r="X3" s="283" t="s">
        <v>723</v>
      </c>
      <c r="Y3" s="283" t="s">
        <v>724</v>
      </c>
      <c r="Z3" s="283" t="s">
        <v>725</v>
      </c>
      <c r="AA3" s="296" t="s">
        <v>737</v>
      </c>
      <c r="AB3" s="260" t="s">
        <v>738</v>
      </c>
      <c r="AC3" s="260" t="s">
        <v>739</v>
      </c>
      <c r="AD3" s="260" t="s">
        <v>740</v>
      </c>
      <c r="AE3" s="260" t="s">
        <v>741</v>
      </c>
      <c r="AF3" s="260" t="s">
        <v>739</v>
      </c>
      <c r="AG3" s="260" t="s">
        <v>740</v>
      </c>
      <c r="AH3" s="260" t="s">
        <v>741</v>
      </c>
      <c r="AI3" s="260" t="s">
        <v>739</v>
      </c>
      <c r="AJ3" s="260" t="s">
        <v>740</v>
      </c>
      <c r="AK3" s="260" t="s">
        <v>741</v>
      </c>
      <c r="AL3" s="260" t="s">
        <v>739</v>
      </c>
      <c r="AM3" s="260" t="s">
        <v>740</v>
      </c>
      <c r="AN3" s="260" t="s">
        <v>741</v>
      </c>
      <c r="AO3" s="260" t="s">
        <v>739</v>
      </c>
      <c r="AP3" s="260" t="s">
        <v>740</v>
      </c>
      <c r="AQ3" s="260" t="s">
        <v>741</v>
      </c>
      <c r="AR3" s="260" t="s">
        <v>739</v>
      </c>
      <c r="AS3" s="260" t="s">
        <v>740</v>
      </c>
      <c r="AT3" s="260" t="s">
        <v>741</v>
      </c>
      <c r="AU3" s="260" t="s">
        <v>739</v>
      </c>
      <c r="AV3" s="260" t="s">
        <v>740</v>
      </c>
      <c r="AW3" s="260" t="s">
        <v>741</v>
      </c>
      <c r="AX3" s="260" t="s">
        <v>739</v>
      </c>
      <c r="AY3" s="260" t="s">
        <v>740</v>
      </c>
      <c r="AZ3" s="260" t="s">
        <v>741</v>
      </c>
      <c r="BA3" s="260" t="s">
        <v>739</v>
      </c>
      <c r="BB3" s="260" t="s">
        <v>740</v>
      </c>
      <c r="BC3" s="260" t="s">
        <v>741</v>
      </c>
      <c r="BD3" s="260" t="s">
        <v>739</v>
      </c>
      <c r="BE3" s="260" t="s">
        <v>740</v>
      </c>
      <c r="BF3" s="260" t="s">
        <v>741</v>
      </c>
      <c r="BG3" s="260" t="s">
        <v>739</v>
      </c>
      <c r="BH3" s="260" t="s">
        <v>740</v>
      </c>
      <c r="BI3" s="260" t="s">
        <v>741</v>
      </c>
      <c r="BJ3" s="260" t="s">
        <v>739</v>
      </c>
      <c r="BK3" s="260" t="s">
        <v>740</v>
      </c>
      <c r="BL3" s="300" t="s">
        <v>741</v>
      </c>
      <c r="BM3" s="308"/>
      <c r="BN3" s="309"/>
    </row>
    <row r="4" s="261" customFormat="1" ht="33.95" customHeight="1" spans="2:66">
      <c r="B4" s="279" t="s">
        <v>742</v>
      </c>
      <c r="C4" s="280">
        <v>1</v>
      </c>
      <c r="D4" s="261" t="s">
        <v>743</v>
      </c>
      <c r="E4" s="261" t="s">
        <v>744</v>
      </c>
      <c r="G4" s="281"/>
      <c r="H4" s="261">
        <f>H5+H381+H582+H652+H658+H668</f>
        <v>2870203.699896</v>
      </c>
      <c r="P4" s="284"/>
      <c r="Q4" s="284"/>
      <c r="R4" s="284"/>
      <c r="S4" s="284"/>
      <c r="T4" s="284"/>
      <c r="U4" s="284"/>
      <c r="V4" s="284"/>
      <c r="W4" s="284"/>
      <c r="X4" s="284"/>
      <c r="Y4" s="284"/>
      <c r="Z4" s="284"/>
      <c r="AA4" s="284"/>
      <c r="AB4" s="261">
        <f t="shared" ref="AB4:AF4" si="0">AB5+AB381+AB582+AB652+AB658+AB668</f>
        <v>2870203.699896</v>
      </c>
      <c r="AC4" s="261">
        <f t="shared" si="0"/>
        <v>319874.191658</v>
      </c>
      <c r="AF4" s="261">
        <f t="shared" si="0"/>
        <v>230493.591658</v>
      </c>
      <c r="AI4" s="261">
        <f>AI5+AI381+AI582+AI652+AI658+AI668</f>
        <v>233343.591658</v>
      </c>
      <c r="AL4" s="261">
        <f>AL5+AL381+AL582+AL652+AL658+AL668</f>
        <v>230493.591658</v>
      </c>
      <c r="AO4" s="261">
        <f>AO5+AO381+AO582+AO652+AO658+AO668</f>
        <v>236843.591658</v>
      </c>
      <c r="AR4" s="261">
        <f>AR5+AR381+AR582+AR652+AR658+AR668</f>
        <v>229893.591658</v>
      </c>
      <c r="AU4" s="261">
        <f>AU5+AU381+AU582+AU652+AU658+AU668</f>
        <v>229193.591658</v>
      </c>
      <c r="AX4" s="261">
        <f>AX5+AX381+AX582+AX652+AX658+AX668</f>
        <v>233343.591658</v>
      </c>
      <c r="BA4" s="261">
        <f>BA5+BA381+BA582+BA652+BA658+BA668</f>
        <v>234993.591658</v>
      </c>
      <c r="BD4" s="261">
        <f>BD5+BD381+BD582+BD652+BD658+BD668</f>
        <v>233343.591658</v>
      </c>
      <c r="BG4" s="261">
        <f>BG5+BG381+BG582+BG652+BG658+BG668</f>
        <v>229193.591658</v>
      </c>
      <c r="BJ4" s="261">
        <f>BJ5+BJ381+BJ582+BJ652+BJ658+BJ668</f>
        <v>229193.591658</v>
      </c>
      <c r="BL4" s="301"/>
      <c r="BM4" s="307"/>
      <c r="BN4" s="284"/>
    </row>
    <row r="5" s="108" customFormat="1" ht="33.95" customHeight="1" outlineLevel="1" collapsed="1" spans="2:66">
      <c r="B5" s="109" t="s">
        <v>742</v>
      </c>
      <c r="C5" s="110">
        <v>1.1</v>
      </c>
      <c r="D5" s="108" t="s">
        <v>214</v>
      </c>
      <c r="E5" s="109"/>
      <c r="F5" s="109"/>
      <c r="H5" s="108">
        <f>H6+H208+H308</f>
        <v>2685359.089896</v>
      </c>
      <c r="P5" s="285"/>
      <c r="Q5" s="285"/>
      <c r="R5" s="285"/>
      <c r="S5" s="285"/>
      <c r="T5" s="285"/>
      <c r="U5" s="285"/>
      <c r="V5" s="285"/>
      <c r="W5" s="285"/>
      <c r="X5" s="285"/>
      <c r="Y5" s="285"/>
      <c r="Z5" s="285"/>
      <c r="AA5" s="285"/>
      <c r="AB5" s="108">
        <f t="shared" ref="AB5:AF5" si="1">AB6+AB208+AB308</f>
        <v>2685359.089896</v>
      </c>
      <c r="AC5" s="108">
        <f t="shared" si="1"/>
        <v>231902.924158</v>
      </c>
      <c r="AF5" s="108">
        <f t="shared" si="1"/>
        <v>221686.924158</v>
      </c>
      <c r="AI5" s="108">
        <f>AI6+AI208+AI308</f>
        <v>224536.924158</v>
      </c>
      <c r="AL5" s="108">
        <f>AL6+AL208+AL308</f>
        <v>221686.924158</v>
      </c>
      <c r="AO5" s="108">
        <f>AO6+AO208+AO308</f>
        <v>228036.924158</v>
      </c>
      <c r="AR5" s="108">
        <f>AR6+AR208+AR308</f>
        <v>221086.924158</v>
      </c>
      <c r="AU5" s="108">
        <f>AU6+AU208+AU308</f>
        <v>220386.924158</v>
      </c>
      <c r="AX5" s="108">
        <f>AX6+AX208+AX308</f>
        <v>224536.924158</v>
      </c>
      <c r="BA5" s="108">
        <f>BA6+BA208+BA308</f>
        <v>226186.924158</v>
      </c>
      <c r="BD5" s="108">
        <f>BD6+BD208+BD308</f>
        <v>224536.924158</v>
      </c>
      <c r="BG5" s="108">
        <f>BG6+BG208+BG308</f>
        <v>220386.924158</v>
      </c>
      <c r="BJ5" s="108">
        <f>BJ6+BJ208+BJ308</f>
        <v>220386.924158</v>
      </c>
      <c r="BL5" s="302"/>
      <c r="BM5" s="310"/>
      <c r="BN5" s="285"/>
    </row>
    <row r="6" s="22" customFormat="1" ht="33.95" hidden="1" customHeight="1" outlineLevel="2" collapsed="1" spans="2:66">
      <c r="B6" s="112" t="s">
        <v>742</v>
      </c>
      <c r="C6" s="113" t="s">
        <v>218</v>
      </c>
      <c r="D6" s="22" t="s">
        <v>219</v>
      </c>
      <c r="E6" s="112"/>
      <c r="F6" s="112"/>
      <c r="G6" s="112"/>
      <c r="H6" s="112">
        <f>H7+H29+H57+H111+H143+H159+H176+H189</f>
        <v>2685359.089896</v>
      </c>
      <c r="I6" s="112"/>
      <c r="J6" s="112"/>
      <c r="K6" s="112"/>
      <c r="L6" s="112"/>
      <c r="M6" s="112"/>
      <c r="N6" s="112"/>
      <c r="O6" s="112"/>
      <c r="P6" s="286"/>
      <c r="Q6" s="286"/>
      <c r="R6" s="286"/>
      <c r="S6" s="286"/>
      <c r="T6" s="286"/>
      <c r="U6" s="286"/>
      <c r="V6" s="286"/>
      <c r="W6" s="286"/>
      <c r="X6" s="286"/>
      <c r="Y6" s="286"/>
      <c r="Z6" s="286"/>
      <c r="AA6" s="286"/>
      <c r="AB6" s="112">
        <f t="shared" ref="AB6:AF6" si="2">AB7+AB29+AB57+AB111+AB143+AB159+AB176+AB189</f>
        <v>2685359.089896</v>
      </c>
      <c r="AC6" s="112">
        <f t="shared" si="2"/>
        <v>231902.924158</v>
      </c>
      <c r="AD6" s="112"/>
      <c r="AE6" s="112"/>
      <c r="AF6" s="112">
        <f t="shared" si="2"/>
        <v>221686.924158</v>
      </c>
      <c r="AG6" s="112"/>
      <c r="AH6" s="112"/>
      <c r="AI6" s="112">
        <f>AI7+AI29+AI57+AI111+AI143+AI159+AI176+AI189</f>
        <v>224536.924158</v>
      </c>
      <c r="AJ6" s="112"/>
      <c r="AK6" s="112"/>
      <c r="AL6" s="112">
        <f>AL7+AL29+AL57+AL111+AL143+AL159+AL176+AL189</f>
        <v>221686.924158</v>
      </c>
      <c r="AM6" s="112"/>
      <c r="AN6" s="112"/>
      <c r="AO6" s="112">
        <f>AO7+AO29+AO57+AO111+AO143+AO159+AO176+AO189</f>
        <v>228036.924158</v>
      </c>
      <c r="AP6" s="112"/>
      <c r="AQ6" s="112"/>
      <c r="AR6" s="112">
        <f>AR7+AR29+AR57+AR111+AR143+AR159+AR176+AR189</f>
        <v>221086.924158</v>
      </c>
      <c r="AS6" s="112"/>
      <c r="AT6" s="112"/>
      <c r="AU6" s="112">
        <f>AU7+AU29+AU57+AU111+AU143+AU159+AU176+AU189</f>
        <v>220386.924158</v>
      </c>
      <c r="AV6" s="112"/>
      <c r="AW6" s="112"/>
      <c r="AX6" s="112">
        <f>AX7+AX29+AX57+AX111+AX143+AX159+AX176+AX189</f>
        <v>224536.924158</v>
      </c>
      <c r="AY6" s="112"/>
      <c r="AZ6" s="112"/>
      <c r="BA6" s="112">
        <f>BA7+BA29+BA57+BA111+BA143+BA159+BA176+BA189</f>
        <v>226186.924158</v>
      </c>
      <c r="BB6" s="112"/>
      <c r="BC6" s="112"/>
      <c r="BD6" s="112">
        <f>BD7+BD29+BD57+BD111+BD143+BD159+BD176+BD189</f>
        <v>224536.924158</v>
      </c>
      <c r="BE6" s="112"/>
      <c r="BF6" s="112"/>
      <c r="BG6" s="112">
        <f>BG7+BG29+BG57+BG111+BG143+BG159+BG176+BG189</f>
        <v>220386.924158</v>
      </c>
      <c r="BH6" s="112"/>
      <c r="BI6" s="112"/>
      <c r="BJ6" s="112">
        <f>BJ7+BJ29+BJ57+BJ111+BJ143+BJ159+BJ176+BJ189</f>
        <v>220386.924158</v>
      </c>
      <c r="BK6" s="112"/>
      <c r="BL6" s="303"/>
      <c r="BM6" s="310"/>
      <c r="BN6" s="311"/>
    </row>
    <row r="7" s="48" customFormat="1" ht="33.95" hidden="1" customHeight="1" outlineLevel="3" collapsed="1" spans="2:66">
      <c r="B7" s="115" t="s">
        <v>742</v>
      </c>
      <c r="C7" s="116" t="s">
        <v>745</v>
      </c>
      <c r="D7" s="48" t="s">
        <v>746</v>
      </c>
      <c r="E7" s="115"/>
      <c r="F7" s="115"/>
      <c r="G7" s="115"/>
      <c r="H7" s="115">
        <f>H8+H15+H22</f>
        <v>1927200</v>
      </c>
      <c r="I7" s="115"/>
      <c r="J7" s="115"/>
      <c r="K7" s="115"/>
      <c r="L7" s="115"/>
      <c r="M7" s="115"/>
      <c r="N7" s="115"/>
      <c r="O7" s="115"/>
      <c r="P7" s="287"/>
      <c r="Q7" s="287"/>
      <c r="R7" s="287"/>
      <c r="S7" s="287"/>
      <c r="T7" s="287"/>
      <c r="U7" s="287"/>
      <c r="V7" s="287"/>
      <c r="W7" s="287"/>
      <c r="X7" s="287"/>
      <c r="Y7" s="287"/>
      <c r="Z7" s="287"/>
      <c r="AA7" s="287"/>
      <c r="AB7" s="115">
        <f t="shared" ref="AB7:AF7" si="3">AB8+AB15+AB22</f>
        <v>1927200</v>
      </c>
      <c r="AC7" s="115">
        <f t="shared" si="3"/>
        <v>160600</v>
      </c>
      <c r="AD7" s="115"/>
      <c r="AE7" s="115"/>
      <c r="AF7" s="115">
        <f t="shared" si="3"/>
        <v>160600</v>
      </c>
      <c r="AG7" s="115"/>
      <c r="AH7" s="115"/>
      <c r="AI7" s="115">
        <f>AI8+AI15+AI22</f>
        <v>160600</v>
      </c>
      <c r="AJ7" s="115"/>
      <c r="AK7" s="115"/>
      <c r="AL7" s="115">
        <f>AL8+AL15+AL22</f>
        <v>160600</v>
      </c>
      <c r="AM7" s="115"/>
      <c r="AN7" s="115"/>
      <c r="AO7" s="115">
        <f>AO8+AO15+AO22</f>
        <v>160600</v>
      </c>
      <c r="AP7" s="115"/>
      <c r="AQ7" s="115"/>
      <c r="AR7" s="115">
        <f>AR8+AR15+AR22</f>
        <v>160600</v>
      </c>
      <c r="AS7" s="115"/>
      <c r="AT7" s="115"/>
      <c r="AU7" s="115">
        <f>AU8+AU15+AU22</f>
        <v>160600</v>
      </c>
      <c r="AV7" s="115"/>
      <c r="AW7" s="115"/>
      <c r="AX7" s="115">
        <f>AX8+AX15+AX22</f>
        <v>160600</v>
      </c>
      <c r="AY7" s="115"/>
      <c r="AZ7" s="115"/>
      <c r="BA7" s="115">
        <f>BA8+BA15+BA22</f>
        <v>160600</v>
      </c>
      <c r="BB7" s="115"/>
      <c r="BC7" s="115"/>
      <c r="BD7" s="115">
        <f>BD8+BD15+BD22</f>
        <v>160600</v>
      </c>
      <c r="BE7" s="115"/>
      <c r="BF7" s="115"/>
      <c r="BG7" s="115">
        <f>BG8+BG15+BG22</f>
        <v>160600</v>
      </c>
      <c r="BH7" s="115"/>
      <c r="BI7" s="115"/>
      <c r="BJ7" s="115">
        <f>BJ8+BJ15+BJ22</f>
        <v>160600</v>
      </c>
      <c r="BK7" s="115"/>
      <c r="BL7" s="304"/>
      <c r="BM7" s="310"/>
      <c r="BN7" s="312"/>
    </row>
    <row r="8" s="118" customFormat="1" ht="33.95" hidden="1" customHeight="1" outlineLevel="4" collapsed="1" spans="2:66">
      <c r="B8" s="119" t="s">
        <v>742</v>
      </c>
      <c r="C8" s="120" t="s">
        <v>108</v>
      </c>
      <c r="D8" s="118" t="s">
        <v>109</v>
      </c>
      <c r="E8" s="119"/>
      <c r="F8" s="119"/>
      <c r="G8" s="119"/>
      <c r="H8" s="119">
        <f>SUM(H9:H14)</f>
        <v>1927200</v>
      </c>
      <c r="I8" s="119"/>
      <c r="J8" s="119"/>
      <c r="K8" s="119"/>
      <c r="L8" s="119"/>
      <c r="M8" s="119"/>
      <c r="N8" s="119"/>
      <c r="O8" s="119"/>
      <c r="P8" s="288"/>
      <c r="Q8" s="288"/>
      <c r="R8" s="288"/>
      <c r="S8" s="288"/>
      <c r="T8" s="288"/>
      <c r="U8" s="288"/>
      <c r="V8" s="288"/>
      <c r="W8" s="288"/>
      <c r="X8" s="288"/>
      <c r="Y8" s="288"/>
      <c r="Z8" s="288"/>
      <c r="AA8" s="288"/>
      <c r="AB8" s="119">
        <f>SUM(AB9:AB14)</f>
        <v>1927200</v>
      </c>
      <c r="AC8" s="119">
        <f t="shared" ref="AC8:AF8" si="4">SUM(AC9:AC14)</f>
        <v>160600</v>
      </c>
      <c r="AD8" s="119"/>
      <c r="AE8" s="119"/>
      <c r="AF8" s="119">
        <f t="shared" si="4"/>
        <v>160600</v>
      </c>
      <c r="AG8" s="119"/>
      <c r="AH8" s="119"/>
      <c r="AI8" s="119">
        <f>SUM(AI9:AI14)</f>
        <v>160600</v>
      </c>
      <c r="AJ8" s="119"/>
      <c r="AK8" s="119"/>
      <c r="AL8" s="119">
        <f>SUM(AL9:AL14)</f>
        <v>160600</v>
      </c>
      <c r="AM8" s="119"/>
      <c r="AN8" s="119"/>
      <c r="AO8" s="119">
        <f>SUM(AO9:AO14)</f>
        <v>160600</v>
      </c>
      <c r="AP8" s="119"/>
      <c r="AQ8" s="119"/>
      <c r="AR8" s="119">
        <f>SUM(AR9:AR14)</f>
        <v>160600</v>
      </c>
      <c r="AS8" s="119"/>
      <c r="AT8" s="119"/>
      <c r="AU8" s="119">
        <f>SUM(AU9:AU14)</f>
        <v>160600</v>
      </c>
      <c r="AV8" s="119"/>
      <c r="AW8" s="119"/>
      <c r="AX8" s="119">
        <f>SUM(AX9:AX14)</f>
        <v>160600</v>
      </c>
      <c r="AY8" s="119"/>
      <c r="AZ8" s="119"/>
      <c r="BA8" s="119">
        <f>SUM(BA9:BA14)</f>
        <v>160600</v>
      </c>
      <c r="BB8" s="119"/>
      <c r="BC8" s="119"/>
      <c r="BD8" s="119">
        <f>SUM(BD9:BD14)</f>
        <v>160600</v>
      </c>
      <c r="BE8" s="119"/>
      <c r="BF8" s="119"/>
      <c r="BG8" s="119">
        <f>SUM(BG9:BG14)</f>
        <v>160600</v>
      </c>
      <c r="BH8" s="119"/>
      <c r="BI8" s="119"/>
      <c r="BJ8" s="119">
        <f>SUM(BJ9:BJ14)</f>
        <v>160600</v>
      </c>
      <c r="BK8" s="119"/>
      <c r="BL8" s="305"/>
      <c r="BM8" s="310"/>
      <c r="BN8" s="313"/>
    </row>
    <row r="9" s="262" customFormat="1" ht="33.95" hidden="1" customHeight="1" outlineLevel="5" spans="2:66">
      <c r="B9" s="175" t="s">
        <v>747</v>
      </c>
      <c r="C9" s="282" t="s">
        <v>748</v>
      </c>
      <c r="D9" s="262" t="s">
        <v>749</v>
      </c>
      <c r="E9" s="175" t="s">
        <v>750</v>
      </c>
      <c r="F9" s="175"/>
      <c r="G9" s="175" t="s">
        <v>751</v>
      </c>
      <c r="H9" s="175">
        <f t="shared" ref="H9:H14" si="5">AB9</f>
        <v>1927200</v>
      </c>
      <c r="I9" s="175" t="s">
        <v>752</v>
      </c>
      <c r="J9" s="175">
        <f t="shared" ref="J9:J14" si="6">SUM(AD9,AG9,AJ9,AM9,AP9,AS9,AV9,AY9,BB9,BE9,BH9,BK9)/N9</f>
        <v>1</v>
      </c>
      <c r="K9" s="175" t="s">
        <v>753</v>
      </c>
      <c r="L9" s="175">
        <f t="shared" ref="L9:L14" si="7">H9/N9/J9</f>
        <v>160600</v>
      </c>
      <c r="M9" s="175" t="s">
        <v>754</v>
      </c>
      <c r="N9" s="175">
        <f t="shared" ref="N9:N14" si="8">COUNTIF(AD9,"&gt;0")+COUNTIF(AG9,"&gt;0")+COUNTIF(AJ9,"&gt;0")+COUNTIF(AM9,"&gt;0")+COUNTIF(AP9,"&gt;0")+COUNTIF(AS9,"&gt;0")+COUNTIF(AV9,"&gt;0")+COUNTIF(AY9,"&gt;0")+COUNTIF(BB9,"&gt;0")+COUNTIF(BE9,"&gt;0")+COUNTIF(BH9,"&gt;0")+COUNTIF(BK9,"&gt;0")</f>
        <v>12</v>
      </c>
      <c r="O9" s="175"/>
      <c r="P9" s="289"/>
      <c r="Q9" s="289"/>
      <c r="R9" s="289"/>
      <c r="S9" s="289"/>
      <c r="T9" s="289"/>
      <c r="U9" s="289"/>
      <c r="V9" s="289"/>
      <c r="W9" s="289"/>
      <c r="X9" s="289"/>
      <c r="Y9" s="289"/>
      <c r="Z9" s="289"/>
      <c r="AA9" s="289"/>
      <c r="AB9" s="175">
        <f>SUM(AC9,AF9,AI9,AL9,AO9,AR9,AU9,AX9,BA9,BD9,BG9,BJ9)</f>
        <v>1927200</v>
      </c>
      <c r="AC9" s="175">
        <f>AD9*AE9</f>
        <v>160600</v>
      </c>
      <c r="AD9" s="175">
        <f>'1-2 人员岗位信息'!F11</f>
        <v>1</v>
      </c>
      <c r="AE9" s="297">
        <v>160600</v>
      </c>
      <c r="AF9" s="175">
        <f t="shared" ref="AF9:AF14" si="9">AG9*AH9</f>
        <v>160600</v>
      </c>
      <c r="AG9" s="175">
        <f>SUMIFS('1-2 人员岗位信息'!G:G,'1-2 人员岗位信息'!$C:$C,"自有人员",'1-2 人员岗位信息'!$B:$B,$D9)</f>
        <v>1</v>
      </c>
      <c r="AH9" s="297">
        <v>160600</v>
      </c>
      <c r="AI9" s="175">
        <f t="shared" ref="AI9:AI14" si="10">AJ9*AK9</f>
        <v>160600</v>
      </c>
      <c r="AJ9" s="175">
        <f>SUMIFS('1-2 人员岗位信息'!H:H,'1-2 人员岗位信息'!$C:$C,"自有人员",'1-2 人员岗位信息'!$B:$B,$D9)</f>
        <v>1</v>
      </c>
      <c r="AK9" s="297">
        <v>160600</v>
      </c>
      <c r="AL9" s="175">
        <f>AM9*AN9</f>
        <v>160600</v>
      </c>
      <c r="AM9" s="175">
        <f>SUMIFS('1-2 人员岗位信息'!I:I,'1-2 人员岗位信息'!$C:$C,"自有人员",'1-2 人员岗位信息'!$B:$B,$D9)</f>
        <v>1</v>
      </c>
      <c r="AN9" s="297">
        <v>160600</v>
      </c>
      <c r="AO9" s="175">
        <f t="shared" ref="AO9:AO14" si="11">AP9*AQ9</f>
        <v>160600</v>
      </c>
      <c r="AP9" s="175">
        <f>SUMIFS('1-2 人员岗位信息'!J:J,'1-2 人员岗位信息'!$C:$C,"自有人员",'1-2 人员岗位信息'!$B:$B,$D9)</f>
        <v>1</v>
      </c>
      <c r="AQ9" s="297">
        <v>160600</v>
      </c>
      <c r="AR9" s="175">
        <f>AS9*AT9</f>
        <v>160600</v>
      </c>
      <c r="AS9" s="175">
        <f>SUMIFS('1-2 人员岗位信息'!K:K,'1-2 人员岗位信息'!$C:$C,"自有人员",'1-2 人员岗位信息'!$B:$B,$D9)</f>
        <v>1</v>
      </c>
      <c r="AT9" s="297">
        <v>160600</v>
      </c>
      <c r="AU9" s="175">
        <f t="shared" ref="AU9:AU14" si="12">AV9*AW9</f>
        <v>160600</v>
      </c>
      <c r="AV9" s="175">
        <f>SUMIFS('1-2 人员岗位信息'!L:L,'1-2 人员岗位信息'!$C:$C,"自有人员",'1-2 人员岗位信息'!$B:$B,$D9)</f>
        <v>1</v>
      </c>
      <c r="AW9" s="297">
        <v>160600</v>
      </c>
      <c r="AX9" s="175">
        <f t="shared" ref="AX9:AX14" si="13">AY9*AZ9</f>
        <v>160600</v>
      </c>
      <c r="AY9" s="175">
        <f>SUMIFS('1-2 人员岗位信息'!M:M,'1-2 人员岗位信息'!$C:$C,"自有人员",'1-2 人员岗位信息'!$B:$B,$D9)</f>
        <v>1</v>
      </c>
      <c r="AZ9" s="297">
        <v>160600</v>
      </c>
      <c r="BA9" s="175">
        <f t="shared" ref="BA9:BA14" si="14">BB9*BC9</f>
        <v>160600</v>
      </c>
      <c r="BB9" s="175">
        <f>SUMIFS('1-2 人员岗位信息'!N:N,'1-2 人员岗位信息'!$C:$C,"自有人员",'1-2 人员岗位信息'!$B:$B,$D9)</f>
        <v>1</v>
      </c>
      <c r="BC9" s="297">
        <v>160600</v>
      </c>
      <c r="BD9" s="175">
        <f t="shared" ref="BD9:BD14" si="15">BE9*BF9</f>
        <v>160600</v>
      </c>
      <c r="BE9" s="175">
        <f>SUMIFS('1-2 人员岗位信息'!O:O,'1-2 人员岗位信息'!$C:$C,"自有人员",'1-2 人员岗位信息'!$B:$B,$D9)</f>
        <v>1</v>
      </c>
      <c r="BF9" s="297">
        <v>160600</v>
      </c>
      <c r="BG9" s="175">
        <f t="shared" ref="BG9:BG14" si="16">BH9*BI9</f>
        <v>160600</v>
      </c>
      <c r="BH9" s="175">
        <f>SUMIFS('1-2 人员岗位信息'!P:P,'1-2 人员岗位信息'!$C:$C,"自有人员",'1-2 人员岗位信息'!$B:$B,$D9)</f>
        <v>1</v>
      </c>
      <c r="BI9" s="297">
        <v>160600</v>
      </c>
      <c r="BJ9" s="175">
        <f t="shared" ref="BJ9:BJ14" si="17">BK9*BL9</f>
        <v>160600</v>
      </c>
      <c r="BK9" s="175">
        <f>SUMIFS('1-2 人员岗位信息'!Q:Q,'1-2 人员岗位信息'!$C:$C,"自有人员",'1-2 人员岗位信息'!$B:$B,$D9)</f>
        <v>1</v>
      </c>
      <c r="BL9" s="297">
        <v>160600</v>
      </c>
      <c r="BM9" s="310"/>
      <c r="BN9" s="314"/>
    </row>
    <row r="10" s="262" customFormat="1" ht="33.95" hidden="1" customHeight="1" outlineLevel="5" spans="2:66">
      <c r="B10" s="175" t="s">
        <v>747</v>
      </c>
      <c r="C10" s="282" t="s">
        <v>755</v>
      </c>
      <c r="D10" s="262" t="s">
        <v>756</v>
      </c>
      <c r="E10" s="175" t="s">
        <v>757</v>
      </c>
      <c r="F10" s="175"/>
      <c r="G10" s="175" t="s">
        <v>751</v>
      </c>
      <c r="H10" s="175">
        <f t="shared" si="5"/>
        <v>0</v>
      </c>
      <c r="I10" s="175" t="s">
        <v>752</v>
      </c>
      <c r="J10" s="175" t="e">
        <f t="shared" si="6"/>
        <v>#DIV/0!</v>
      </c>
      <c r="K10" s="175" t="s">
        <v>753</v>
      </c>
      <c r="L10" s="175" t="e">
        <f t="shared" si="7"/>
        <v>#DIV/0!</v>
      </c>
      <c r="M10" s="175" t="s">
        <v>754</v>
      </c>
      <c r="N10" s="175">
        <f t="shared" si="8"/>
        <v>0</v>
      </c>
      <c r="O10" s="175"/>
      <c r="P10" s="289"/>
      <c r="Q10" s="289"/>
      <c r="R10" s="289"/>
      <c r="S10" s="289"/>
      <c r="T10" s="289"/>
      <c r="U10" s="289"/>
      <c r="V10" s="289"/>
      <c r="W10" s="289"/>
      <c r="X10" s="289"/>
      <c r="Y10" s="289"/>
      <c r="Z10" s="289"/>
      <c r="AA10" s="289"/>
      <c r="AB10" s="175">
        <f t="shared" ref="AB10:AB14" si="18">SUM(AC10,AF10,AI10,AL10,AO10,AR10,AU10,AX10,BA10,BD10,BG10,BJ10)</f>
        <v>0</v>
      </c>
      <c r="AC10" s="175">
        <f t="shared" ref="AC10:AC14" si="19">AD10*AE10</f>
        <v>0</v>
      </c>
      <c r="AD10" s="175">
        <f>'1-2 人员岗位信息'!F15</f>
        <v>0</v>
      </c>
      <c r="AE10" s="297"/>
      <c r="AF10" s="175">
        <f t="shared" si="9"/>
        <v>0</v>
      </c>
      <c r="AG10" s="175">
        <f>SUMIFS('1-2 人员岗位信息'!G:G,'1-2 人员岗位信息'!$C:$C,"自有人员",'1-2 人员岗位信息'!$B:$B,$D10)</f>
        <v>0</v>
      </c>
      <c r="AH10" s="297"/>
      <c r="AI10" s="175">
        <f t="shared" si="10"/>
        <v>0</v>
      </c>
      <c r="AJ10" s="175">
        <f>SUMIFS('1-2 人员岗位信息'!H:H,'1-2 人员岗位信息'!$C:$C,"自有人员",'1-2 人员岗位信息'!$B:$B,$D10)</f>
        <v>0</v>
      </c>
      <c r="AK10" s="297"/>
      <c r="AL10" s="175">
        <f t="shared" ref="AL10:AL14" si="20">AM10*AN10</f>
        <v>0</v>
      </c>
      <c r="AM10" s="175">
        <f>SUMIFS('1-2 人员岗位信息'!I:I,'1-2 人员岗位信息'!$C:$C,"自有人员",'1-2 人员岗位信息'!$B:$B,$D10)</f>
        <v>0</v>
      </c>
      <c r="AN10" s="297"/>
      <c r="AO10" s="175">
        <f t="shared" si="11"/>
        <v>0</v>
      </c>
      <c r="AP10" s="175">
        <f>SUMIFS('1-2 人员岗位信息'!J:J,'1-2 人员岗位信息'!$C:$C,"自有人员",'1-2 人员岗位信息'!$B:$B,$D10)</f>
        <v>0</v>
      </c>
      <c r="AQ10" s="297"/>
      <c r="AR10" s="175">
        <f t="shared" ref="AR10:AR14" si="21">AS10*AT10</f>
        <v>0</v>
      </c>
      <c r="AS10" s="175">
        <f>SUMIFS('1-2 人员岗位信息'!K:K,'1-2 人员岗位信息'!$C:$C,"自有人员",'1-2 人员岗位信息'!$B:$B,$D10)</f>
        <v>0</v>
      </c>
      <c r="AT10" s="297"/>
      <c r="AU10" s="175">
        <f t="shared" si="12"/>
        <v>0</v>
      </c>
      <c r="AV10" s="175">
        <f>SUMIFS('1-2 人员岗位信息'!L:L,'1-2 人员岗位信息'!$C:$C,"自有人员",'1-2 人员岗位信息'!$B:$B,$D10)</f>
        <v>0</v>
      </c>
      <c r="AW10" s="297"/>
      <c r="AX10" s="175">
        <f t="shared" si="13"/>
        <v>0</v>
      </c>
      <c r="AY10" s="175">
        <f>SUMIFS('1-2 人员岗位信息'!M:M,'1-2 人员岗位信息'!$C:$C,"自有人员",'1-2 人员岗位信息'!$B:$B,$D10)</f>
        <v>0</v>
      </c>
      <c r="AZ10" s="297"/>
      <c r="BA10" s="175">
        <f t="shared" si="14"/>
        <v>0</v>
      </c>
      <c r="BB10" s="175">
        <f>SUMIFS('1-2 人员岗位信息'!N:N,'1-2 人员岗位信息'!$C:$C,"自有人员",'1-2 人员岗位信息'!$B:$B,$D10)</f>
        <v>0</v>
      </c>
      <c r="BC10" s="297"/>
      <c r="BD10" s="175">
        <f t="shared" si="15"/>
        <v>0</v>
      </c>
      <c r="BE10" s="175">
        <f>SUMIFS('1-2 人员岗位信息'!O:O,'1-2 人员岗位信息'!$C:$C,"自有人员",'1-2 人员岗位信息'!$B:$B,$D10)</f>
        <v>0</v>
      </c>
      <c r="BF10" s="297"/>
      <c r="BG10" s="175">
        <f t="shared" si="16"/>
        <v>0</v>
      </c>
      <c r="BH10" s="175">
        <f>SUMIFS('1-2 人员岗位信息'!P:P,'1-2 人员岗位信息'!$C:$C,"自有人员",'1-2 人员岗位信息'!$B:$B,$D10)</f>
        <v>0</v>
      </c>
      <c r="BI10" s="297"/>
      <c r="BJ10" s="175">
        <f t="shared" si="17"/>
        <v>0</v>
      </c>
      <c r="BK10" s="175">
        <f>SUMIFS('1-2 人员岗位信息'!Q:Q,'1-2 人员岗位信息'!$C:$C,"自有人员",'1-2 人员岗位信息'!$B:$B,$D10)</f>
        <v>0</v>
      </c>
      <c r="BL10" s="306"/>
      <c r="BM10" s="310"/>
      <c r="BN10" s="314"/>
    </row>
    <row r="11" s="262" customFormat="1" ht="33.95" hidden="1" customHeight="1" outlineLevel="5" spans="2:66">
      <c r="B11" s="175" t="s">
        <v>747</v>
      </c>
      <c r="C11" s="282" t="s">
        <v>758</v>
      </c>
      <c r="D11" s="262" t="s">
        <v>759</v>
      </c>
      <c r="E11" s="175" t="s">
        <v>760</v>
      </c>
      <c r="F11" s="175"/>
      <c r="G11" s="175" t="s">
        <v>751</v>
      </c>
      <c r="H11" s="175">
        <f t="shared" si="5"/>
        <v>0</v>
      </c>
      <c r="I11" s="175" t="s">
        <v>752</v>
      </c>
      <c r="J11" s="175" t="e">
        <f t="shared" si="6"/>
        <v>#DIV/0!</v>
      </c>
      <c r="K11" s="175" t="s">
        <v>753</v>
      </c>
      <c r="L11" s="175" t="e">
        <f t="shared" si="7"/>
        <v>#DIV/0!</v>
      </c>
      <c r="M11" s="175" t="s">
        <v>754</v>
      </c>
      <c r="N11" s="175">
        <f t="shared" si="8"/>
        <v>0</v>
      </c>
      <c r="O11" s="175"/>
      <c r="P11" s="289"/>
      <c r="Q11" s="289"/>
      <c r="R11" s="289"/>
      <c r="S11" s="289"/>
      <c r="T11" s="289"/>
      <c r="U11" s="289"/>
      <c r="V11" s="289"/>
      <c r="W11" s="289"/>
      <c r="X11" s="289"/>
      <c r="Y11" s="289"/>
      <c r="Z11" s="289"/>
      <c r="AA11" s="289"/>
      <c r="AB11" s="175">
        <f t="shared" si="18"/>
        <v>0</v>
      </c>
      <c r="AC11" s="175">
        <f t="shared" si="19"/>
        <v>0</v>
      </c>
      <c r="AD11" s="175">
        <f>'1-2 人员岗位信息'!F19</f>
        <v>0</v>
      </c>
      <c r="AE11" s="297"/>
      <c r="AF11" s="175">
        <f t="shared" si="9"/>
        <v>0</v>
      </c>
      <c r="AG11" s="175">
        <f>SUMIFS('1-2 人员岗位信息'!G:G,'1-2 人员岗位信息'!$C:$C,"自有人员",'1-2 人员岗位信息'!$B:$B,$D11)</f>
        <v>0</v>
      </c>
      <c r="AH11" s="297"/>
      <c r="AI11" s="175">
        <f t="shared" si="10"/>
        <v>0</v>
      </c>
      <c r="AJ11" s="175">
        <f>SUMIFS('1-2 人员岗位信息'!H:H,'1-2 人员岗位信息'!$C:$C,"自有人员",'1-2 人员岗位信息'!$B:$B,$D11)</f>
        <v>0</v>
      </c>
      <c r="AK11" s="297"/>
      <c r="AL11" s="175">
        <f t="shared" si="20"/>
        <v>0</v>
      </c>
      <c r="AM11" s="175">
        <f>SUMIFS('1-2 人员岗位信息'!I:I,'1-2 人员岗位信息'!$C:$C,"自有人员",'1-2 人员岗位信息'!$B:$B,$D11)</f>
        <v>0</v>
      </c>
      <c r="AN11" s="297"/>
      <c r="AO11" s="175">
        <f t="shared" si="11"/>
        <v>0</v>
      </c>
      <c r="AP11" s="175">
        <f>SUMIFS('1-2 人员岗位信息'!J:J,'1-2 人员岗位信息'!$C:$C,"自有人员",'1-2 人员岗位信息'!$B:$B,$D11)</f>
        <v>0</v>
      </c>
      <c r="AQ11" s="297"/>
      <c r="AR11" s="175">
        <f t="shared" si="21"/>
        <v>0</v>
      </c>
      <c r="AS11" s="175">
        <f>SUMIFS('1-2 人员岗位信息'!K:K,'1-2 人员岗位信息'!$C:$C,"自有人员",'1-2 人员岗位信息'!$B:$B,$D11)</f>
        <v>0</v>
      </c>
      <c r="AT11" s="297"/>
      <c r="AU11" s="175">
        <f t="shared" si="12"/>
        <v>0</v>
      </c>
      <c r="AV11" s="175">
        <f>SUMIFS('1-2 人员岗位信息'!L:L,'1-2 人员岗位信息'!$C:$C,"自有人员",'1-2 人员岗位信息'!$B:$B,$D11)</f>
        <v>0</v>
      </c>
      <c r="AW11" s="297"/>
      <c r="AX11" s="175">
        <f t="shared" si="13"/>
        <v>0</v>
      </c>
      <c r="AY11" s="175">
        <f>SUMIFS('1-2 人员岗位信息'!M:M,'1-2 人员岗位信息'!$C:$C,"自有人员",'1-2 人员岗位信息'!$B:$B,$D11)</f>
        <v>0</v>
      </c>
      <c r="AZ11" s="297"/>
      <c r="BA11" s="175">
        <f t="shared" si="14"/>
        <v>0</v>
      </c>
      <c r="BB11" s="175">
        <f>SUMIFS('1-2 人员岗位信息'!N:N,'1-2 人员岗位信息'!$C:$C,"自有人员",'1-2 人员岗位信息'!$B:$B,$D11)</f>
        <v>0</v>
      </c>
      <c r="BC11" s="297"/>
      <c r="BD11" s="175">
        <f t="shared" si="15"/>
        <v>0</v>
      </c>
      <c r="BE11" s="175">
        <f>SUMIFS('1-2 人员岗位信息'!O:O,'1-2 人员岗位信息'!$C:$C,"自有人员",'1-2 人员岗位信息'!$B:$B,$D11)</f>
        <v>0</v>
      </c>
      <c r="BF11" s="297"/>
      <c r="BG11" s="175">
        <f t="shared" si="16"/>
        <v>0</v>
      </c>
      <c r="BH11" s="175">
        <f>SUMIFS('1-2 人员岗位信息'!P:P,'1-2 人员岗位信息'!$C:$C,"自有人员",'1-2 人员岗位信息'!$B:$B,$D11)</f>
        <v>0</v>
      </c>
      <c r="BI11" s="297"/>
      <c r="BJ11" s="175">
        <f t="shared" si="17"/>
        <v>0</v>
      </c>
      <c r="BK11" s="175">
        <f>SUMIFS('1-2 人员岗位信息'!Q:Q,'1-2 人员岗位信息'!$C:$C,"自有人员",'1-2 人员岗位信息'!$B:$B,$D11)</f>
        <v>0</v>
      </c>
      <c r="BL11" s="306"/>
      <c r="BM11" s="310"/>
      <c r="BN11" s="314"/>
    </row>
    <row r="12" s="262" customFormat="1" ht="33.95" hidden="1" customHeight="1" outlineLevel="5" spans="2:66">
      <c r="B12" s="175" t="s">
        <v>747</v>
      </c>
      <c r="C12" s="282" t="s">
        <v>761</v>
      </c>
      <c r="D12" s="262" t="s">
        <v>762</v>
      </c>
      <c r="E12" s="175" t="s">
        <v>763</v>
      </c>
      <c r="F12" s="175"/>
      <c r="G12" s="175" t="s">
        <v>751</v>
      </c>
      <c r="H12" s="175">
        <f t="shared" si="5"/>
        <v>0</v>
      </c>
      <c r="I12" s="175" t="s">
        <v>752</v>
      </c>
      <c r="J12" s="175" t="e">
        <f t="shared" si="6"/>
        <v>#DIV/0!</v>
      </c>
      <c r="K12" s="175" t="s">
        <v>753</v>
      </c>
      <c r="L12" s="175" t="e">
        <f t="shared" si="7"/>
        <v>#DIV/0!</v>
      </c>
      <c r="M12" s="175" t="s">
        <v>754</v>
      </c>
      <c r="N12" s="175">
        <f t="shared" si="8"/>
        <v>0</v>
      </c>
      <c r="O12" s="175"/>
      <c r="P12" s="289"/>
      <c r="Q12" s="289"/>
      <c r="R12" s="289"/>
      <c r="S12" s="289"/>
      <c r="T12" s="289"/>
      <c r="U12" s="289"/>
      <c r="V12" s="289"/>
      <c r="W12" s="289"/>
      <c r="X12" s="289"/>
      <c r="Y12" s="289"/>
      <c r="Z12" s="289"/>
      <c r="AA12" s="289"/>
      <c r="AB12" s="175">
        <f t="shared" si="18"/>
        <v>0</v>
      </c>
      <c r="AC12" s="175">
        <f t="shared" si="19"/>
        <v>0</v>
      </c>
      <c r="AD12" s="175">
        <f>'1-2 人员岗位信息'!F23</f>
        <v>0</v>
      </c>
      <c r="AE12" s="297"/>
      <c r="AF12" s="175">
        <f t="shared" si="9"/>
        <v>0</v>
      </c>
      <c r="AG12" s="175">
        <f>SUMIFS('1-2 人员岗位信息'!G:G,'1-2 人员岗位信息'!$C:$C,"自有人员",'1-2 人员岗位信息'!$B:$B,$D12)</f>
        <v>0</v>
      </c>
      <c r="AH12" s="297"/>
      <c r="AI12" s="175">
        <f t="shared" si="10"/>
        <v>0</v>
      </c>
      <c r="AJ12" s="175">
        <f>SUMIFS('1-2 人员岗位信息'!H:H,'1-2 人员岗位信息'!$C:$C,"自有人员",'1-2 人员岗位信息'!$B:$B,$D12)</f>
        <v>0</v>
      </c>
      <c r="AK12" s="297"/>
      <c r="AL12" s="175">
        <f t="shared" si="20"/>
        <v>0</v>
      </c>
      <c r="AM12" s="175">
        <f>SUMIFS('1-2 人员岗位信息'!I:I,'1-2 人员岗位信息'!$C:$C,"自有人员",'1-2 人员岗位信息'!$B:$B,$D12)</f>
        <v>0</v>
      </c>
      <c r="AN12" s="297"/>
      <c r="AO12" s="175">
        <f t="shared" si="11"/>
        <v>0</v>
      </c>
      <c r="AP12" s="175">
        <f>SUMIFS('1-2 人员岗位信息'!J:J,'1-2 人员岗位信息'!$C:$C,"自有人员",'1-2 人员岗位信息'!$B:$B,$D12)</f>
        <v>0</v>
      </c>
      <c r="AQ12" s="297"/>
      <c r="AR12" s="175">
        <f t="shared" si="21"/>
        <v>0</v>
      </c>
      <c r="AS12" s="175">
        <f>SUMIFS('1-2 人员岗位信息'!K:K,'1-2 人员岗位信息'!$C:$C,"自有人员",'1-2 人员岗位信息'!$B:$B,$D12)</f>
        <v>0</v>
      </c>
      <c r="AT12" s="297"/>
      <c r="AU12" s="175">
        <f t="shared" si="12"/>
        <v>0</v>
      </c>
      <c r="AV12" s="175">
        <f>SUMIFS('1-2 人员岗位信息'!L:L,'1-2 人员岗位信息'!$C:$C,"自有人员",'1-2 人员岗位信息'!$B:$B,$D12)</f>
        <v>0</v>
      </c>
      <c r="AW12" s="297"/>
      <c r="AX12" s="175">
        <f t="shared" si="13"/>
        <v>0</v>
      </c>
      <c r="AY12" s="175">
        <f>SUMIFS('1-2 人员岗位信息'!M:M,'1-2 人员岗位信息'!$C:$C,"自有人员",'1-2 人员岗位信息'!$B:$B,$D12)</f>
        <v>0</v>
      </c>
      <c r="AZ12" s="297"/>
      <c r="BA12" s="175">
        <f t="shared" si="14"/>
        <v>0</v>
      </c>
      <c r="BB12" s="175">
        <f>SUMIFS('1-2 人员岗位信息'!N:N,'1-2 人员岗位信息'!$C:$C,"自有人员",'1-2 人员岗位信息'!$B:$B,$D12)</f>
        <v>0</v>
      </c>
      <c r="BC12" s="297"/>
      <c r="BD12" s="175">
        <f t="shared" si="15"/>
        <v>0</v>
      </c>
      <c r="BE12" s="175">
        <f>SUMIFS('1-2 人员岗位信息'!O:O,'1-2 人员岗位信息'!$C:$C,"自有人员",'1-2 人员岗位信息'!$B:$B,$D12)</f>
        <v>0</v>
      </c>
      <c r="BF12" s="297"/>
      <c r="BG12" s="175">
        <f t="shared" si="16"/>
        <v>0</v>
      </c>
      <c r="BH12" s="175">
        <f>SUMIFS('1-2 人员岗位信息'!P:P,'1-2 人员岗位信息'!$C:$C,"自有人员",'1-2 人员岗位信息'!$B:$B,$D12)</f>
        <v>0</v>
      </c>
      <c r="BI12" s="297"/>
      <c r="BJ12" s="175">
        <f t="shared" si="17"/>
        <v>0</v>
      </c>
      <c r="BK12" s="175">
        <f>SUMIFS('1-2 人员岗位信息'!Q:Q,'1-2 人员岗位信息'!$C:$C,"自有人员",'1-2 人员岗位信息'!$B:$B,$D12)</f>
        <v>0</v>
      </c>
      <c r="BL12" s="306"/>
      <c r="BM12" s="310"/>
      <c r="BN12" s="314"/>
    </row>
    <row r="13" s="262" customFormat="1" ht="33.95" hidden="1" customHeight="1" outlineLevel="5" spans="2:66">
      <c r="B13" s="175" t="s">
        <v>747</v>
      </c>
      <c r="C13" s="282" t="s">
        <v>764</v>
      </c>
      <c r="D13" s="262" t="s">
        <v>765</v>
      </c>
      <c r="E13" s="175" t="s">
        <v>766</v>
      </c>
      <c r="F13" s="175"/>
      <c r="G13" s="175" t="s">
        <v>751</v>
      </c>
      <c r="H13" s="175">
        <f t="shared" si="5"/>
        <v>0</v>
      </c>
      <c r="I13" s="175" t="s">
        <v>752</v>
      </c>
      <c r="J13" s="175" t="e">
        <f t="shared" si="6"/>
        <v>#DIV/0!</v>
      </c>
      <c r="K13" s="175" t="s">
        <v>753</v>
      </c>
      <c r="L13" s="175" t="e">
        <f t="shared" si="7"/>
        <v>#DIV/0!</v>
      </c>
      <c r="M13" s="175" t="s">
        <v>754</v>
      </c>
      <c r="N13" s="175">
        <f t="shared" si="8"/>
        <v>0</v>
      </c>
      <c r="O13" s="175"/>
      <c r="P13" s="289"/>
      <c r="Q13" s="289"/>
      <c r="R13" s="289"/>
      <c r="S13" s="289"/>
      <c r="T13" s="289"/>
      <c r="U13" s="289"/>
      <c r="V13" s="289"/>
      <c r="W13" s="289"/>
      <c r="X13" s="289"/>
      <c r="Y13" s="289"/>
      <c r="Z13" s="289"/>
      <c r="AA13" s="289"/>
      <c r="AB13" s="175">
        <f t="shared" si="18"/>
        <v>0</v>
      </c>
      <c r="AC13" s="175">
        <f t="shared" si="19"/>
        <v>0</v>
      </c>
      <c r="AD13" s="175">
        <f>'1-2 人员岗位信息'!F27</f>
        <v>0</v>
      </c>
      <c r="AE13" s="297"/>
      <c r="AF13" s="175">
        <f t="shared" si="9"/>
        <v>0</v>
      </c>
      <c r="AG13" s="175">
        <f>SUMIFS('1-2 人员岗位信息'!G:G,'1-2 人员岗位信息'!$C:$C,"自有人员",'1-2 人员岗位信息'!$B:$B,$D13)</f>
        <v>0</v>
      </c>
      <c r="AH13" s="297"/>
      <c r="AI13" s="175">
        <f t="shared" si="10"/>
        <v>0</v>
      </c>
      <c r="AJ13" s="175">
        <f>SUMIFS('1-2 人员岗位信息'!H:H,'1-2 人员岗位信息'!$C:$C,"自有人员",'1-2 人员岗位信息'!$B:$B,$D13)</f>
        <v>0</v>
      </c>
      <c r="AK13" s="297"/>
      <c r="AL13" s="175">
        <f t="shared" si="20"/>
        <v>0</v>
      </c>
      <c r="AM13" s="175">
        <f>SUMIFS('1-2 人员岗位信息'!I:I,'1-2 人员岗位信息'!$C:$C,"自有人员",'1-2 人员岗位信息'!$B:$B,$D13)</f>
        <v>0</v>
      </c>
      <c r="AN13" s="297"/>
      <c r="AO13" s="175">
        <f t="shared" si="11"/>
        <v>0</v>
      </c>
      <c r="AP13" s="175">
        <f>SUMIFS('1-2 人员岗位信息'!J:J,'1-2 人员岗位信息'!$C:$C,"自有人员",'1-2 人员岗位信息'!$B:$B,$D13)</f>
        <v>0</v>
      </c>
      <c r="AQ13" s="297"/>
      <c r="AR13" s="175">
        <f t="shared" si="21"/>
        <v>0</v>
      </c>
      <c r="AS13" s="175">
        <f>SUMIFS('1-2 人员岗位信息'!K:K,'1-2 人员岗位信息'!$C:$C,"自有人员",'1-2 人员岗位信息'!$B:$B,$D13)</f>
        <v>0</v>
      </c>
      <c r="AT13" s="297"/>
      <c r="AU13" s="175">
        <f t="shared" si="12"/>
        <v>0</v>
      </c>
      <c r="AV13" s="175">
        <f>SUMIFS('1-2 人员岗位信息'!L:L,'1-2 人员岗位信息'!$C:$C,"自有人员",'1-2 人员岗位信息'!$B:$B,$D13)</f>
        <v>0</v>
      </c>
      <c r="AW13" s="297"/>
      <c r="AX13" s="175">
        <f t="shared" si="13"/>
        <v>0</v>
      </c>
      <c r="AY13" s="175">
        <f>SUMIFS('1-2 人员岗位信息'!M:M,'1-2 人员岗位信息'!$C:$C,"自有人员",'1-2 人员岗位信息'!$B:$B,$D13)</f>
        <v>0</v>
      </c>
      <c r="AZ13" s="297"/>
      <c r="BA13" s="175">
        <f t="shared" si="14"/>
        <v>0</v>
      </c>
      <c r="BB13" s="175">
        <f>SUMIFS('1-2 人员岗位信息'!N:N,'1-2 人员岗位信息'!$C:$C,"自有人员",'1-2 人员岗位信息'!$B:$B,$D13)</f>
        <v>0</v>
      </c>
      <c r="BC13" s="297"/>
      <c r="BD13" s="175">
        <f t="shared" si="15"/>
        <v>0</v>
      </c>
      <c r="BE13" s="175">
        <f>SUMIFS('1-2 人员岗位信息'!O:O,'1-2 人员岗位信息'!$C:$C,"自有人员",'1-2 人员岗位信息'!$B:$B,$D13)</f>
        <v>0</v>
      </c>
      <c r="BF13" s="297"/>
      <c r="BG13" s="175">
        <f t="shared" si="16"/>
        <v>0</v>
      </c>
      <c r="BH13" s="175">
        <f>SUMIFS('1-2 人员岗位信息'!P:P,'1-2 人员岗位信息'!$C:$C,"自有人员",'1-2 人员岗位信息'!$B:$B,$D13)</f>
        <v>0</v>
      </c>
      <c r="BI13" s="297"/>
      <c r="BJ13" s="175">
        <f t="shared" si="17"/>
        <v>0</v>
      </c>
      <c r="BK13" s="175">
        <f>SUMIFS('1-2 人员岗位信息'!Q:Q,'1-2 人员岗位信息'!$C:$C,"自有人员",'1-2 人员岗位信息'!$B:$B,$D13)</f>
        <v>0</v>
      </c>
      <c r="BL13" s="306"/>
      <c r="BM13" s="310"/>
      <c r="BN13" s="314"/>
    </row>
    <row r="14" s="262" customFormat="1" ht="33.95" hidden="1" customHeight="1" outlineLevel="5" spans="2:66">
      <c r="B14" s="175" t="s">
        <v>747</v>
      </c>
      <c r="C14" s="282" t="s">
        <v>767</v>
      </c>
      <c r="D14" s="262" t="s">
        <v>768</v>
      </c>
      <c r="E14" s="175" t="s">
        <v>769</v>
      </c>
      <c r="F14" s="175"/>
      <c r="G14" s="175" t="s">
        <v>751</v>
      </c>
      <c r="H14" s="175">
        <f t="shared" si="5"/>
        <v>0</v>
      </c>
      <c r="I14" s="175" t="s">
        <v>752</v>
      </c>
      <c r="J14" s="175" t="e">
        <f t="shared" si="6"/>
        <v>#DIV/0!</v>
      </c>
      <c r="K14" s="175" t="s">
        <v>753</v>
      </c>
      <c r="L14" s="175" t="e">
        <f t="shared" si="7"/>
        <v>#DIV/0!</v>
      </c>
      <c r="M14" s="175" t="s">
        <v>754</v>
      </c>
      <c r="N14" s="175">
        <f t="shared" si="8"/>
        <v>0</v>
      </c>
      <c r="O14" s="175"/>
      <c r="P14" s="289"/>
      <c r="Q14" s="289"/>
      <c r="R14" s="289"/>
      <c r="S14" s="289"/>
      <c r="T14" s="289"/>
      <c r="U14" s="289"/>
      <c r="V14" s="289"/>
      <c r="W14" s="289"/>
      <c r="X14" s="289"/>
      <c r="Y14" s="289"/>
      <c r="Z14" s="289"/>
      <c r="AA14" s="289"/>
      <c r="AB14" s="175">
        <f t="shared" si="18"/>
        <v>0</v>
      </c>
      <c r="AC14" s="175">
        <f t="shared" si="19"/>
        <v>0</v>
      </c>
      <c r="AD14" s="175">
        <f>'1-2 人员岗位信息'!F31</f>
        <v>0</v>
      </c>
      <c r="AE14" s="297"/>
      <c r="AF14" s="175">
        <f t="shared" si="9"/>
        <v>0</v>
      </c>
      <c r="AG14" s="175">
        <f>SUMIFS('1-2 人员岗位信息'!G:G,'1-2 人员岗位信息'!$C:$C,"自有人员",'1-2 人员岗位信息'!$B:$B,$D14)</f>
        <v>0</v>
      </c>
      <c r="AH14" s="297"/>
      <c r="AI14" s="175">
        <f t="shared" si="10"/>
        <v>0</v>
      </c>
      <c r="AJ14" s="175">
        <f>SUMIFS('1-2 人员岗位信息'!H:H,'1-2 人员岗位信息'!$C:$C,"自有人员",'1-2 人员岗位信息'!$B:$B,$D14)</f>
        <v>0</v>
      </c>
      <c r="AK14" s="297"/>
      <c r="AL14" s="175">
        <f t="shared" si="20"/>
        <v>0</v>
      </c>
      <c r="AM14" s="175">
        <f>SUMIFS('1-2 人员岗位信息'!I:I,'1-2 人员岗位信息'!$C:$C,"自有人员",'1-2 人员岗位信息'!$B:$B,$D14)</f>
        <v>0</v>
      </c>
      <c r="AN14" s="297"/>
      <c r="AO14" s="175">
        <f t="shared" si="11"/>
        <v>0</v>
      </c>
      <c r="AP14" s="175">
        <f>SUMIFS('1-2 人员岗位信息'!J:J,'1-2 人员岗位信息'!$C:$C,"自有人员",'1-2 人员岗位信息'!$B:$B,$D14)</f>
        <v>0</v>
      </c>
      <c r="AQ14" s="297"/>
      <c r="AR14" s="175">
        <f t="shared" si="21"/>
        <v>0</v>
      </c>
      <c r="AS14" s="175">
        <f>SUMIFS('1-2 人员岗位信息'!K:K,'1-2 人员岗位信息'!$C:$C,"自有人员",'1-2 人员岗位信息'!$B:$B,$D14)</f>
        <v>0</v>
      </c>
      <c r="AT14" s="297"/>
      <c r="AU14" s="175">
        <f t="shared" si="12"/>
        <v>0</v>
      </c>
      <c r="AV14" s="175">
        <f>SUMIFS('1-2 人员岗位信息'!L:L,'1-2 人员岗位信息'!$C:$C,"自有人员",'1-2 人员岗位信息'!$B:$B,$D14)</f>
        <v>0</v>
      </c>
      <c r="AW14" s="297"/>
      <c r="AX14" s="175">
        <f t="shared" si="13"/>
        <v>0</v>
      </c>
      <c r="AY14" s="175">
        <f>SUMIFS('1-2 人员岗位信息'!M:M,'1-2 人员岗位信息'!$C:$C,"自有人员",'1-2 人员岗位信息'!$B:$B,$D14)</f>
        <v>0</v>
      </c>
      <c r="AZ14" s="297"/>
      <c r="BA14" s="175">
        <f t="shared" si="14"/>
        <v>0</v>
      </c>
      <c r="BB14" s="175">
        <f>SUMIFS('1-2 人员岗位信息'!N:N,'1-2 人员岗位信息'!$C:$C,"自有人员",'1-2 人员岗位信息'!$B:$B,$D14)</f>
        <v>0</v>
      </c>
      <c r="BC14" s="297"/>
      <c r="BD14" s="175">
        <f t="shared" si="15"/>
        <v>0</v>
      </c>
      <c r="BE14" s="175">
        <f>SUMIFS('1-2 人员岗位信息'!O:O,'1-2 人员岗位信息'!$C:$C,"自有人员",'1-2 人员岗位信息'!$B:$B,$D14)</f>
        <v>0</v>
      </c>
      <c r="BF14" s="297"/>
      <c r="BG14" s="175">
        <f t="shared" si="16"/>
        <v>0</v>
      </c>
      <c r="BH14" s="175">
        <f>SUMIFS('1-2 人员岗位信息'!P:P,'1-2 人员岗位信息'!$C:$C,"自有人员",'1-2 人员岗位信息'!$B:$B,$D14)</f>
        <v>0</v>
      </c>
      <c r="BI14" s="297"/>
      <c r="BJ14" s="175">
        <f t="shared" si="17"/>
        <v>0</v>
      </c>
      <c r="BK14" s="175">
        <f>SUMIFS('1-2 人员岗位信息'!Q:Q,'1-2 人员岗位信息'!$C:$C,"自有人员",'1-2 人员岗位信息'!$B:$B,$D14)</f>
        <v>0</v>
      </c>
      <c r="BL14" s="306"/>
      <c r="BM14" s="310"/>
      <c r="BN14" s="314"/>
    </row>
    <row r="15" s="118" customFormat="1" ht="33.95" hidden="1" customHeight="1" outlineLevel="4" collapsed="1" spans="2:66">
      <c r="B15" s="119" t="s">
        <v>742</v>
      </c>
      <c r="C15" s="120" t="s">
        <v>67</v>
      </c>
      <c r="D15" s="118" t="s">
        <v>68</v>
      </c>
      <c r="E15" s="119"/>
      <c r="F15" s="119"/>
      <c r="G15" s="119"/>
      <c r="H15" s="119">
        <f>SUM(H16:H21)</f>
        <v>0</v>
      </c>
      <c r="I15" s="119"/>
      <c r="J15" s="119"/>
      <c r="K15" s="119"/>
      <c r="L15" s="119"/>
      <c r="M15" s="119"/>
      <c r="N15" s="119"/>
      <c r="O15" s="119"/>
      <c r="P15" s="288"/>
      <c r="Q15" s="288"/>
      <c r="R15" s="288"/>
      <c r="S15" s="288"/>
      <c r="T15" s="288"/>
      <c r="U15" s="288"/>
      <c r="V15" s="288"/>
      <c r="W15" s="288"/>
      <c r="X15" s="288"/>
      <c r="Y15" s="288"/>
      <c r="Z15" s="288"/>
      <c r="AA15" s="288"/>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5"/>
      <c r="BM15" s="310"/>
      <c r="BN15" s="313"/>
    </row>
    <row r="16" s="262" customFormat="1" ht="33.95" hidden="1" customHeight="1" outlineLevel="5" spans="2:66">
      <c r="B16" s="175" t="s">
        <v>747</v>
      </c>
      <c r="C16" s="282" t="s">
        <v>770</v>
      </c>
      <c r="D16" s="262" t="s">
        <v>749</v>
      </c>
      <c r="E16" s="175" t="s">
        <v>771</v>
      </c>
      <c r="F16" s="175"/>
      <c r="G16" s="175" t="s">
        <v>751</v>
      </c>
      <c r="H16" s="175">
        <f t="shared" ref="H16:H21" si="23">AB16</f>
        <v>0</v>
      </c>
      <c r="I16" s="175" t="s">
        <v>752</v>
      </c>
      <c r="J16" s="175" t="e">
        <f t="shared" ref="J16:J21" si="24">SUM(AD16,AG16,AJ16,AM16,AP16,AS16,AV16,AY16,BB16,BE16,BH16,BK16)/N16</f>
        <v>#DIV/0!</v>
      </c>
      <c r="K16" s="175" t="s">
        <v>753</v>
      </c>
      <c r="L16" s="175" t="e">
        <f t="shared" ref="L16:L21" si="25">H16/N16/J16</f>
        <v>#DIV/0!</v>
      </c>
      <c r="M16" s="175" t="s">
        <v>754</v>
      </c>
      <c r="N16" s="175">
        <f t="shared" ref="N16:N21" si="26">COUNTIF(AD16,"&gt;0")+COUNTIF(AG16,"&gt;0")+COUNTIF(AJ16,"&gt;0")+COUNTIF(AM16,"&gt;0")+COUNTIF(AP16,"&gt;0")+COUNTIF(AS16,"&gt;0")+COUNTIF(AV16,"&gt;0")+COUNTIF(AY16,"&gt;0")+COUNTIF(BB16,"&gt;0")+COUNTIF(BE16,"&gt;0")+COUNTIF(BH16,"&gt;0")+COUNTIF(BK16,"&gt;0")</f>
        <v>0</v>
      </c>
      <c r="O16" s="175"/>
      <c r="P16" s="289"/>
      <c r="Q16" s="289"/>
      <c r="R16" s="289"/>
      <c r="S16" s="289"/>
      <c r="T16" s="289"/>
      <c r="U16" s="289"/>
      <c r="V16" s="289"/>
      <c r="W16" s="289"/>
      <c r="X16" s="289"/>
      <c r="Y16" s="289"/>
      <c r="Z16" s="289"/>
      <c r="AA16" s="289"/>
      <c r="AB16" s="175">
        <f t="shared" ref="AB16:AB21" si="27">SUM(AC16,AF16,AI16,AL16,AO16,AR16,AU16,AX16,BA16,BD16,BG16,BJ16)</f>
        <v>0</v>
      </c>
      <c r="AC16" s="175">
        <f t="shared" ref="AC16:AC21" si="28">AD16*AE16</f>
        <v>0</v>
      </c>
      <c r="AD16" s="175">
        <f>'1-2 人员岗位信息'!F12</f>
        <v>0</v>
      </c>
      <c r="AE16" s="297"/>
      <c r="AF16" s="175">
        <f t="shared" ref="AF16:AF21" si="29">AG16*AH16</f>
        <v>0</v>
      </c>
      <c r="AG16" s="175">
        <f>SUMIFS('1-2 人员岗位信息'!G:G,'1-2 人员岗位信息'!$C:$C,"劳务派遣",'1-2 人员岗位信息'!$B:$B,$D16)</f>
        <v>0</v>
      </c>
      <c r="AH16" s="297"/>
      <c r="AI16" s="175">
        <f t="shared" ref="AI16:AI21" si="30">AJ16*AK16</f>
        <v>0</v>
      </c>
      <c r="AJ16" s="175">
        <f>SUMIFS('1-2 人员岗位信息'!H:H,'1-2 人员岗位信息'!$C:$C,"劳务派遣",'1-2 人员岗位信息'!$B:$B,$D16)</f>
        <v>0</v>
      </c>
      <c r="AK16" s="297"/>
      <c r="AL16" s="175">
        <f t="shared" ref="AL16:AL21" si="31">AM16*AN16</f>
        <v>0</v>
      </c>
      <c r="AM16" s="175">
        <f>SUMIFS('1-2 人员岗位信息'!I:I,'1-2 人员岗位信息'!$C:$C,"劳务派遣",'1-2 人员岗位信息'!$B:$B,$D16)</f>
        <v>0</v>
      </c>
      <c r="AN16" s="297"/>
      <c r="AO16" s="175">
        <f t="shared" ref="AO16:AO21" si="32">AP16*AQ16</f>
        <v>0</v>
      </c>
      <c r="AP16" s="175">
        <f>SUMIFS('1-2 人员岗位信息'!J:J,'1-2 人员岗位信息'!$C:$C,"劳务派遣",'1-2 人员岗位信息'!$B:$B,$D16)</f>
        <v>0</v>
      </c>
      <c r="AQ16" s="297"/>
      <c r="AR16" s="175">
        <f t="shared" ref="AR16:AR21" si="33">AS16*AT16</f>
        <v>0</v>
      </c>
      <c r="AS16" s="175">
        <f>SUMIFS('1-2 人员岗位信息'!K:K,'1-2 人员岗位信息'!$C:$C,"劳务派遣",'1-2 人员岗位信息'!$B:$B,$D16)</f>
        <v>0</v>
      </c>
      <c r="AT16" s="297"/>
      <c r="AU16" s="175">
        <f t="shared" ref="AU16:AU21" si="34">AV16*AW16</f>
        <v>0</v>
      </c>
      <c r="AV16" s="175">
        <f>SUMIFS('1-2 人员岗位信息'!L:L,'1-2 人员岗位信息'!$C:$C,"劳务派遣",'1-2 人员岗位信息'!$B:$B,$D16)</f>
        <v>0</v>
      </c>
      <c r="AW16" s="297"/>
      <c r="AX16" s="175">
        <f t="shared" ref="AX16:AX21" si="35">AY16*AZ16</f>
        <v>0</v>
      </c>
      <c r="AY16" s="175">
        <f>SUMIFS('1-2 人员岗位信息'!M:M,'1-2 人员岗位信息'!$C:$C,"劳务派遣",'1-2 人员岗位信息'!$B:$B,$D16)</f>
        <v>0</v>
      </c>
      <c r="AZ16" s="297"/>
      <c r="BA16" s="175">
        <f t="shared" ref="BA16:BA21" si="36">BB16*BC16</f>
        <v>0</v>
      </c>
      <c r="BB16" s="175">
        <f>SUMIFS('1-2 人员岗位信息'!N:N,'1-2 人员岗位信息'!$C:$C,"劳务派遣",'1-2 人员岗位信息'!$B:$B,$D16)</f>
        <v>0</v>
      </c>
      <c r="BC16" s="297"/>
      <c r="BD16" s="175">
        <f t="shared" ref="BD16:BD21" si="37">BE16*BF16</f>
        <v>0</v>
      </c>
      <c r="BE16" s="175">
        <f>SUMIFS('1-2 人员岗位信息'!O:O,'1-2 人员岗位信息'!$C:$C,"劳务派遣",'1-2 人员岗位信息'!$B:$B,$D16)</f>
        <v>0</v>
      </c>
      <c r="BF16" s="297"/>
      <c r="BG16" s="175">
        <f t="shared" ref="BG16:BG21" si="38">BH16*BI16</f>
        <v>0</v>
      </c>
      <c r="BH16" s="175">
        <f>SUMIFS('1-2 人员岗位信息'!P:P,'1-2 人员岗位信息'!$C:$C,"劳务派遣",'1-2 人员岗位信息'!$B:$B,$D16)</f>
        <v>0</v>
      </c>
      <c r="BI16" s="297"/>
      <c r="BJ16" s="175">
        <f t="shared" ref="BJ16:BJ20" si="39">BK16*BL16</f>
        <v>0</v>
      </c>
      <c r="BK16" s="175">
        <f>SUMIFS('1-2 人员岗位信息'!Q:Q,'1-2 人员岗位信息'!$C:$C,"劳务派遣",'1-2 人员岗位信息'!$B:$B,$D16)</f>
        <v>0</v>
      </c>
      <c r="BL16" s="306"/>
      <c r="BM16" s="310"/>
      <c r="BN16" s="314"/>
    </row>
    <row r="17" s="262" customFormat="1" ht="33.95" hidden="1" customHeight="1" outlineLevel="5" spans="2:66">
      <c r="B17" s="175" t="s">
        <v>747</v>
      </c>
      <c r="C17" s="282" t="s">
        <v>772</v>
      </c>
      <c r="D17" s="262" t="s">
        <v>756</v>
      </c>
      <c r="E17" s="175" t="s">
        <v>773</v>
      </c>
      <c r="F17" s="175"/>
      <c r="G17" s="175" t="s">
        <v>751</v>
      </c>
      <c r="H17" s="175">
        <f t="shared" si="23"/>
        <v>0</v>
      </c>
      <c r="I17" s="175" t="s">
        <v>752</v>
      </c>
      <c r="J17" s="175" t="e">
        <f t="shared" si="24"/>
        <v>#DIV/0!</v>
      </c>
      <c r="K17" s="175" t="s">
        <v>753</v>
      </c>
      <c r="L17" s="175" t="e">
        <f t="shared" si="25"/>
        <v>#DIV/0!</v>
      </c>
      <c r="M17" s="175" t="s">
        <v>754</v>
      </c>
      <c r="N17" s="175">
        <f t="shared" si="26"/>
        <v>0</v>
      </c>
      <c r="O17" s="175"/>
      <c r="P17" s="289"/>
      <c r="Q17" s="289"/>
      <c r="R17" s="289"/>
      <c r="S17" s="289"/>
      <c r="T17" s="289"/>
      <c r="U17" s="289"/>
      <c r="V17" s="289"/>
      <c r="W17" s="289"/>
      <c r="X17" s="289"/>
      <c r="Y17" s="289"/>
      <c r="Z17" s="289"/>
      <c r="AA17" s="289"/>
      <c r="AB17" s="175">
        <f t="shared" si="27"/>
        <v>0</v>
      </c>
      <c r="AC17" s="175">
        <f t="shared" si="28"/>
        <v>0</v>
      </c>
      <c r="AD17" s="175">
        <f>'1-2 人员岗位信息'!F16</f>
        <v>0</v>
      </c>
      <c r="AE17" s="297"/>
      <c r="AF17" s="175">
        <f t="shared" si="29"/>
        <v>0</v>
      </c>
      <c r="AG17" s="175">
        <f>SUMIFS('1-2 人员岗位信息'!G:G,'1-2 人员岗位信息'!$C:$C,"劳务派遣",'1-2 人员岗位信息'!$B:$B,$D17)</f>
        <v>0</v>
      </c>
      <c r="AH17" s="297"/>
      <c r="AI17" s="175">
        <f t="shared" si="30"/>
        <v>0</v>
      </c>
      <c r="AJ17" s="175">
        <f>SUMIFS('1-2 人员岗位信息'!H:H,'1-2 人员岗位信息'!$C:$C,"劳务派遣",'1-2 人员岗位信息'!$B:$B,$D17)</f>
        <v>0</v>
      </c>
      <c r="AK17" s="297"/>
      <c r="AL17" s="175">
        <f t="shared" si="31"/>
        <v>0</v>
      </c>
      <c r="AM17" s="175">
        <f>SUMIFS('1-2 人员岗位信息'!I:I,'1-2 人员岗位信息'!$C:$C,"劳务派遣",'1-2 人员岗位信息'!$B:$B,$D17)</f>
        <v>0</v>
      </c>
      <c r="AN17" s="297"/>
      <c r="AO17" s="175">
        <f t="shared" si="32"/>
        <v>0</v>
      </c>
      <c r="AP17" s="175">
        <f>SUMIFS('1-2 人员岗位信息'!J:J,'1-2 人员岗位信息'!$C:$C,"劳务派遣",'1-2 人员岗位信息'!$B:$B,$D17)</f>
        <v>0</v>
      </c>
      <c r="AQ17" s="297"/>
      <c r="AR17" s="175">
        <f t="shared" si="33"/>
        <v>0</v>
      </c>
      <c r="AS17" s="175">
        <f>SUMIFS('1-2 人员岗位信息'!K:K,'1-2 人员岗位信息'!$C:$C,"劳务派遣",'1-2 人员岗位信息'!$B:$B,$D17)</f>
        <v>0</v>
      </c>
      <c r="AT17" s="297"/>
      <c r="AU17" s="175">
        <f t="shared" si="34"/>
        <v>0</v>
      </c>
      <c r="AV17" s="175">
        <f>SUMIFS('1-2 人员岗位信息'!L:L,'1-2 人员岗位信息'!$C:$C,"劳务派遣",'1-2 人员岗位信息'!$B:$B,$D17)</f>
        <v>0</v>
      </c>
      <c r="AW17" s="297"/>
      <c r="AX17" s="175">
        <f t="shared" si="35"/>
        <v>0</v>
      </c>
      <c r="AY17" s="175">
        <f>SUMIFS('1-2 人员岗位信息'!M:M,'1-2 人员岗位信息'!$C:$C,"劳务派遣",'1-2 人员岗位信息'!$B:$B,$D17)</f>
        <v>0</v>
      </c>
      <c r="AZ17" s="297"/>
      <c r="BA17" s="175">
        <f t="shared" si="36"/>
        <v>0</v>
      </c>
      <c r="BB17" s="175">
        <f>SUMIFS('1-2 人员岗位信息'!N:N,'1-2 人员岗位信息'!$C:$C,"劳务派遣",'1-2 人员岗位信息'!$B:$B,$D17)</f>
        <v>0</v>
      </c>
      <c r="BC17" s="297"/>
      <c r="BD17" s="175">
        <f t="shared" si="37"/>
        <v>0</v>
      </c>
      <c r="BE17" s="175">
        <f>SUMIFS('1-2 人员岗位信息'!O:O,'1-2 人员岗位信息'!$C:$C,"劳务派遣",'1-2 人员岗位信息'!$B:$B,$D17)</f>
        <v>0</v>
      </c>
      <c r="BF17" s="297"/>
      <c r="BG17" s="175">
        <f t="shared" si="38"/>
        <v>0</v>
      </c>
      <c r="BH17" s="175">
        <f>SUMIFS('1-2 人员岗位信息'!P:P,'1-2 人员岗位信息'!$C:$C,"劳务派遣",'1-2 人员岗位信息'!$B:$B,$D17)</f>
        <v>0</v>
      </c>
      <c r="BI17" s="297"/>
      <c r="BJ17" s="175">
        <f t="shared" si="39"/>
        <v>0</v>
      </c>
      <c r="BK17" s="175">
        <f>SUMIFS('1-2 人员岗位信息'!Q:Q,'1-2 人员岗位信息'!$C:$C,"劳务派遣",'1-2 人员岗位信息'!$B:$B,$D17)</f>
        <v>0</v>
      </c>
      <c r="BL17" s="306"/>
      <c r="BM17" s="310"/>
      <c r="BN17" s="314"/>
    </row>
    <row r="18" s="262" customFormat="1" ht="33.95" hidden="1" customHeight="1" outlineLevel="5" spans="2:66">
      <c r="B18" s="175" t="s">
        <v>747</v>
      </c>
      <c r="C18" s="282" t="s">
        <v>774</v>
      </c>
      <c r="D18" s="262" t="s">
        <v>759</v>
      </c>
      <c r="E18" s="175" t="s">
        <v>760</v>
      </c>
      <c r="F18" s="175"/>
      <c r="G18" s="175" t="s">
        <v>751</v>
      </c>
      <c r="H18" s="175">
        <f t="shared" si="23"/>
        <v>0</v>
      </c>
      <c r="I18" s="175" t="s">
        <v>752</v>
      </c>
      <c r="J18" s="175" t="e">
        <f t="shared" si="24"/>
        <v>#DIV/0!</v>
      </c>
      <c r="K18" s="175" t="s">
        <v>753</v>
      </c>
      <c r="L18" s="175" t="e">
        <f t="shared" si="25"/>
        <v>#DIV/0!</v>
      </c>
      <c r="M18" s="175" t="s">
        <v>754</v>
      </c>
      <c r="N18" s="175">
        <f t="shared" si="26"/>
        <v>0</v>
      </c>
      <c r="O18" s="175"/>
      <c r="P18" s="289"/>
      <c r="Q18" s="289"/>
      <c r="R18" s="289"/>
      <c r="S18" s="289"/>
      <c r="T18" s="289"/>
      <c r="U18" s="289"/>
      <c r="V18" s="289"/>
      <c r="W18" s="289"/>
      <c r="X18" s="289"/>
      <c r="Y18" s="289"/>
      <c r="Z18" s="289"/>
      <c r="AA18" s="289"/>
      <c r="AB18" s="175">
        <f t="shared" si="27"/>
        <v>0</v>
      </c>
      <c r="AC18" s="175">
        <f t="shared" si="28"/>
        <v>0</v>
      </c>
      <c r="AD18" s="175">
        <f>'1-2 人员岗位信息'!F20</f>
        <v>0</v>
      </c>
      <c r="AE18" s="297"/>
      <c r="AF18" s="175">
        <f t="shared" si="29"/>
        <v>0</v>
      </c>
      <c r="AG18" s="175">
        <f>SUMIFS('1-2 人员岗位信息'!G:G,'1-2 人员岗位信息'!$C:$C,"劳务派遣",'1-2 人员岗位信息'!$B:$B,$D18)</f>
        <v>0</v>
      </c>
      <c r="AH18" s="297"/>
      <c r="AI18" s="175">
        <f t="shared" si="30"/>
        <v>0</v>
      </c>
      <c r="AJ18" s="175">
        <f>SUMIFS('1-2 人员岗位信息'!H:H,'1-2 人员岗位信息'!$C:$C,"劳务派遣",'1-2 人员岗位信息'!$B:$B,$D18)</f>
        <v>0</v>
      </c>
      <c r="AK18" s="297"/>
      <c r="AL18" s="175">
        <f t="shared" si="31"/>
        <v>0</v>
      </c>
      <c r="AM18" s="175">
        <f>SUMIFS('1-2 人员岗位信息'!I:I,'1-2 人员岗位信息'!$C:$C,"劳务派遣",'1-2 人员岗位信息'!$B:$B,$D18)</f>
        <v>0</v>
      </c>
      <c r="AN18" s="297"/>
      <c r="AO18" s="175">
        <f t="shared" si="32"/>
        <v>0</v>
      </c>
      <c r="AP18" s="175">
        <f>SUMIFS('1-2 人员岗位信息'!J:J,'1-2 人员岗位信息'!$C:$C,"劳务派遣",'1-2 人员岗位信息'!$B:$B,$D18)</f>
        <v>0</v>
      </c>
      <c r="AQ18" s="297"/>
      <c r="AR18" s="175">
        <f t="shared" si="33"/>
        <v>0</v>
      </c>
      <c r="AS18" s="175">
        <f>SUMIFS('1-2 人员岗位信息'!K:K,'1-2 人员岗位信息'!$C:$C,"劳务派遣",'1-2 人员岗位信息'!$B:$B,$D18)</f>
        <v>0</v>
      </c>
      <c r="AT18" s="297"/>
      <c r="AU18" s="175">
        <f t="shared" si="34"/>
        <v>0</v>
      </c>
      <c r="AV18" s="175">
        <f>SUMIFS('1-2 人员岗位信息'!L:L,'1-2 人员岗位信息'!$C:$C,"劳务派遣",'1-2 人员岗位信息'!$B:$B,$D18)</f>
        <v>0</v>
      </c>
      <c r="AW18" s="297"/>
      <c r="AX18" s="175">
        <f t="shared" si="35"/>
        <v>0</v>
      </c>
      <c r="AY18" s="175">
        <f>SUMIFS('1-2 人员岗位信息'!M:M,'1-2 人员岗位信息'!$C:$C,"劳务派遣",'1-2 人员岗位信息'!$B:$B,$D18)</f>
        <v>0</v>
      </c>
      <c r="AZ18" s="297"/>
      <c r="BA18" s="175">
        <f t="shared" si="36"/>
        <v>0</v>
      </c>
      <c r="BB18" s="175">
        <f>SUMIFS('1-2 人员岗位信息'!N:N,'1-2 人员岗位信息'!$C:$C,"劳务派遣",'1-2 人员岗位信息'!$B:$B,$D18)</f>
        <v>0</v>
      </c>
      <c r="BC18" s="297"/>
      <c r="BD18" s="175">
        <f t="shared" si="37"/>
        <v>0</v>
      </c>
      <c r="BE18" s="175">
        <f>SUMIFS('1-2 人员岗位信息'!O:O,'1-2 人员岗位信息'!$C:$C,"劳务派遣",'1-2 人员岗位信息'!$B:$B,$D18)</f>
        <v>0</v>
      </c>
      <c r="BF18" s="297"/>
      <c r="BG18" s="175">
        <f t="shared" si="38"/>
        <v>0</v>
      </c>
      <c r="BH18" s="175">
        <f>SUMIFS('1-2 人员岗位信息'!P:P,'1-2 人员岗位信息'!$C:$C,"劳务派遣",'1-2 人员岗位信息'!$B:$B,$D18)</f>
        <v>0</v>
      </c>
      <c r="BI18" s="297"/>
      <c r="BJ18" s="175">
        <f t="shared" si="39"/>
        <v>0</v>
      </c>
      <c r="BK18" s="175">
        <f>SUMIFS('1-2 人员岗位信息'!Q:Q,'1-2 人员岗位信息'!$C:$C,"劳务派遣",'1-2 人员岗位信息'!$B:$B,$D18)</f>
        <v>0</v>
      </c>
      <c r="BL18" s="297"/>
      <c r="BM18" s="310"/>
      <c r="BN18" s="314"/>
    </row>
    <row r="19" s="262" customFormat="1" ht="33.95" hidden="1" customHeight="1" outlineLevel="5" spans="2:66">
      <c r="B19" s="175" t="s">
        <v>747</v>
      </c>
      <c r="C19" s="282" t="s">
        <v>775</v>
      </c>
      <c r="D19" s="262" t="s">
        <v>762</v>
      </c>
      <c r="E19" s="175" t="s">
        <v>763</v>
      </c>
      <c r="F19" s="175"/>
      <c r="G19" s="175" t="s">
        <v>751</v>
      </c>
      <c r="H19" s="175">
        <f t="shared" si="23"/>
        <v>0</v>
      </c>
      <c r="I19" s="175" t="s">
        <v>752</v>
      </c>
      <c r="J19" s="175" t="e">
        <f t="shared" si="24"/>
        <v>#DIV/0!</v>
      </c>
      <c r="K19" s="175" t="s">
        <v>753</v>
      </c>
      <c r="L19" s="175" t="e">
        <f t="shared" si="25"/>
        <v>#DIV/0!</v>
      </c>
      <c r="M19" s="175" t="s">
        <v>754</v>
      </c>
      <c r="N19" s="175">
        <f t="shared" si="26"/>
        <v>0</v>
      </c>
      <c r="O19" s="175"/>
      <c r="P19" s="289"/>
      <c r="Q19" s="289"/>
      <c r="R19" s="289"/>
      <c r="S19" s="289"/>
      <c r="T19" s="289"/>
      <c r="U19" s="289"/>
      <c r="V19" s="289"/>
      <c r="W19" s="289"/>
      <c r="X19" s="289"/>
      <c r="Y19" s="289"/>
      <c r="Z19" s="289"/>
      <c r="AA19" s="289"/>
      <c r="AB19" s="175">
        <f t="shared" si="27"/>
        <v>0</v>
      </c>
      <c r="AC19" s="175">
        <f t="shared" si="28"/>
        <v>0</v>
      </c>
      <c r="AD19" s="175">
        <f>'1-2 人员岗位信息'!F24</f>
        <v>0</v>
      </c>
      <c r="AE19" s="297"/>
      <c r="AF19" s="175">
        <f t="shared" si="29"/>
        <v>0</v>
      </c>
      <c r="AG19" s="175">
        <f>SUMIFS('1-2 人员岗位信息'!G:G,'1-2 人员岗位信息'!$C:$C,"劳务派遣",'1-2 人员岗位信息'!$B:$B,$D19)</f>
        <v>0</v>
      </c>
      <c r="AH19" s="297"/>
      <c r="AI19" s="175">
        <f t="shared" si="30"/>
        <v>0</v>
      </c>
      <c r="AJ19" s="175">
        <f>SUMIFS('1-2 人员岗位信息'!H:H,'1-2 人员岗位信息'!$C:$C,"劳务派遣",'1-2 人员岗位信息'!$B:$B,$D19)</f>
        <v>0</v>
      </c>
      <c r="AK19" s="297"/>
      <c r="AL19" s="175">
        <f t="shared" si="31"/>
        <v>0</v>
      </c>
      <c r="AM19" s="175">
        <f>SUMIFS('1-2 人员岗位信息'!I:I,'1-2 人员岗位信息'!$C:$C,"劳务派遣",'1-2 人员岗位信息'!$B:$B,$D19)</f>
        <v>0</v>
      </c>
      <c r="AN19" s="297"/>
      <c r="AO19" s="175">
        <f t="shared" si="32"/>
        <v>0</v>
      </c>
      <c r="AP19" s="175">
        <f>SUMIFS('1-2 人员岗位信息'!J:J,'1-2 人员岗位信息'!$C:$C,"劳务派遣",'1-2 人员岗位信息'!$B:$B,$D19)</f>
        <v>0</v>
      </c>
      <c r="AQ19" s="297"/>
      <c r="AR19" s="175">
        <f t="shared" si="33"/>
        <v>0</v>
      </c>
      <c r="AS19" s="175">
        <f>SUMIFS('1-2 人员岗位信息'!K:K,'1-2 人员岗位信息'!$C:$C,"劳务派遣",'1-2 人员岗位信息'!$B:$B,$D19)</f>
        <v>0</v>
      </c>
      <c r="AT19" s="297"/>
      <c r="AU19" s="175">
        <f t="shared" si="34"/>
        <v>0</v>
      </c>
      <c r="AV19" s="175">
        <f>SUMIFS('1-2 人员岗位信息'!L:L,'1-2 人员岗位信息'!$C:$C,"劳务派遣",'1-2 人员岗位信息'!$B:$B,$D19)</f>
        <v>0</v>
      </c>
      <c r="AW19" s="297"/>
      <c r="AX19" s="175">
        <f t="shared" si="35"/>
        <v>0</v>
      </c>
      <c r="AY19" s="175">
        <f>SUMIFS('1-2 人员岗位信息'!M:M,'1-2 人员岗位信息'!$C:$C,"劳务派遣",'1-2 人员岗位信息'!$B:$B,$D19)</f>
        <v>0</v>
      </c>
      <c r="AZ19" s="297"/>
      <c r="BA19" s="175">
        <f t="shared" si="36"/>
        <v>0</v>
      </c>
      <c r="BB19" s="175">
        <f>SUMIFS('1-2 人员岗位信息'!N:N,'1-2 人员岗位信息'!$C:$C,"劳务派遣",'1-2 人员岗位信息'!$B:$B,$D19)</f>
        <v>0</v>
      </c>
      <c r="BC19" s="297"/>
      <c r="BD19" s="175">
        <f t="shared" si="37"/>
        <v>0</v>
      </c>
      <c r="BE19" s="175">
        <f>SUMIFS('1-2 人员岗位信息'!O:O,'1-2 人员岗位信息'!$C:$C,"劳务派遣",'1-2 人员岗位信息'!$B:$B,$D19)</f>
        <v>0</v>
      </c>
      <c r="BF19" s="297"/>
      <c r="BG19" s="175">
        <f t="shared" si="38"/>
        <v>0</v>
      </c>
      <c r="BH19" s="175">
        <f>SUMIFS('1-2 人员岗位信息'!P:P,'1-2 人员岗位信息'!$C:$C,"劳务派遣",'1-2 人员岗位信息'!$B:$B,$D19)</f>
        <v>0</v>
      </c>
      <c r="BI19" s="297"/>
      <c r="BJ19" s="175">
        <f t="shared" si="39"/>
        <v>0</v>
      </c>
      <c r="BK19" s="175">
        <f>SUMIFS('1-2 人员岗位信息'!Q:Q,'1-2 人员岗位信息'!$C:$C,"劳务派遣",'1-2 人员岗位信息'!$B:$B,$D19)</f>
        <v>0</v>
      </c>
      <c r="BL19" s="306"/>
      <c r="BM19" s="310"/>
      <c r="BN19" s="314"/>
    </row>
    <row r="20" s="262" customFormat="1" ht="33.95" hidden="1" customHeight="1" outlineLevel="5" spans="2:66">
      <c r="B20" s="175" t="s">
        <v>747</v>
      </c>
      <c r="C20" s="282" t="s">
        <v>776</v>
      </c>
      <c r="D20" s="262" t="s">
        <v>765</v>
      </c>
      <c r="E20" s="175" t="s">
        <v>766</v>
      </c>
      <c r="F20" s="175"/>
      <c r="G20" s="175" t="s">
        <v>751</v>
      </c>
      <c r="H20" s="175">
        <f t="shared" si="23"/>
        <v>0</v>
      </c>
      <c r="I20" s="175" t="s">
        <v>752</v>
      </c>
      <c r="J20" s="175" t="e">
        <f t="shared" si="24"/>
        <v>#DIV/0!</v>
      </c>
      <c r="K20" s="175" t="s">
        <v>753</v>
      </c>
      <c r="L20" s="175" t="e">
        <f t="shared" si="25"/>
        <v>#DIV/0!</v>
      </c>
      <c r="M20" s="175" t="s">
        <v>754</v>
      </c>
      <c r="N20" s="175">
        <f t="shared" si="26"/>
        <v>0</v>
      </c>
      <c r="O20" s="175"/>
      <c r="P20" s="289"/>
      <c r="Q20" s="289"/>
      <c r="R20" s="289"/>
      <c r="S20" s="289"/>
      <c r="T20" s="289"/>
      <c r="U20" s="289"/>
      <c r="V20" s="289"/>
      <c r="W20" s="289"/>
      <c r="X20" s="289"/>
      <c r="Y20" s="289"/>
      <c r="Z20" s="289"/>
      <c r="AA20" s="289"/>
      <c r="AB20" s="175">
        <f t="shared" si="27"/>
        <v>0</v>
      </c>
      <c r="AC20" s="175">
        <f t="shared" si="28"/>
        <v>0</v>
      </c>
      <c r="AD20" s="175">
        <f>'1-2 人员岗位信息'!F28</f>
        <v>0</v>
      </c>
      <c r="AE20" s="297"/>
      <c r="AF20" s="175">
        <f t="shared" si="29"/>
        <v>0</v>
      </c>
      <c r="AG20" s="175">
        <f>SUMIFS('1-2 人员岗位信息'!G:G,'1-2 人员岗位信息'!$C:$C,"劳务派遣",'1-2 人员岗位信息'!$B:$B,$D20)</f>
        <v>0</v>
      </c>
      <c r="AH20" s="297"/>
      <c r="AI20" s="175">
        <f t="shared" si="30"/>
        <v>0</v>
      </c>
      <c r="AJ20" s="175">
        <f>SUMIFS('1-2 人员岗位信息'!H:H,'1-2 人员岗位信息'!$C:$C,"劳务派遣",'1-2 人员岗位信息'!$B:$B,$D20)</f>
        <v>0</v>
      </c>
      <c r="AK20" s="297"/>
      <c r="AL20" s="175">
        <f t="shared" si="31"/>
        <v>0</v>
      </c>
      <c r="AM20" s="175">
        <f>SUMIFS('1-2 人员岗位信息'!I:I,'1-2 人员岗位信息'!$C:$C,"劳务派遣",'1-2 人员岗位信息'!$B:$B,$D20)</f>
        <v>0</v>
      </c>
      <c r="AN20" s="297"/>
      <c r="AO20" s="175">
        <f t="shared" si="32"/>
        <v>0</v>
      </c>
      <c r="AP20" s="175">
        <f>SUMIFS('1-2 人员岗位信息'!J:J,'1-2 人员岗位信息'!$C:$C,"劳务派遣",'1-2 人员岗位信息'!$B:$B,$D20)</f>
        <v>0</v>
      </c>
      <c r="AQ20" s="297"/>
      <c r="AR20" s="175">
        <f t="shared" si="33"/>
        <v>0</v>
      </c>
      <c r="AS20" s="175">
        <f>SUMIFS('1-2 人员岗位信息'!K:K,'1-2 人员岗位信息'!$C:$C,"劳务派遣",'1-2 人员岗位信息'!$B:$B,$D20)</f>
        <v>0</v>
      </c>
      <c r="AT20" s="297"/>
      <c r="AU20" s="175">
        <f t="shared" si="34"/>
        <v>0</v>
      </c>
      <c r="AV20" s="175">
        <f>SUMIFS('1-2 人员岗位信息'!L:L,'1-2 人员岗位信息'!$C:$C,"劳务派遣",'1-2 人员岗位信息'!$B:$B,$D20)</f>
        <v>0</v>
      </c>
      <c r="AW20" s="297"/>
      <c r="AX20" s="175">
        <f t="shared" si="35"/>
        <v>0</v>
      </c>
      <c r="AY20" s="175">
        <f>SUMIFS('1-2 人员岗位信息'!M:M,'1-2 人员岗位信息'!$C:$C,"劳务派遣",'1-2 人员岗位信息'!$B:$B,$D20)</f>
        <v>0</v>
      </c>
      <c r="AZ20" s="297"/>
      <c r="BA20" s="175">
        <f t="shared" si="36"/>
        <v>0</v>
      </c>
      <c r="BB20" s="175">
        <f>SUMIFS('1-2 人员岗位信息'!N:N,'1-2 人员岗位信息'!$C:$C,"劳务派遣",'1-2 人员岗位信息'!$B:$B,$D20)</f>
        <v>0</v>
      </c>
      <c r="BC20" s="297"/>
      <c r="BD20" s="175">
        <f t="shared" si="37"/>
        <v>0</v>
      </c>
      <c r="BE20" s="175">
        <f>SUMIFS('1-2 人员岗位信息'!O:O,'1-2 人员岗位信息'!$C:$C,"劳务派遣",'1-2 人员岗位信息'!$B:$B,$D20)</f>
        <v>0</v>
      </c>
      <c r="BF20" s="297"/>
      <c r="BG20" s="175">
        <f t="shared" si="38"/>
        <v>0</v>
      </c>
      <c r="BH20" s="175">
        <f>SUMIFS('1-2 人员岗位信息'!P:P,'1-2 人员岗位信息'!$C:$C,"劳务派遣",'1-2 人员岗位信息'!$B:$B,$D20)</f>
        <v>0</v>
      </c>
      <c r="BI20" s="297"/>
      <c r="BJ20" s="175">
        <f t="shared" si="39"/>
        <v>0</v>
      </c>
      <c r="BK20" s="175">
        <f>SUMIFS('1-2 人员岗位信息'!Q:Q,'1-2 人员岗位信息'!$C:$C,"劳务派遣",'1-2 人员岗位信息'!$B:$B,$D20)</f>
        <v>0</v>
      </c>
      <c r="BL20" s="306"/>
      <c r="BM20" s="310"/>
      <c r="BN20" s="314"/>
    </row>
    <row r="21" s="262" customFormat="1" ht="33.95" hidden="1" customHeight="1" outlineLevel="5" spans="2:66">
      <c r="B21" s="175" t="s">
        <v>747</v>
      </c>
      <c r="C21" s="282" t="s">
        <v>777</v>
      </c>
      <c r="D21" s="262" t="s">
        <v>768</v>
      </c>
      <c r="E21" s="175" t="s">
        <v>769</v>
      </c>
      <c r="F21" s="175"/>
      <c r="G21" s="175" t="s">
        <v>751</v>
      </c>
      <c r="H21" s="175">
        <f t="shared" si="23"/>
        <v>0</v>
      </c>
      <c r="I21" s="175" t="s">
        <v>752</v>
      </c>
      <c r="J21" s="175" t="e">
        <f t="shared" si="24"/>
        <v>#DIV/0!</v>
      </c>
      <c r="K21" s="175" t="s">
        <v>753</v>
      </c>
      <c r="L21" s="175" t="e">
        <f t="shared" si="25"/>
        <v>#DIV/0!</v>
      </c>
      <c r="M21" s="175" t="s">
        <v>754</v>
      </c>
      <c r="N21" s="175">
        <f t="shared" si="26"/>
        <v>0</v>
      </c>
      <c r="O21" s="175"/>
      <c r="P21" s="289"/>
      <c r="Q21" s="289"/>
      <c r="R21" s="289"/>
      <c r="S21" s="289"/>
      <c r="T21" s="289"/>
      <c r="U21" s="289"/>
      <c r="V21" s="289"/>
      <c r="W21" s="289"/>
      <c r="X21" s="289"/>
      <c r="Y21" s="289"/>
      <c r="Z21" s="289"/>
      <c r="AA21" s="289"/>
      <c r="AB21" s="175">
        <f t="shared" si="27"/>
        <v>0</v>
      </c>
      <c r="AC21" s="175">
        <f t="shared" si="28"/>
        <v>0</v>
      </c>
      <c r="AD21" s="175">
        <f>'1-2 人员岗位信息'!F32</f>
        <v>0</v>
      </c>
      <c r="AE21" s="297"/>
      <c r="AF21" s="175">
        <f t="shared" si="29"/>
        <v>0</v>
      </c>
      <c r="AG21" s="175">
        <f>SUMIFS('1-2 人员岗位信息'!G:G,'1-2 人员岗位信息'!$C:$C,"劳务派遣",'1-2 人员岗位信息'!$B:$B,$D21)</f>
        <v>0</v>
      </c>
      <c r="AH21" s="297"/>
      <c r="AI21" s="175">
        <f t="shared" si="30"/>
        <v>0</v>
      </c>
      <c r="AJ21" s="175">
        <f>SUMIFS('1-2 人员岗位信息'!H:H,'1-2 人员岗位信息'!$C:$C,"劳务派遣",'1-2 人员岗位信息'!$B:$B,$D21)</f>
        <v>0</v>
      </c>
      <c r="AK21" s="297"/>
      <c r="AL21" s="175">
        <f t="shared" si="31"/>
        <v>0</v>
      </c>
      <c r="AM21" s="175">
        <f>SUMIFS('1-2 人员岗位信息'!I:I,'1-2 人员岗位信息'!$C:$C,"劳务派遣",'1-2 人员岗位信息'!$B:$B,$D21)</f>
        <v>0</v>
      </c>
      <c r="AN21" s="297"/>
      <c r="AO21" s="175">
        <f t="shared" si="32"/>
        <v>0</v>
      </c>
      <c r="AP21" s="175">
        <f>SUMIFS('1-2 人员岗位信息'!J:J,'1-2 人员岗位信息'!$C:$C,"劳务派遣",'1-2 人员岗位信息'!$B:$B,$D21)</f>
        <v>0</v>
      </c>
      <c r="AQ21" s="297"/>
      <c r="AR21" s="175">
        <f t="shared" si="33"/>
        <v>0</v>
      </c>
      <c r="AS21" s="175">
        <f>SUMIFS('1-2 人员岗位信息'!K:K,'1-2 人员岗位信息'!$C:$C,"劳务派遣",'1-2 人员岗位信息'!$B:$B,$D21)</f>
        <v>0</v>
      </c>
      <c r="AT21" s="297"/>
      <c r="AU21" s="175">
        <f t="shared" si="34"/>
        <v>0</v>
      </c>
      <c r="AV21" s="175">
        <f>SUMIFS('1-2 人员岗位信息'!L:L,'1-2 人员岗位信息'!$C:$C,"劳务派遣",'1-2 人员岗位信息'!$B:$B,$D21)</f>
        <v>0</v>
      </c>
      <c r="AW21" s="297"/>
      <c r="AX21" s="175">
        <f t="shared" si="35"/>
        <v>0</v>
      </c>
      <c r="AY21" s="175">
        <f>SUMIFS('1-2 人员岗位信息'!M:M,'1-2 人员岗位信息'!$C:$C,"劳务派遣",'1-2 人员岗位信息'!$B:$B,$D21)</f>
        <v>0</v>
      </c>
      <c r="AZ21" s="297"/>
      <c r="BA21" s="175">
        <f t="shared" si="36"/>
        <v>0</v>
      </c>
      <c r="BB21" s="175">
        <f>SUMIFS('1-2 人员岗位信息'!N:N,'1-2 人员岗位信息'!$C:$C,"劳务派遣",'1-2 人员岗位信息'!$B:$B,$D21)</f>
        <v>0</v>
      </c>
      <c r="BC21" s="297"/>
      <c r="BD21" s="175">
        <f t="shared" si="37"/>
        <v>0</v>
      </c>
      <c r="BE21" s="175">
        <f>SUMIFS('1-2 人员岗位信息'!O:O,'1-2 人员岗位信息'!$C:$C,"劳务派遣",'1-2 人员岗位信息'!$B:$B,$D21)</f>
        <v>0</v>
      </c>
      <c r="BF21" s="297"/>
      <c r="BG21" s="175">
        <f t="shared" si="38"/>
        <v>0</v>
      </c>
      <c r="BH21" s="175">
        <f>SUMIFS('1-2 人员岗位信息'!P:P,'1-2 人员岗位信息'!$C:$C,"劳务派遣",'1-2 人员岗位信息'!$B:$B,$D21)</f>
        <v>0</v>
      </c>
      <c r="BI21" s="297"/>
      <c r="BJ21" s="175">
        <f>BK20*BL21</f>
        <v>0</v>
      </c>
      <c r="BK21" s="175">
        <f>SUMIFS('1-2 人员岗位信息'!Q:Q,'1-2 人员岗位信息'!$C:$C,"劳务派遣",'1-2 人员岗位信息'!$B:$B,$D21)</f>
        <v>0</v>
      </c>
      <c r="BL21" s="306"/>
      <c r="BM21" s="310"/>
      <c r="BN21" s="314"/>
    </row>
    <row r="22" s="118" customFormat="1" ht="33.95" hidden="1" customHeight="1" outlineLevel="4" collapsed="1" spans="2:66">
      <c r="B22" s="119" t="s">
        <v>742</v>
      </c>
      <c r="C22" s="120" t="s">
        <v>18</v>
      </c>
      <c r="D22" s="118" t="s">
        <v>19</v>
      </c>
      <c r="E22" s="119"/>
      <c r="F22" s="119"/>
      <c r="G22" s="119"/>
      <c r="H22" s="119">
        <f>SUM(H23:H28)</f>
        <v>0</v>
      </c>
      <c r="I22" s="119"/>
      <c r="J22" s="119"/>
      <c r="K22" s="119"/>
      <c r="L22" s="119"/>
      <c r="M22" s="119"/>
      <c r="N22" s="119"/>
      <c r="O22" s="119"/>
      <c r="P22" s="288"/>
      <c r="Q22" s="288"/>
      <c r="R22" s="288"/>
      <c r="S22" s="288"/>
      <c r="T22" s="288"/>
      <c r="U22" s="288"/>
      <c r="V22" s="288"/>
      <c r="W22" s="288"/>
      <c r="X22" s="288"/>
      <c r="Y22" s="288"/>
      <c r="Z22" s="288"/>
      <c r="AA22" s="288"/>
      <c r="AB22" s="119">
        <f>SUM(AB23:AB28)</f>
        <v>0</v>
      </c>
      <c r="AC22" s="119">
        <f>SUM(AC23:AC28)</f>
        <v>0</v>
      </c>
      <c r="AD22" s="119"/>
      <c r="AE22" s="119"/>
      <c r="AF22" s="119">
        <f>SUM(AF23:AF28)</f>
        <v>0</v>
      </c>
      <c r="AG22" s="119"/>
      <c r="AH22" s="119"/>
      <c r="AI22" s="119">
        <f>SUM(AI23:AI28)</f>
        <v>0</v>
      </c>
      <c r="AJ22" s="119"/>
      <c r="AK22" s="119"/>
      <c r="AL22" s="119">
        <f>SUM(AL23:AL28)</f>
        <v>0</v>
      </c>
      <c r="AM22" s="119"/>
      <c r="AN22" s="119"/>
      <c r="AO22" s="119">
        <f>SUM(AO23:AO28)</f>
        <v>0</v>
      </c>
      <c r="AP22" s="119"/>
      <c r="AQ22" s="119"/>
      <c r="AR22" s="119">
        <f>SUM(AR23:AR28)</f>
        <v>0</v>
      </c>
      <c r="AS22" s="119"/>
      <c r="AT22" s="119"/>
      <c r="AU22" s="119">
        <f>SUM(AU23:AU28)</f>
        <v>0</v>
      </c>
      <c r="AV22" s="119"/>
      <c r="AW22" s="119"/>
      <c r="AX22" s="119">
        <f>SUM(AX23:AX28)</f>
        <v>0</v>
      </c>
      <c r="AY22" s="119"/>
      <c r="AZ22" s="119"/>
      <c r="BA22" s="119">
        <f>SUM(BA23:BA28)</f>
        <v>0</v>
      </c>
      <c r="BB22" s="119"/>
      <c r="BC22" s="119"/>
      <c r="BD22" s="119">
        <f>SUM(BD23:BD28)</f>
        <v>0</v>
      </c>
      <c r="BE22" s="119"/>
      <c r="BF22" s="119"/>
      <c r="BG22" s="119">
        <f>SUM(BG23:BG28)</f>
        <v>0</v>
      </c>
      <c r="BH22" s="119"/>
      <c r="BI22" s="119"/>
      <c r="BJ22" s="119">
        <f>SUM(BJ23:BJ28)</f>
        <v>0</v>
      </c>
      <c r="BK22" s="119"/>
      <c r="BL22" s="305"/>
      <c r="BM22" s="310"/>
      <c r="BN22" s="313"/>
    </row>
    <row r="23" s="262" customFormat="1" ht="33.95" hidden="1" customHeight="1" outlineLevel="5" spans="2:66">
      <c r="B23" s="175" t="s">
        <v>747</v>
      </c>
      <c r="C23" s="282" t="s">
        <v>778</v>
      </c>
      <c r="D23" s="262" t="s">
        <v>749</v>
      </c>
      <c r="E23" s="175" t="s">
        <v>779</v>
      </c>
      <c r="F23" s="175"/>
      <c r="G23" s="175" t="s">
        <v>751</v>
      </c>
      <c r="H23" s="175">
        <f t="shared" ref="H23:H28" si="40">AB23</f>
        <v>0</v>
      </c>
      <c r="I23" s="175" t="s">
        <v>752</v>
      </c>
      <c r="J23" s="175" t="e">
        <f t="shared" ref="J23:J28" si="41">SUM(AD23,AG23,AJ23,AM23,AP23,AS23,AV23,AY23,BB23,BE23,BH23,BK23)/N23</f>
        <v>#DIV/0!</v>
      </c>
      <c r="K23" s="175" t="s">
        <v>753</v>
      </c>
      <c r="L23" s="175" t="e">
        <f t="shared" ref="L23:L28" si="42">H23/N23/J23</f>
        <v>#DIV/0!</v>
      </c>
      <c r="M23" s="175" t="s">
        <v>754</v>
      </c>
      <c r="N23" s="175">
        <f t="shared" ref="N23:N28" si="43">COUNTIF(AD23,"&gt;0")+COUNTIF(AG23,"&gt;0")+COUNTIF(AJ23,"&gt;0")+COUNTIF(AM23,"&gt;0")+COUNTIF(AP23,"&gt;0")+COUNTIF(AS23,"&gt;0")+COUNTIF(AV23,"&gt;0")+COUNTIF(AY23,"&gt;0")+COUNTIF(BB23,"&gt;0")+COUNTIF(BE23,"&gt;0")+COUNTIF(BH23,"&gt;0")+COUNTIF(BK23,"&gt;0")</f>
        <v>0</v>
      </c>
      <c r="O23" s="175"/>
      <c r="P23" s="289"/>
      <c r="Q23" s="289"/>
      <c r="R23" s="289"/>
      <c r="S23" s="289"/>
      <c r="T23" s="289"/>
      <c r="U23" s="289"/>
      <c r="V23" s="289"/>
      <c r="W23" s="289"/>
      <c r="X23" s="289"/>
      <c r="Y23" s="289"/>
      <c r="Z23" s="289"/>
      <c r="AA23" s="289"/>
      <c r="AB23" s="175">
        <f t="shared" ref="AB23:AB28" si="44">SUM(AC23,AF23,AI23,AL23,AO23,AR23,AU23,AX23,BA23,BD23,BG23,BJ23)</f>
        <v>0</v>
      </c>
      <c r="AC23" s="175">
        <f t="shared" ref="AC23:AC28" si="45">AD23*AE23</f>
        <v>0</v>
      </c>
      <c r="AD23" s="175">
        <f>'1-2 人员岗位信息'!F13</f>
        <v>0</v>
      </c>
      <c r="AE23" s="297"/>
      <c r="AF23" s="175">
        <f t="shared" ref="AF23:AF28" si="46">AG23*AH23</f>
        <v>0</v>
      </c>
      <c r="AG23" s="175">
        <f>SUMIFS('1-2 人员岗位信息'!G:G,'1-2 人员岗位信息'!$C:$C,"专业外包",'1-2 人员岗位信息'!$B:$B,$D23)</f>
        <v>0</v>
      </c>
      <c r="AH23" s="297"/>
      <c r="AI23" s="175">
        <f t="shared" ref="AI23:AI28" si="47">AJ23*AK23</f>
        <v>0</v>
      </c>
      <c r="AJ23" s="175">
        <f>SUMIFS('1-2 人员岗位信息'!H:H,'1-2 人员岗位信息'!$C:$C,"专业外包",'1-2 人员岗位信息'!$B:$B,$D23)</f>
        <v>0</v>
      </c>
      <c r="AK23" s="297"/>
      <c r="AL23" s="175">
        <f t="shared" ref="AL23:AL28" si="48">AM23*AN23</f>
        <v>0</v>
      </c>
      <c r="AM23" s="175">
        <f>SUMIFS('1-2 人员岗位信息'!I:I,'1-2 人员岗位信息'!$C:$C,"专业外包",'1-2 人员岗位信息'!$B:$B,$D23)</f>
        <v>0</v>
      </c>
      <c r="AN23" s="297"/>
      <c r="AO23" s="175">
        <f t="shared" ref="AO23:AO28" si="49">AP23*AQ23</f>
        <v>0</v>
      </c>
      <c r="AP23" s="175">
        <f>SUMIFS('1-2 人员岗位信息'!J:J,'1-2 人员岗位信息'!$C:$C,"专业外包",'1-2 人员岗位信息'!$B:$B,$D23)</f>
        <v>0</v>
      </c>
      <c r="AQ23" s="297"/>
      <c r="AR23" s="175">
        <f t="shared" ref="AR23:AR28" si="50">AS23*AT23</f>
        <v>0</v>
      </c>
      <c r="AS23" s="175">
        <f>SUMIFS('1-2 人员岗位信息'!K:K,'1-2 人员岗位信息'!$C:$C,"专业外包",'1-2 人员岗位信息'!$B:$B,$D23)</f>
        <v>0</v>
      </c>
      <c r="AT23" s="297"/>
      <c r="AU23" s="175">
        <f t="shared" ref="AU23:AU28" si="51">AV23*AW23</f>
        <v>0</v>
      </c>
      <c r="AV23" s="175">
        <f>SUMIFS('1-2 人员岗位信息'!L:L,'1-2 人员岗位信息'!$C:$C,"专业外包",'1-2 人员岗位信息'!$B:$B,$D23)</f>
        <v>0</v>
      </c>
      <c r="AW23" s="297"/>
      <c r="AX23" s="175">
        <f t="shared" ref="AX23:AX28" si="52">AY23*AZ23</f>
        <v>0</v>
      </c>
      <c r="AY23" s="175">
        <f>SUMIFS('1-2 人员岗位信息'!M:M,'1-2 人员岗位信息'!$C:$C,"专业外包",'1-2 人员岗位信息'!$B:$B,$D23)</f>
        <v>0</v>
      </c>
      <c r="AZ23" s="297"/>
      <c r="BA23" s="175">
        <f t="shared" ref="BA23:BA28" si="53">BB23*BC23</f>
        <v>0</v>
      </c>
      <c r="BB23" s="175">
        <f>SUMIFS('1-2 人员岗位信息'!N:N,'1-2 人员岗位信息'!$C:$C,"专业外包",'1-2 人员岗位信息'!$B:$B,$D23)</f>
        <v>0</v>
      </c>
      <c r="BC23" s="297"/>
      <c r="BD23" s="175">
        <f t="shared" ref="BD23:BD28" si="54">BE23*BF23</f>
        <v>0</v>
      </c>
      <c r="BE23" s="175">
        <f>SUMIFS('1-2 人员岗位信息'!O:O,'1-2 人员岗位信息'!$C:$C,"专业外包",'1-2 人员岗位信息'!$B:$B,$D23)</f>
        <v>0</v>
      </c>
      <c r="BF23" s="297"/>
      <c r="BG23" s="175">
        <f t="shared" ref="BG23:BG28" si="55">BH23*BI23</f>
        <v>0</v>
      </c>
      <c r="BH23" s="175">
        <f>SUMIFS('1-2 人员岗位信息'!P:P,'1-2 人员岗位信息'!$C:$C,"专业外包",'1-2 人员岗位信息'!$B:$B,$D23)</f>
        <v>0</v>
      </c>
      <c r="BI23" s="297"/>
      <c r="BJ23" s="175">
        <f t="shared" ref="BJ23:BJ28" si="56">BK23*BL23</f>
        <v>0</v>
      </c>
      <c r="BK23" s="175">
        <f>SUMIFS('1-2 人员岗位信息'!Q:Q,'1-2 人员岗位信息'!$C:$C,"专业外包",'1-2 人员岗位信息'!$B:$B,$D23)</f>
        <v>0</v>
      </c>
      <c r="BL23" s="306"/>
      <c r="BM23" s="310"/>
      <c r="BN23" s="314"/>
    </row>
    <row r="24" s="262" customFormat="1" ht="33.95" hidden="1" customHeight="1" outlineLevel="5" spans="2:66">
      <c r="B24" s="175" t="s">
        <v>747</v>
      </c>
      <c r="C24" s="282" t="s">
        <v>780</v>
      </c>
      <c r="D24" s="262" t="s">
        <v>756</v>
      </c>
      <c r="E24" s="175" t="s">
        <v>781</v>
      </c>
      <c r="F24" s="175"/>
      <c r="G24" s="175" t="s">
        <v>751</v>
      </c>
      <c r="H24" s="175">
        <f t="shared" si="40"/>
        <v>0</v>
      </c>
      <c r="I24" s="175" t="s">
        <v>752</v>
      </c>
      <c r="J24" s="175" t="e">
        <f t="shared" si="41"/>
        <v>#DIV/0!</v>
      </c>
      <c r="K24" s="175" t="s">
        <v>753</v>
      </c>
      <c r="L24" s="175" t="e">
        <f t="shared" si="42"/>
        <v>#DIV/0!</v>
      </c>
      <c r="M24" s="175" t="s">
        <v>754</v>
      </c>
      <c r="N24" s="175">
        <f t="shared" si="43"/>
        <v>0</v>
      </c>
      <c r="O24" s="175"/>
      <c r="P24" s="289"/>
      <c r="Q24" s="289"/>
      <c r="R24" s="289"/>
      <c r="S24" s="289"/>
      <c r="T24" s="289"/>
      <c r="U24" s="289"/>
      <c r="V24" s="289"/>
      <c r="W24" s="289"/>
      <c r="X24" s="289"/>
      <c r="Y24" s="289"/>
      <c r="Z24" s="289"/>
      <c r="AA24" s="289"/>
      <c r="AB24" s="175">
        <f t="shared" si="44"/>
        <v>0</v>
      </c>
      <c r="AC24" s="175">
        <f t="shared" si="45"/>
        <v>0</v>
      </c>
      <c r="AD24" s="175">
        <f>'1-2 人员岗位信息'!F17</f>
        <v>0</v>
      </c>
      <c r="AE24" s="297"/>
      <c r="AF24" s="175">
        <f t="shared" si="46"/>
        <v>0</v>
      </c>
      <c r="AG24" s="175">
        <f>SUMIFS('1-2 人员岗位信息'!G:G,'1-2 人员岗位信息'!$C:$C,"专业外包",'1-2 人员岗位信息'!$B:$B,$D24)</f>
        <v>0</v>
      </c>
      <c r="AH24" s="297"/>
      <c r="AI24" s="175">
        <f t="shared" si="47"/>
        <v>0</v>
      </c>
      <c r="AJ24" s="175">
        <f>SUMIFS('1-2 人员岗位信息'!H:H,'1-2 人员岗位信息'!$C:$C,"专业外包",'1-2 人员岗位信息'!$B:$B,$D24)</f>
        <v>0</v>
      </c>
      <c r="AK24" s="297"/>
      <c r="AL24" s="175">
        <f t="shared" si="48"/>
        <v>0</v>
      </c>
      <c r="AM24" s="175">
        <f>SUMIFS('1-2 人员岗位信息'!I:I,'1-2 人员岗位信息'!$C:$C,"专业外包",'1-2 人员岗位信息'!$B:$B,$D24)</f>
        <v>0</v>
      </c>
      <c r="AN24" s="297"/>
      <c r="AO24" s="175">
        <f t="shared" si="49"/>
        <v>0</v>
      </c>
      <c r="AP24" s="175">
        <f>SUMIFS('1-2 人员岗位信息'!J:J,'1-2 人员岗位信息'!$C:$C,"专业外包",'1-2 人员岗位信息'!$B:$B,$D24)</f>
        <v>0</v>
      </c>
      <c r="AQ24" s="297"/>
      <c r="AR24" s="175">
        <f t="shared" si="50"/>
        <v>0</v>
      </c>
      <c r="AS24" s="175">
        <f>SUMIFS('1-2 人员岗位信息'!K:K,'1-2 人员岗位信息'!$C:$C,"专业外包",'1-2 人员岗位信息'!$B:$B,$D24)</f>
        <v>0</v>
      </c>
      <c r="AT24" s="297"/>
      <c r="AU24" s="175">
        <f t="shared" si="51"/>
        <v>0</v>
      </c>
      <c r="AV24" s="175">
        <f>SUMIFS('1-2 人员岗位信息'!L:L,'1-2 人员岗位信息'!$C:$C,"专业外包",'1-2 人员岗位信息'!$B:$B,$D24)</f>
        <v>0</v>
      </c>
      <c r="AW24" s="297"/>
      <c r="AX24" s="175">
        <f t="shared" si="52"/>
        <v>0</v>
      </c>
      <c r="AY24" s="175">
        <f>SUMIFS('1-2 人员岗位信息'!M:M,'1-2 人员岗位信息'!$C:$C,"专业外包",'1-2 人员岗位信息'!$B:$B,$D24)</f>
        <v>0</v>
      </c>
      <c r="AZ24" s="297"/>
      <c r="BA24" s="175">
        <f t="shared" si="53"/>
        <v>0</v>
      </c>
      <c r="BB24" s="175">
        <f>SUMIFS('1-2 人员岗位信息'!N:N,'1-2 人员岗位信息'!$C:$C,"专业外包",'1-2 人员岗位信息'!$B:$B,$D24)</f>
        <v>0</v>
      </c>
      <c r="BC24" s="297"/>
      <c r="BD24" s="175">
        <f t="shared" si="54"/>
        <v>0</v>
      </c>
      <c r="BE24" s="175">
        <f>SUMIFS('1-2 人员岗位信息'!O:O,'1-2 人员岗位信息'!$C:$C,"专业外包",'1-2 人员岗位信息'!$B:$B,$D24)</f>
        <v>0</v>
      </c>
      <c r="BF24" s="297"/>
      <c r="BG24" s="175">
        <f t="shared" si="55"/>
        <v>0</v>
      </c>
      <c r="BH24" s="175">
        <f>SUMIFS('1-2 人员岗位信息'!P:P,'1-2 人员岗位信息'!$C:$C,"专业外包",'1-2 人员岗位信息'!$B:$B,$D24)</f>
        <v>0</v>
      </c>
      <c r="BI24" s="297"/>
      <c r="BJ24" s="175">
        <f t="shared" si="56"/>
        <v>0</v>
      </c>
      <c r="BK24" s="175">
        <f>SUMIFS('1-2 人员岗位信息'!Q:Q,'1-2 人员岗位信息'!$C:$C,"专业外包",'1-2 人员岗位信息'!$B:$B,$D24)</f>
        <v>0</v>
      </c>
      <c r="BL24" s="306"/>
      <c r="BM24" s="310"/>
      <c r="BN24" s="314"/>
    </row>
    <row r="25" s="262" customFormat="1" ht="33.95" hidden="1" customHeight="1" outlineLevel="5" spans="2:66">
      <c r="B25" s="175" t="s">
        <v>747</v>
      </c>
      <c r="C25" s="282" t="s">
        <v>782</v>
      </c>
      <c r="D25" s="262" t="s">
        <v>759</v>
      </c>
      <c r="E25" s="175" t="s">
        <v>760</v>
      </c>
      <c r="F25" s="175"/>
      <c r="G25" s="175" t="s">
        <v>751</v>
      </c>
      <c r="H25" s="175">
        <f t="shared" si="40"/>
        <v>0</v>
      </c>
      <c r="I25" s="175" t="s">
        <v>752</v>
      </c>
      <c r="J25" s="175" t="e">
        <f t="shared" si="41"/>
        <v>#DIV/0!</v>
      </c>
      <c r="K25" s="175" t="s">
        <v>753</v>
      </c>
      <c r="L25" s="175" t="e">
        <f t="shared" si="42"/>
        <v>#DIV/0!</v>
      </c>
      <c r="M25" s="175" t="s">
        <v>754</v>
      </c>
      <c r="N25" s="175">
        <f t="shared" si="43"/>
        <v>0</v>
      </c>
      <c r="O25" s="175"/>
      <c r="P25" s="289"/>
      <c r="Q25" s="289"/>
      <c r="R25" s="289"/>
      <c r="S25" s="289"/>
      <c r="T25" s="289"/>
      <c r="U25" s="289"/>
      <c r="V25" s="289"/>
      <c r="W25" s="289"/>
      <c r="X25" s="289"/>
      <c r="Y25" s="289"/>
      <c r="Z25" s="289"/>
      <c r="AA25" s="289"/>
      <c r="AB25" s="175">
        <f t="shared" si="44"/>
        <v>0</v>
      </c>
      <c r="AC25" s="175">
        <f t="shared" si="45"/>
        <v>0</v>
      </c>
      <c r="AD25" s="175">
        <f>'1-2 人员岗位信息'!F21</f>
        <v>0</v>
      </c>
      <c r="AE25" s="297"/>
      <c r="AF25" s="175">
        <f t="shared" si="46"/>
        <v>0</v>
      </c>
      <c r="AG25" s="175">
        <f>SUMIFS('1-2 人员岗位信息'!G:G,'1-2 人员岗位信息'!$C:$C,"专业外包",'1-2 人员岗位信息'!$B:$B,$D25)</f>
        <v>0</v>
      </c>
      <c r="AH25" s="297"/>
      <c r="AI25" s="175">
        <f t="shared" si="47"/>
        <v>0</v>
      </c>
      <c r="AJ25" s="175">
        <f>SUMIFS('1-2 人员岗位信息'!H:H,'1-2 人员岗位信息'!$C:$C,"专业外包",'1-2 人员岗位信息'!$B:$B,$D25)</f>
        <v>0</v>
      </c>
      <c r="AK25" s="297"/>
      <c r="AL25" s="175">
        <f t="shared" si="48"/>
        <v>0</v>
      </c>
      <c r="AM25" s="175">
        <f>SUMIFS('1-2 人员岗位信息'!I:I,'1-2 人员岗位信息'!$C:$C,"专业外包",'1-2 人员岗位信息'!$B:$B,$D25)</f>
        <v>0</v>
      </c>
      <c r="AN25" s="297"/>
      <c r="AO25" s="175">
        <f t="shared" si="49"/>
        <v>0</v>
      </c>
      <c r="AP25" s="175">
        <f>SUMIFS('1-2 人员岗位信息'!J:J,'1-2 人员岗位信息'!$C:$C,"专业外包",'1-2 人员岗位信息'!$B:$B,$D25)</f>
        <v>0</v>
      </c>
      <c r="AQ25" s="297"/>
      <c r="AR25" s="175">
        <f t="shared" si="50"/>
        <v>0</v>
      </c>
      <c r="AS25" s="175">
        <f>SUMIFS('1-2 人员岗位信息'!K:K,'1-2 人员岗位信息'!$C:$C,"专业外包",'1-2 人员岗位信息'!$B:$B,$D25)</f>
        <v>0</v>
      </c>
      <c r="AT25" s="297"/>
      <c r="AU25" s="175">
        <f t="shared" si="51"/>
        <v>0</v>
      </c>
      <c r="AV25" s="175">
        <f>SUMIFS('1-2 人员岗位信息'!L:L,'1-2 人员岗位信息'!$C:$C,"专业外包",'1-2 人员岗位信息'!$B:$B,$D25)</f>
        <v>0</v>
      </c>
      <c r="AW25" s="297"/>
      <c r="AX25" s="175">
        <f t="shared" si="52"/>
        <v>0</v>
      </c>
      <c r="AY25" s="175">
        <f>SUMIFS('1-2 人员岗位信息'!M:M,'1-2 人员岗位信息'!$C:$C,"专业外包",'1-2 人员岗位信息'!$B:$B,$D25)</f>
        <v>0</v>
      </c>
      <c r="AZ25" s="297"/>
      <c r="BA25" s="175">
        <f t="shared" si="53"/>
        <v>0</v>
      </c>
      <c r="BB25" s="175">
        <f>SUMIFS('1-2 人员岗位信息'!N:N,'1-2 人员岗位信息'!$C:$C,"专业外包",'1-2 人员岗位信息'!$B:$B,$D25)</f>
        <v>0</v>
      </c>
      <c r="BC25" s="297"/>
      <c r="BD25" s="175">
        <f t="shared" si="54"/>
        <v>0</v>
      </c>
      <c r="BE25" s="175">
        <f>SUMIFS('1-2 人员岗位信息'!O:O,'1-2 人员岗位信息'!$C:$C,"专业外包",'1-2 人员岗位信息'!$B:$B,$D25)</f>
        <v>0</v>
      </c>
      <c r="BF25" s="297"/>
      <c r="BG25" s="175">
        <f t="shared" si="55"/>
        <v>0</v>
      </c>
      <c r="BH25" s="175">
        <f>SUMIFS('1-2 人员岗位信息'!P:P,'1-2 人员岗位信息'!$C:$C,"专业外包",'1-2 人员岗位信息'!$B:$B,$D25)</f>
        <v>0</v>
      </c>
      <c r="BI25" s="297"/>
      <c r="BJ25" s="175">
        <f t="shared" si="56"/>
        <v>0</v>
      </c>
      <c r="BK25" s="175">
        <f>SUMIFS('1-2 人员岗位信息'!Q:Q,'1-2 人员岗位信息'!$C:$C,"专业外包",'1-2 人员岗位信息'!$B:$B,$D25)</f>
        <v>0</v>
      </c>
      <c r="BL25" s="306"/>
      <c r="BM25" s="310"/>
      <c r="BN25" s="314"/>
    </row>
    <row r="26" s="262" customFormat="1" ht="33.95" hidden="1" customHeight="1" outlineLevel="5" spans="2:66">
      <c r="B26" s="175" t="s">
        <v>747</v>
      </c>
      <c r="C26" s="282" t="s">
        <v>783</v>
      </c>
      <c r="D26" s="262" t="s">
        <v>762</v>
      </c>
      <c r="E26" s="175" t="s">
        <v>763</v>
      </c>
      <c r="F26" s="175"/>
      <c r="G26" s="175" t="s">
        <v>751</v>
      </c>
      <c r="H26" s="175">
        <f t="shared" si="40"/>
        <v>0</v>
      </c>
      <c r="I26" s="175" t="s">
        <v>752</v>
      </c>
      <c r="J26" s="175" t="e">
        <f t="shared" si="41"/>
        <v>#DIV/0!</v>
      </c>
      <c r="K26" s="175" t="s">
        <v>753</v>
      </c>
      <c r="L26" s="175" t="e">
        <f t="shared" si="42"/>
        <v>#DIV/0!</v>
      </c>
      <c r="M26" s="175" t="s">
        <v>754</v>
      </c>
      <c r="N26" s="175">
        <f t="shared" si="43"/>
        <v>0</v>
      </c>
      <c r="O26" s="175"/>
      <c r="P26" s="289"/>
      <c r="Q26" s="289"/>
      <c r="R26" s="289"/>
      <c r="S26" s="289"/>
      <c r="T26" s="289"/>
      <c r="U26" s="289"/>
      <c r="V26" s="289"/>
      <c r="W26" s="289"/>
      <c r="X26" s="289"/>
      <c r="Y26" s="289"/>
      <c r="Z26" s="289"/>
      <c r="AA26" s="289"/>
      <c r="AB26" s="175">
        <f t="shared" si="44"/>
        <v>0</v>
      </c>
      <c r="AC26" s="175">
        <f t="shared" si="45"/>
        <v>0</v>
      </c>
      <c r="AD26" s="175">
        <f>'1-2 人员岗位信息'!F25</f>
        <v>0</v>
      </c>
      <c r="AE26" s="297"/>
      <c r="AF26" s="175">
        <f t="shared" si="46"/>
        <v>0</v>
      </c>
      <c r="AG26" s="175">
        <f>SUMIFS('1-2 人员岗位信息'!G:G,'1-2 人员岗位信息'!$C:$C,"专业外包",'1-2 人员岗位信息'!$B:$B,$D26)</f>
        <v>0</v>
      </c>
      <c r="AH26" s="297"/>
      <c r="AI26" s="175">
        <f t="shared" si="47"/>
        <v>0</v>
      </c>
      <c r="AJ26" s="175">
        <f>SUMIFS('1-2 人员岗位信息'!H:H,'1-2 人员岗位信息'!$C:$C,"专业外包",'1-2 人员岗位信息'!$B:$B,$D26)</f>
        <v>0</v>
      </c>
      <c r="AK26" s="297"/>
      <c r="AL26" s="175">
        <f t="shared" si="48"/>
        <v>0</v>
      </c>
      <c r="AM26" s="175">
        <f>SUMIFS('1-2 人员岗位信息'!I:I,'1-2 人员岗位信息'!$C:$C,"专业外包",'1-2 人员岗位信息'!$B:$B,$D26)</f>
        <v>0</v>
      </c>
      <c r="AN26" s="297"/>
      <c r="AO26" s="175">
        <f t="shared" si="49"/>
        <v>0</v>
      </c>
      <c r="AP26" s="175">
        <f>SUMIFS('1-2 人员岗位信息'!J:J,'1-2 人员岗位信息'!$C:$C,"专业外包",'1-2 人员岗位信息'!$B:$B,$D26)</f>
        <v>0</v>
      </c>
      <c r="AQ26" s="297"/>
      <c r="AR26" s="175">
        <f t="shared" si="50"/>
        <v>0</v>
      </c>
      <c r="AS26" s="175">
        <f>SUMIFS('1-2 人员岗位信息'!K:K,'1-2 人员岗位信息'!$C:$C,"专业外包",'1-2 人员岗位信息'!$B:$B,$D26)</f>
        <v>0</v>
      </c>
      <c r="AT26" s="297"/>
      <c r="AU26" s="175">
        <f t="shared" si="51"/>
        <v>0</v>
      </c>
      <c r="AV26" s="175">
        <f>SUMIFS('1-2 人员岗位信息'!L:L,'1-2 人员岗位信息'!$C:$C,"专业外包",'1-2 人员岗位信息'!$B:$B,$D26)</f>
        <v>0</v>
      </c>
      <c r="AW26" s="297"/>
      <c r="AX26" s="175">
        <f t="shared" si="52"/>
        <v>0</v>
      </c>
      <c r="AY26" s="175">
        <f>SUMIFS('1-2 人员岗位信息'!M:M,'1-2 人员岗位信息'!$C:$C,"专业外包",'1-2 人员岗位信息'!$B:$B,$D26)</f>
        <v>0</v>
      </c>
      <c r="AZ26" s="297"/>
      <c r="BA26" s="175">
        <f t="shared" si="53"/>
        <v>0</v>
      </c>
      <c r="BB26" s="175">
        <f>SUMIFS('1-2 人员岗位信息'!N:N,'1-2 人员岗位信息'!$C:$C,"专业外包",'1-2 人员岗位信息'!$B:$B,$D26)</f>
        <v>0</v>
      </c>
      <c r="BC26" s="297"/>
      <c r="BD26" s="175">
        <f t="shared" si="54"/>
        <v>0</v>
      </c>
      <c r="BE26" s="175">
        <f>SUMIFS('1-2 人员岗位信息'!O:O,'1-2 人员岗位信息'!$C:$C,"专业外包",'1-2 人员岗位信息'!$B:$B,$D26)</f>
        <v>0</v>
      </c>
      <c r="BF26" s="297"/>
      <c r="BG26" s="175">
        <f t="shared" si="55"/>
        <v>0</v>
      </c>
      <c r="BH26" s="175">
        <f>SUMIFS('1-2 人员岗位信息'!P:P,'1-2 人员岗位信息'!$C:$C,"专业外包",'1-2 人员岗位信息'!$B:$B,$D26)</f>
        <v>0</v>
      </c>
      <c r="BI26" s="297"/>
      <c r="BJ26" s="175">
        <f t="shared" si="56"/>
        <v>0</v>
      </c>
      <c r="BK26" s="175">
        <f>SUMIFS('1-2 人员岗位信息'!Q:Q,'1-2 人员岗位信息'!$C:$C,"专业外包",'1-2 人员岗位信息'!$B:$B,$D26)</f>
        <v>0</v>
      </c>
      <c r="BL26" s="306"/>
      <c r="BM26" s="310"/>
      <c r="BN26" s="314"/>
    </row>
    <row r="27" s="262" customFormat="1" ht="33.95" hidden="1" customHeight="1" outlineLevel="5" spans="2:66">
      <c r="B27" s="175" t="s">
        <v>747</v>
      </c>
      <c r="C27" s="282" t="s">
        <v>784</v>
      </c>
      <c r="D27" s="262" t="s">
        <v>765</v>
      </c>
      <c r="E27" s="175" t="s">
        <v>766</v>
      </c>
      <c r="F27" s="175"/>
      <c r="G27" s="175" t="s">
        <v>751</v>
      </c>
      <c r="H27" s="175">
        <f t="shared" si="40"/>
        <v>0</v>
      </c>
      <c r="I27" s="175" t="s">
        <v>752</v>
      </c>
      <c r="J27" s="175" t="e">
        <f t="shared" si="41"/>
        <v>#DIV/0!</v>
      </c>
      <c r="K27" s="175" t="s">
        <v>753</v>
      </c>
      <c r="L27" s="175" t="e">
        <f t="shared" si="42"/>
        <v>#DIV/0!</v>
      </c>
      <c r="M27" s="175" t="s">
        <v>754</v>
      </c>
      <c r="N27" s="175">
        <f t="shared" si="43"/>
        <v>0</v>
      </c>
      <c r="O27" s="175"/>
      <c r="P27" s="289"/>
      <c r="Q27" s="289"/>
      <c r="R27" s="289"/>
      <c r="S27" s="289"/>
      <c r="T27" s="289"/>
      <c r="U27" s="289"/>
      <c r="V27" s="289"/>
      <c r="W27" s="289"/>
      <c r="X27" s="289"/>
      <c r="Y27" s="289"/>
      <c r="Z27" s="289"/>
      <c r="AA27" s="289"/>
      <c r="AB27" s="175">
        <f t="shared" si="44"/>
        <v>0</v>
      </c>
      <c r="AC27" s="175">
        <f t="shared" si="45"/>
        <v>0</v>
      </c>
      <c r="AD27" s="175">
        <f>'1-2 人员岗位信息'!F29</f>
        <v>0</v>
      </c>
      <c r="AE27" s="297"/>
      <c r="AF27" s="175">
        <f t="shared" si="46"/>
        <v>0</v>
      </c>
      <c r="AG27" s="175">
        <f>SUMIFS('1-2 人员岗位信息'!G:G,'1-2 人员岗位信息'!$C:$C,"专业外包",'1-2 人员岗位信息'!$B:$B,$D27)</f>
        <v>0</v>
      </c>
      <c r="AH27" s="297"/>
      <c r="AI27" s="175">
        <f t="shared" si="47"/>
        <v>0</v>
      </c>
      <c r="AJ27" s="175">
        <f>SUMIFS('1-2 人员岗位信息'!H:H,'1-2 人员岗位信息'!$C:$C,"专业外包",'1-2 人员岗位信息'!$B:$B,$D27)</f>
        <v>0</v>
      </c>
      <c r="AK27" s="297"/>
      <c r="AL27" s="175">
        <f t="shared" si="48"/>
        <v>0</v>
      </c>
      <c r="AM27" s="175">
        <f>SUMIFS('1-2 人员岗位信息'!I:I,'1-2 人员岗位信息'!$C:$C,"专业外包",'1-2 人员岗位信息'!$B:$B,$D27)</f>
        <v>0</v>
      </c>
      <c r="AN27" s="297"/>
      <c r="AO27" s="175">
        <f t="shared" si="49"/>
        <v>0</v>
      </c>
      <c r="AP27" s="175">
        <f>SUMIFS('1-2 人员岗位信息'!J:J,'1-2 人员岗位信息'!$C:$C,"专业外包",'1-2 人员岗位信息'!$B:$B,$D27)</f>
        <v>0</v>
      </c>
      <c r="AQ27" s="297"/>
      <c r="AR27" s="175">
        <f t="shared" si="50"/>
        <v>0</v>
      </c>
      <c r="AS27" s="175">
        <f>SUMIFS('1-2 人员岗位信息'!K:K,'1-2 人员岗位信息'!$C:$C,"专业外包",'1-2 人员岗位信息'!$B:$B,$D27)</f>
        <v>0</v>
      </c>
      <c r="AT27" s="297"/>
      <c r="AU27" s="175">
        <f t="shared" si="51"/>
        <v>0</v>
      </c>
      <c r="AV27" s="175">
        <f>SUMIFS('1-2 人员岗位信息'!L:L,'1-2 人员岗位信息'!$C:$C,"专业外包",'1-2 人员岗位信息'!$B:$B,$D27)</f>
        <v>0</v>
      </c>
      <c r="AW27" s="297"/>
      <c r="AX27" s="175">
        <f t="shared" si="52"/>
        <v>0</v>
      </c>
      <c r="AY27" s="175">
        <f>SUMIFS('1-2 人员岗位信息'!M:M,'1-2 人员岗位信息'!$C:$C,"专业外包",'1-2 人员岗位信息'!$B:$B,$D27)</f>
        <v>0</v>
      </c>
      <c r="AZ27" s="297"/>
      <c r="BA27" s="175">
        <f t="shared" si="53"/>
        <v>0</v>
      </c>
      <c r="BB27" s="175">
        <f>SUMIFS('1-2 人员岗位信息'!N:N,'1-2 人员岗位信息'!$C:$C,"专业外包",'1-2 人员岗位信息'!$B:$B,$D27)</f>
        <v>0</v>
      </c>
      <c r="BC27" s="297"/>
      <c r="BD27" s="175">
        <f t="shared" si="54"/>
        <v>0</v>
      </c>
      <c r="BE27" s="175">
        <f>SUMIFS('1-2 人员岗位信息'!O:O,'1-2 人员岗位信息'!$C:$C,"专业外包",'1-2 人员岗位信息'!$B:$B,$D27)</f>
        <v>0</v>
      </c>
      <c r="BF27" s="297"/>
      <c r="BG27" s="175">
        <f t="shared" si="55"/>
        <v>0</v>
      </c>
      <c r="BH27" s="175">
        <f>SUMIFS('1-2 人员岗位信息'!P:P,'1-2 人员岗位信息'!$C:$C,"专业外包",'1-2 人员岗位信息'!$B:$B,$D27)</f>
        <v>0</v>
      </c>
      <c r="BI27" s="297"/>
      <c r="BJ27" s="175">
        <f t="shared" si="56"/>
        <v>0</v>
      </c>
      <c r="BK27" s="175">
        <f>SUMIFS('1-2 人员岗位信息'!Q:Q,'1-2 人员岗位信息'!$C:$C,"专业外包",'1-2 人员岗位信息'!$B:$B,$D27)</f>
        <v>0</v>
      </c>
      <c r="BL27" s="306"/>
      <c r="BM27" s="310"/>
      <c r="BN27" s="314"/>
    </row>
    <row r="28" s="262" customFormat="1" ht="33.95" hidden="1" customHeight="1" outlineLevel="5" spans="2:66">
      <c r="B28" s="175" t="s">
        <v>747</v>
      </c>
      <c r="C28" s="282" t="s">
        <v>785</v>
      </c>
      <c r="D28" s="262" t="s">
        <v>768</v>
      </c>
      <c r="E28" s="175" t="s">
        <v>769</v>
      </c>
      <c r="F28" s="175"/>
      <c r="G28" s="175" t="s">
        <v>751</v>
      </c>
      <c r="H28" s="175">
        <f t="shared" si="40"/>
        <v>0</v>
      </c>
      <c r="I28" s="175" t="s">
        <v>752</v>
      </c>
      <c r="J28" s="175" t="e">
        <f t="shared" si="41"/>
        <v>#DIV/0!</v>
      </c>
      <c r="K28" s="175" t="s">
        <v>753</v>
      </c>
      <c r="L28" s="175" t="e">
        <f t="shared" si="42"/>
        <v>#DIV/0!</v>
      </c>
      <c r="M28" s="175" t="s">
        <v>754</v>
      </c>
      <c r="N28" s="175">
        <f t="shared" si="43"/>
        <v>0</v>
      </c>
      <c r="O28" s="175"/>
      <c r="P28" s="289"/>
      <c r="Q28" s="289"/>
      <c r="R28" s="289"/>
      <c r="S28" s="289"/>
      <c r="T28" s="289"/>
      <c r="U28" s="289"/>
      <c r="V28" s="289"/>
      <c r="W28" s="289"/>
      <c r="X28" s="289"/>
      <c r="Y28" s="289"/>
      <c r="Z28" s="289"/>
      <c r="AA28" s="289"/>
      <c r="AB28" s="175">
        <f t="shared" si="44"/>
        <v>0</v>
      </c>
      <c r="AC28" s="175">
        <f t="shared" si="45"/>
        <v>0</v>
      </c>
      <c r="AD28" s="175">
        <f>'1-2 人员岗位信息'!F33</f>
        <v>0</v>
      </c>
      <c r="AE28" s="297"/>
      <c r="AF28" s="175">
        <f t="shared" si="46"/>
        <v>0</v>
      </c>
      <c r="AG28" s="175">
        <f>SUMIFS('1-2 人员岗位信息'!G:G,'1-2 人员岗位信息'!$C:$C,"专业外包",'1-2 人员岗位信息'!$B:$B,$D28)</f>
        <v>0</v>
      </c>
      <c r="AH28" s="297"/>
      <c r="AI28" s="175">
        <f t="shared" si="47"/>
        <v>0</v>
      </c>
      <c r="AJ28" s="175">
        <f>SUMIFS('1-2 人员岗位信息'!H:H,'1-2 人员岗位信息'!$C:$C,"专业外包",'1-2 人员岗位信息'!$B:$B,$D28)</f>
        <v>0</v>
      </c>
      <c r="AK28" s="297"/>
      <c r="AL28" s="175">
        <f t="shared" si="48"/>
        <v>0</v>
      </c>
      <c r="AM28" s="175">
        <f>SUMIFS('1-2 人员岗位信息'!I:I,'1-2 人员岗位信息'!$C:$C,"专业外包",'1-2 人员岗位信息'!$B:$B,$D28)</f>
        <v>0</v>
      </c>
      <c r="AN28" s="297"/>
      <c r="AO28" s="175">
        <f t="shared" si="49"/>
        <v>0</v>
      </c>
      <c r="AP28" s="175">
        <f>SUMIFS('1-2 人员岗位信息'!J:J,'1-2 人员岗位信息'!$C:$C,"专业外包",'1-2 人员岗位信息'!$B:$B,$D28)</f>
        <v>0</v>
      </c>
      <c r="AQ28" s="297"/>
      <c r="AR28" s="175">
        <f t="shared" si="50"/>
        <v>0</v>
      </c>
      <c r="AS28" s="175">
        <f>SUMIFS('1-2 人员岗位信息'!K:K,'1-2 人员岗位信息'!$C:$C,"专业外包",'1-2 人员岗位信息'!$B:$B,$D28)</f>
        <v>0</v>
      </c>
      <c r="AT28" s="297"/>
      <c r="AU28" s="175">
        <f t="shared" si="51"/>
        <v>0</v>
      </c>
      <c r="AV28" s="175">
        <f>SUMIFS('1-2 人员岗位信息'!L:L,'1-2 人员岗位信息'!$C:$C,"专业外包",'1-2 人员岗位信息'!$B:$B,$D28)</f>
        <v>0</v>
      </c>
      <c r="AW28" s="297"/>
      <c r="AX28" s="175">
        <f t="shared" si="52"/>
        <v>0</v>
      </c>
      <c r="AY28" s="175">
        <f>SUMIFS('1-2 人员岗位信息'!M:M,'1-2 人员岗位信息'!$C:$C,"专业外包",'1-2 人员岗位信息'!$B:$B,$D28)</f>
        <v>0</v>
      </c>
      <c r="AZ28" s="297"/>
      <c r="BA28" s="175">
        <f t="shared" si="53"/>
        <v>0</v>
      </c>
      <c r="BB28" s="175">
        <f>SUMIFS('1-2 人员岗位信息'!N:N,'1-2 人员岗位信息'!$C:$C,"专业外包",'1-2 人员岗位信息'!$B:$B,$D28)</f>
        <v>0</v>
      </c>
      <c r="BC28" s="297"/>
      <c r="BD28" s="175">
        <f t="shared" si="54"/>
        <v>0</v>
      </c>
      <c r="BE28" s="175">
        <f>SUMIFS('1-2 人员岗位信息'!O:O,'1-2 人员岗位信息'!$C:$C,"专业外包",'1-2 人员岗位信息'!$B:$B,$D28)</f>
        <v>0</v>
      </c>
      <c r="BF28" s="297"/>
      <c r="BG28" s="175">
        <f t="shared" si="55"/>
        <v>0</v>
      </c>
      <c r="BH28" s="175">
        <f>SUMIFS('1-2 人员岗位信息'!P:P,'1-2 人员岗位信息'!$C:$C,"专业外包",'1-2 人员岗位信息'!$B:$B,$D28)</f>
        <v>0</v>
      </c>
      <c r="BI28" s="297"/>
      <c r="BJ28" s="175">
        <f t="shared" si="56"/>
        <v>0</v>
      </c>
      <c r="BK28" s="175">
        <f>SUMIFS('1-2 人员岗位信息'!Q:Q,'1-2 人员岗位信息'!$C:$C,"专业外包",'1-2 人员岗位信息'!$B:$B,$D28)</f>
        <v>0</v>
      </c>
      <c r="BL28" s="306"/>
      <c r="BM28" s="310"/>
      <c r="BN28" s="314"/>
    </row>
    <row r="29" s="48" customFormat="1" ht="33.95" hidden="1" customHeight="1" outlineLevel="3" collapsed="1" spans="2:66">
      <c r="B29" s="115" t="s">
        <v>742</v>
      </c>
      <c r="C29" s="116" t="s">
        <v>786</v>
      </c>
      <c r="D29" s="48" t="s">
        <v>787</v>
      </c>
      <c r="E29" s="115"/>
      <c r="F29" s="115"/>
      <c r="G29" s="115"/>
      <c r="H29" s="115">
        <f>H30+H39+H48</f>
        <v>147600</v>
      </c>
      <c r="I29" s="115"/>
      <c r="J29" s="115"/>
      <c r="K29" s="115"/>
      <c r="L29" s="115"/>
      <c r="M29" s="115"/>
      <c r="N29" s="115"/>
      <c r="O29" s="115"/>
      <c r="P29" s="287"/>
      <c r="Q29" s="287"/>
      <c r="R29" s="287"/>
      <c r="S29" s="287"/>
      <c r="T29" s="287"/>
      <c r="U29" s="287"/>
      <c r="V29" s="287"/>
      <c r="W29" s="287"/>
      <c r="X29" s="287"/>
      <c r="Y29" s="287"/>
      <c r="Z29" s="287"/>
      <c r="AA29" s="287"/>
      <c r="AB29" s="115">
        <f t="shared" ref="AB29:AF29" si="57">AB30+AB39+AB48</f>
        <v>147600</v>
      </c>
      <c r="AC29" s="115">
        <f t="shared" si="57"/>
        <v>12300</v>
      </c>
      <c r="AD29" s="115"/>
      <c r="AE29" s="115"/>
      <c r="AF29" s="115">
        <f t="shared" si="57"/>
        <v>12300</v>
      </c>
      <c r="AG29" s="115"/>
      <c r="AH29" s="115"/>
      <c r="AI29" s="115">
        <f>AI30+AI39+AI48</f>
        <v>12300</v>
      </c>
      <c r="AJ29" s="115"/>
      <c r="AK29" s="115"/>
      <c r="AL29" s="115">
        <f>AL30+AL39+AL48</f>
        <v>12300</v>
      </c>
      <c r="AM29" s="115"/>
      <c r="AN29" s="115"/>
      <c r="AO29" s="115">
        <f>AO30+AO39+AO48</f>
        <v>12300</v>
      </c>
      <c r="AP29" s="115"/>
      <c r="AQ29" s="115"/>
      <c r="AR29" s="115">
        <f>AR30+AR39+AR48</f>
        <v>12300</v>
      </c>
      <c r="AS29" s="115"/>
      <c r="AT29" s="115"/>
      <c r="AU29" s="115">
        <f>AU30+AU39+AU48</f>
        <v>12300</v>
      </c>
      <c r="AV29" s="115"/>
      <c r="AW29" s="115"/>
      <c r="AX29" s="115">
        <f>AX30+AX39+AX48</f>
        <v>12300</v>
      </c>
      <c r="AY29" s="115"/>
      <c r="AZ29" s="115"/>
      <c r="BA29" s="115">
        <f>BA30+BA39+BA48</f>
        <v>12300</v>
      </c>
      <c r="BB29" s="115"/>
      <c r="BC29" s="115"/>
      <c r="BD29" s="115">
        <f>BD30+BD39+BD48</f>
        <v>12300</v>
      </c>
      <c r="BE29" s="115"/>
      <c r="BF29" s="115"/>
      <c r="BG29" s="115">
        <f>BG30+BG39+BG48</f>
        <v>12300</v>
      </c>
      <c r="BH29" s="115"/>
      <c r="BI29" s="115"/>
      <c r="BJ29" s="115">
        <f>BJ30+BJ39+BJ48</f>
        <v>12300</v>
      </c>
      <c r="BK29" s="115"/>
      <c r="BL29" s="304"/>
      <c r="BM29" s="310"/>
      <c r="BN29" s="312"/>
    </row>
    <row r="30" s="118" customFormat="1" ht="33.95" hidden="1" customHeight="1" outlineLevel="4" collapsed="1" spans="2:66">
      <c r="B30" s="119" t="s">
        <v>742</v>
      </c>
      <c r="C30" s="120" t="s">
        <v>112</v>
      </c>
      <c r="D30" s="118" t="s">
        <v>109</v>
      </c>
      <c r="E30" s="119"/>
      <c r="F30" s="119"/>
      <c r="G30" s="119"/>
      <c r="H30" s="119">
        <f>SUM(H31:H38)</f>
        <v>147600</v>
      </c>
      <c r="I30" s="119"/>
      <c r="J30" s="119"/>
      <c r="K30" s="119"/>
      <c r="L30" s="119"/>
      <c r="M30" s="119"/>
      <c r="N30" s="119"/>
      <c r="O30" s="119"/>
      <c r="P30" s="288"/>
      <c r="Q30" s="288"/>
      <c r="R30" s="288"/>
      <c r="S30" s="288"/>
      <c r="T30" s="288"/>
      <c r="U30" s="288"/>
      <c r="V30" s="288"/>
      <c r="W30" s="288"/>
      <c r="X30" s="288"/>
      <c r="Y30" s="288"/>
      <c r="Z30" s="288"/>
      <c r="AA30" s="288"/>
      <c r="AB30" s="119">
        <f t="shared" ref="AB30:AF30" si="58">SUM(AB31:AB38)</f>
        <v>147600</v>
      </c>
      <c r="AC30" s="119">
        <f t="shared" si="58"/>
        <v>12300</v>
      </c>
      <c r="AD30" s="119"/>
      <c r="AE30" s="119"/>
      <c r="AF30" s="119">
        <f t="shared" si="58"/>
        <v>12300</v>
      </c>
      <c r="AG30" s="119"/>
      <c r="AH30" s="119"/>
      <c r="AI30" s="119">
        <f>SUM(AI31:AI38)</f>
        <v>12300</v>
      </c>
      <c r="AJ30" s="119"/>
      <c r="AK30" s="119"/>
      <c r="AL30" s="119">
        <f>SUM(AL31:AL38)</f>
        <v>12300</v>
      </c>
      <c r="AM30" s="119"/>
      <c r="AN30" s="119"/>
      <c r="AO30" s="119">
        <f>SUM(AO31:AO38)</f>
        <v>12300</v>
      </c>
      <c r="AP30" s="119"/>
      <c r="AQ30" s="119"/>
      <c r="AR30" s="119">
        <f>SUM(AR31:AR38)</f>
        <v>12300</v>
      </c>
      <c r="AS30" s="119"/>
      <c r="AT30" s="119"/>
      <c r="AU30" s="119">
        <f>SUM(AU31:AU38)</f>
        <v>12300</v>
      </c>
      <c r="AV30" s="119"/>
      <c r="AW30" s="119"/>
      <c r="AX30" s="119">
        <f>SUM(AX31:AX38)</f>
        <v>12300</v>
      </c>
      <c r="AY30" s="119"/>
      <c r="AZ30" s="119"/>
      <c r="BA30" s="119">
        <f>SUM(BA31:BA38)</f>
        <v>12300</v>
      </c>
      <c r="BB30" s="119"/>
      <c r="BC30" s="119"/>
      <c r="BD30" s="119">
        <f>SUM(BD31:BD38)</f>
        <v>12300</v>
      </c>
      <c r="BE30" s="119"/>
      <c r="BF30" s="119"/>
      <c r="BG30" s="119">
        <f>SUM(BG31:BG38)</f>
        <v>12300</v>
      </c>
      <c r="BH30" s="119"/>
      <c r="BI30" s="119"/>
      <c r="BJ30" s="119">
        <f>SUM(BJ31:BJ38)</f>
        <v>12300</v>
      </c>
      <c r="BK30" s="119"/>
      <c r="BL30" s="305"/>
      <c r="BM30" s="310"/>
      <c r="BN30" s="313"/>
    </row>
    <row r="31" s="262" customFormat="1" ht="33.95" hidden="1" customHeight="1" outlineLevel="5" spans="2:66">
      <c r="B31" s="175" t="s">
        <v>747</v>
      </c>
      <c r="C31" s="282" t="s">
        <v>788</v>
      </c>
      <c r="D31" s="262" t="s">
        <v>789</v>
      </c>
      <c r="E31" s="175" t="s">
        <v>790</v>
      </c>
      <c r="F31" s="175"/>
      <c r="G31" s="175" t="s">
        <v>751</v>
      </c>
      <c r="H31" s="175">
        <f t="shared" ref="H31:H38" si="59">AB31</f>
        <v>147600</v>
      </c>
      <c r="I31" s="175" t="s">
        <v>752</v>
      </c>
      <c r="J31" s="175">
        <f t="shared" ref="J31:J38" si="60">SUM(AD31,AG31,AJ31,AM31,AP31,AS31,AV31,AY31,BB31,BE31,BH31,BK31)/N31</f>
        <v>4</v>
      </c>
      <c r="K31" s="175" t="s">
        <v>753</v>
      </c>
      <c r="L31" s="175">
        <f t="shared" ref="L31:L38" si="61">H31/N31/J31</f>
        <v>3075</v>
      </c>
      <c r="M31" s="175" t="s">
        <v>754</v>
      </c>
      <c r="N31" s="175">
        <f t="shared" ref="N31:N38" si="62">COUNTIF(AD31,"&gt;0")+COUNTIF(AG31,"&gt;0")+COUNTIF(AJ31,"&gt;0")+COUNTIF(AM31,"&gt;0")+COUNTIF(AP31,"&gt;0")+COUNTIF(AS31,"&gt;0")+COUNTIF(AV31,"&gt;0")+COUNTIF(AY31,"&gt;0")+COUNTIF(BB31,"&gt;0")+COUNTIF(BE31,"&gt;0")+COUNTIF(BH31,"&gt;0")+COUNTIF(BK31,"&gt;0")</f>
        <v>12</v>
      </c>
      <c r="O31" s="175"/>
      <c r="P31" s="289"/>
      <c r="Q31" s="289"/>
      <c r="R31" s="289"/>
      <c r="S31" s="289"/>
      <c r="T31" s="289"/>
      <c r="U31" s="289"/>
      <c r="V31" s="289"/>
      <c r="W31" s="289"/>
      <c r="X31" s="289"/>
      <c r="Y31" s="289"/>
      <c r="Z31" s="289"/>
      <c r="AA31" s="289"/>
      <c r="AB31" s="175">
        <f t="shared" ref="AB31:AB38" si="63">SUM(AC31,AF31,AI31,AL31,AO31,AR31,AU31,AX31,BA31,BD31,BG31,BJ31)</f>
        <v>147600</v>
      </c>
      <c r="AC31" s="175">
        <f t="shared" ref="AC31:AC38" si="64">AD31*AE31</f>
        <v>12300</v>
      </c>
      <c r="AD31" s="175">
        <f>SUMIFS('1-2 人员岗位信息'!F:F,'1-2 人员岗位信息'!$C:$C,"自有人员",'1-2 人员岗位信息'!$B:$B,$D31)</f>
        <v>4</v>
      </c>
      <c r="AE31" s="297">
        <v>3075</v>
      </c>
      <c r="AF31" s="175">
        <f t="shared" ref="AF31:AF38" si="65">AG31*AH31</f>
        <v>12300</v>
      </c>
      <c r="AG31" s="175">
        <f>SUMIFS('1-2 人员岗位信息'!G:G,'1-2 人员岗位信息'!$C:$C,"自有人员",'1-2 人员岗位信息'!$B:$B,$D31)</f>
        <v>4</v>
      </c>
      <c r="AH31" s="297">
        <v>3075</v>
      </c>
      <c r="AI31" s="175">
        <f t="shared" ref="AI31:AI38" si="66">AJ31*AK31</f>
        <v>12300</v>
      </c>
      <c r="AJ31" s="175">
        <f>SUMIFS('1-2 人员岗位信息'!H:H,'1-2 人员岗位信息'!$C:$C,"自有人员",'1-2 人员岗位信息'!$B:$B,$D31)</f>
        <v>4</v>
      </c>
      <c r="AK31" s="297">
        <v>3075</v>
      </c>
      <c r="AL31" s="175">
        <f t="shared" ref="AL31:AL38" si="67">AM31*AN31</f>
        <v>12300</v>
      </c>
      <c r="AM31" s="175">
        <f>SUMIFS('1-2 人员岗位信息'!I:I,'1-2 人员岗位信息'!$C:$C,"自有人员",'1-2 人员岗位信息'!$B:$B,$D31)</f>
        <v>4</v>
      </c>
      <c r="AN31" s="297">
        <v>3075</v>
      </c>
      <c r="AO31" s="175">
        <f t="shared" ref="AO31:AO38" si="68">AP31*AQ31</f>
        <v>12300</v>
      </c>
      <c r="AP31" s="175">
        <f>SUMIFS('1-2 人员岗位信息'!J:J,'1-2 人员岗位信息'!$C:$C,"自有人员",'1-2 人员岗位信息'!$B:$B,$D31)</f>
        <v>4</v>
      </c>
      <c r="AQ31" s="297">
        <v>3075</v>
      </c>
      <c r="AR31" s="175">
        <f t="shared" ref="AR31:AR38" si="69">AS31*AT31</f>
        <v>12300</v>
      </c>
      <c r="AS31" s="175">
        <f>SUMIFS('1-2 人员岗位信息'!K:K,'1-2 人员岗位信息'!$C:$C,"自有人员",'1-2 人员岗位信息'!$B:$B,$D31)</f>
        <v>4</v>
      </c>
      <c r="AT31" s="297">
        <v>3075</v>
      </c>
      <c r="AU31" s="175">
        <f t="shared" ref="AU31:AU38" si="70">AV31*AW31</f>
        <v>12300</v>
      </c>
      <c r="AV31" s="175">
        <f>SUMIFS('1-2 人员岗位信息'!L:L,'1-2 人员岗位信息'!$C:$C,"自有人员",'1-2 人员岗位信息'!$B:$B,$D31)</f>
        <v>4</v>
      </c>
      <c r="AW31" s="297">
        <v>3075</v>
      </c>
      <c r="AX31" s="175">
        <f t="shared" ref="AX31:AX38" si="71">AY31*AZ31</f>
        <v>12300</v>
      </c>
      <c r="AY31" s="175">
        <f>SUMIFS('1-2 人员岗位信息'!M:M,'1-2 人员岗位信息'!$C:$C,"自有人员",'1-2 人员岗位信息'!$B:$B,$D31)</f>
        <v>4</v>
      </c>
      <c r="AZ31" s="297">
        <v>3075</v>
      </c>
      <c r="BA31" s="175">
        <f t="shared" ref="BA31:BA38" si="72">BB31*BC31</f>
        <v>12300</v>
      </c>
      <c r="BB31" s="175">
        <f>SUMIFS('1-2 人员岗位信息'!N:N,'1-2 人员岗位信息'!$C:$C,"自有人员",'1-2 人员岗位信息'!$B:$B,$D31)</f>
        <v>4</v>
      </c>
      <c r="BC31" s="297">
        <v>3075</v>
      </c>
      <c r="BD31" s="175">
        <f t="shared" ref="BD31:BD38" si="73">BE31*BF31</f>
        <v>12300</v>
      </c>
      <c r="BE31" s="175">
        <f>SUMIFS('1-2 人员岗位信息'!O:O,'1-2 人员岗位信息'!$C:$C,"自有人员",'1-2 人员岗位信息'!$B:$B,$D31)</f>
        <v>4</v>
      </c>
      <c r="BF31" s="297">
        <v>3075</v>
      </c>
      <c r="BG31" s="175">
        <f t="shared" ref="BG31:BG38" si="74">BH31*BI31</f>
        <v>12300</v>
      </c>
      <c r="BH31" s="175">
        <f>SUMIFS('1-2 人员岗位信息'!P:P,'1-2 人员岗位信息'!$C:$C,"自有人员",'1-2 人员岗位信息'!$B:$B,$D31)</f>
        <v>4</v>
      </c>
      <c r="BI31" s="297">
        <v>3075</v>
      </c>
      <c r="BJ31" s="175">
        <f t="shared" ref="BJ31:BJ38" si="75">BK31*BL31</f>
        <v>12300</v>
      </c>
      <c r="BK31" s="175">
        <f>SUMIFS('1-2 人员岗位信息'!Q:Q,'1-2 人员岗位信息'!$C:$C,"自有人员",'1-2 人员岗位信息'!$B:$B,$D31)</f>
        <v>4</v>
      </c>
      <c r="BL31" s="297">
        <v>3075</v>
      </c>
      <c r="BM31" s="310"/>
      <c r="BN31" s="314"/>
    </row>
    <row r="32" s="262" customFormat="1" ht="33.95" hidden="1" customHeight="1" outlineLevel="5" spans="2:66">
      <c r="B32" s="175" t="s">
        <v>747</v>
      </c>
      <c r="C32" s="282" t="s">
        <v>791</v>
      </c>
      <c r="D32" s="262" t="s">
        <v>792</v>
      </c>
      <c r="E32" s="175" t="s">
        <v>790</v>
      </c>
      <c r="F32" s="175"/>
      <c r="G32" s="175" t="s">
        <v>751</v>
      </c>
      <c r="H32" s="175">
        <f t="shared" si="59"/>
        <v>0</v>
      </c>
      <c r="I32" s="175" t="s">
        <v>752</v>
      </c>
      <c r="J32" s="175" t="e">
        <f t="shared" si="60"/>
        <v>#DIV/0!</v>
      </c>
      <c r="K32" s="175" t="s">
        <v>753</v>
      </c>
      <c r="L32" s="175" t="e">
        <f t="shared" si="61"/>
        <v>#DIV/0!</v>
      </c>
      <c r="M32" s="175" t="s">
        <v>754</v>
      </c>
      <c r="N32" s="175">
        <f t="shared" si="62"/>
        <v>0</v>
      </c>
      <c r="O32" s="175"/>
      <c r="P32" s="289"/>
      <c r="Q32" s="289"/>
      <c r="R32" s="289"/>
      <c r="S32" s="289"/>
      <c r="T32" s="289"/>
      <c r="U32" s="289"/>
      <c r="V32" s="289"/>
      <c r="W32" s="289"/>
      <c r="X32" s="289"/>
      <c r="Y32" s="289"/>
      <c r="Z32" s="289"/>
      <c r="AA32" s="289"/>
      <c r="AB32" s="175">
        <f t="shared" si="63"/>
        <v>0</v>
      </c>
      <c r="AC32" s="175">
        <f t="shared" si="64"/>
        <v>0</v>
      </c>
      <c r="AD32" s="175">
        <f>SUMIFS('1-2 人员岗位信息'!F:F,'1-2 人员岗位信息'!$C:$C,"自有人员",'1-2 人员岗位信息'!$B:$B,$D32)</f>
        <v>0</v>
      </c>
      <c r="AE32" s="297"/>
      <c r="AF32" s="175">
        <f t="shared" si="65"/>
        <v>0</v>
      </c>
      <c r="AG32" s="175">
        <f>SUMIFS('1-2 人员岗位信息'!G:G,'1-2 人员岗位信息'!$C:$C,"自有人员",'1-2 人员岗位信息'!$B:$B,$D32)</f>
        <v>0</v>
      </c>
      <c r="AH32" s="297"/>
      <c r="AI32" s="175">
        <f t="shared" si="66"/>
        <v>0</v>
      </c>
      <c r="AJ32" s="175">
        <f>SUMIFS('1-2 人员岗位信息'!H:H,'1-2 人员岗位信息'!$C:$C,"自有人员",'1-2 人员岗位信息'!$B:$B,$D32)</f>
        <v>0</v>
      </c>
      <c r="AK32" s="297"/>
      <c r="AL32" s="175">
        <f t="shared" si="67"/>
        <v>0</v>
      </c>
      <c r="AM32" s="175">
        <f>SUMIFS('1-2 人员岗位信息'!I:I,'1-2 人员岗位信息'!$C:$C,"自有人员",'1-2 人员岗位信息'!$B:$B,$D32)</f>
        <v>0</v>
      </c>
      <c r="AN32" s="297"/>
      <c r="AO32" s="175">
        <f t="shared" si="68"/>
        <v>0</v>
      </c>
      <c r="AP32" s="175">
        <f>SUMIFS('1-2 人员岗位信息'!J:J,'1-2 人员岗位信息'!$C:$C,"自有人员",'1-2 人员岗位信息'!$B:$B,$D32)</f>
        <v>0</v>
      </c>
      <c r="AQ32" s="297"/>
      <c r="AR32" s="175">
        <f t="shared" si="69"/>
        <v>0</v>
      </c>
      <c r="AS32" s="175">
        <f>SUMIFS('1-2 人员岗位信息'!K:K,'1-2 人员岗位信息'!$C:$C,"自有人员",'1-2 人员岗位信息'!$B:$B,$D32)</f>
        <v>0</v>
      </c>
      <c r="AT32" s="297"/>
      <c r="AU32" s="175">
        <f t="shared" si="70"/>
        <v>0</v>
      </c>
      <c r="AV32" s="175">
        <f>SUMIFS('1-2 人员岗位信息'!L:L,'1-2 人员岗位信息'!$C:$C,"自有人员",'1-2 人员岗位信息'!$B:$B,$D32)</f>
        <v>0</v>
      </c>
      <c r="AW32" s="297"/>
      <c r="AX32" s="175">
        <f t="shared" si="71"/>
        <v>0</v>
      </c>
      <c r="AY32" s="175">
        <f>SUMIFS('1-2 人员岗位信息'!M:M,'1-2 人员岗位信息'!$C:$C,"自有人员",'1-2 人员岗位信息'!$B:$B,$D32)</f>
        <v>0</v>
      </c>
      <c r="AZ32" s="297"/>
      <c r="BA32" s="175">
        <f t="shared" si="72"/>
        <v>0</v>
      </c>
      <c r="BB32" s="175">
        <f>SUMIFS('1-2 人员岗位信息'!N:N,'1-2 人员岗位信息'!$C:$C,"自有人员",'1-2 人员岗位信息'!$B:$B,$D32)</f>
        <v>0</v>
      </c>
      <c r="BC32" s="297"/>
      <c r="BD32" s="175">
        <f t="shared" si="73"/>
        <v>0</v>
      </c>
      <c r="BE32" s="175">
        <f>SUMIFS('1-2 人员岗位信息'!O:O,'1-2 人员岗位信息'!$C:$C,"自有人员",'1-2 人员岗位信息'!$B:$B,$D32)</f>
        <v>0</v>
      </c>
      <c r="BF32" s="297"/>
      <c r="BG32" s="175">
        <f t="shared" si="74"/>
        <v>0</v>
      </c>
      <c r="BH32" s="175">
        <f>SUMIFS('1-2 人员岗位信息'!P:P,'1-2 人员岗位信息'!$C:$C,"自有人员",'1-2 人员岗位信息'!$B:$B,$D32)</f>
        <v>0</v>
      </c>
      <c r="BI32" s="297"/>
      <c r="BJ32" s="175">
        <f t="shared" si="75"/>
        <v>0</v>
      </c>
      <c r="BK32" s="175">
        <f>SUMIFS('1-2 人员岗位信息'!Q:Q,'1-2 人员岗位信息'!$C:$C,"自有人员",'1-2 人员岗位信息'!$B:$B,$D32)</f>
        <v>0</v>
      </c>
      <c r="BL32" s="306"/>
      <c r="BM32" s="310"/>
      <c r="BN32" s="314"/>
    </row>
    <row r="33" s="262" customFormat="1" ht="33.95" hidden="1" customHeight="1" outlineLevel="5" spans="2:66">
      <c r="B33" s="175" t="s">
        <v>747</v>
      </c>
      <c r="C33" s="282" t="s">
        <v>793</v>
      </c>
      <c r="D33" s="262" t="s">
        <v>794</v>
      </c>
      <c r="E33" s="175" t="s">
        <v>795</v>
      </c>
      <c r="F33" s="175"/>
      <c r="G33" s="175" t="s">
        <v>751</v>
      </c>
      <c r="H33" s="175">
        <f t="shared" si="59"/>
        <v>0</v>
      </c>
      <c r="I33" s="175" t="s">
        <v>752</v>
      </c>
      <c r="J33" s="175" t="e">
        <f t="shared" si="60"/>
        <v>#DIV/0!</v>
      </c>
      <c r="K33" s="175" t="s">
        <v>753</v>
      </c>
      <c r="L33" s="175" t="e">
        <f t="shared" si="61"/>
        <v>#DIV/0!</v>
      </c>
      <c r="M33" s="175" t="s">
        <v>754</v>
      </c>
      <c r="N33" s="175">
        <f t="shared" si="62"/>
        <v>0</v>
      </c>
      <c r="O33" s="175"/>
      <c r="P33" s="289"/>
      <c r="Q33" s="289"/>
      <c r="R33" s="289"/>
      <c r="S33" s="289"/>
      <c r="T33" s="289"/>
      <c r="U33" s="289"/>
      <c r="V33" s="289"/>
      <c r="W33" s="289"/>
      <c r="X33" s="289"/>
      <c r="Y33" s="289"/>
      <c r="Z33" s="289"/>
      <c r="AA33" s="289"/>
      <c r="AB33" s="175">
        <f t="shared" si="63"/>
        <v>0</v>
      </c>
      <c r="AC33" s="175">
        <f t="shared" si="64"/>
        <v>0</v>
      </c>
      <c r="AD33" s="175">
        <f>SUMIFS('1-2 人员岗位信息'!F:F,'1-2 人员岗位信息'!$C:$C,"自有人员",'1-2 人员岗位信息'!$B:$B,$D33)</f>
        <v>0</v>
      </c>
      <c r="AE33" s="297"/>
      <c r="AF33" s="175">
        <f t="shared" si="65"/>
        <v>0</v>
      </c>
      <c r="AG33" s="175">
        <f>SUMIFS('1-2 人员岗位信息'!G:G,'1-2 人员岗位信息'!$C:$C,"自有人员",'1-2 人员岗位信息'!$B:$B,$D33)</f>
        <v>0</v>
      </c>
      <c r="AH33" s="297"/>
      <c r="AI33" s="175">
        <f t="shared" si="66"/>
        <v>0</v>
      </c>
      <c r="AJ33" s="175">
        <f>SUMIFS('1-2 人员岗位信息'!H:H,'1-2 人员岗位信息'!$C:$C,"自有人员",'1-2 人员岗位信息'!$B:$B,$D33)</f>
        <v>0</v>
      </c>
      <c r="AK33" s="297"/>
      <c r="AL33" s="175">
        <f t="shared" si="67"/>
        <v>0</v>
      </c>
      <c r="AM33" s="175">
        <f>SUMIFS('1-2 人员岗位信息'!I:I,'1-2 人员岗位信息'!$C:$C,"自有人员",'1-2 人员岗位信息'!$B:$B,$D33)</f>
        <v>0</v>
      </c>
      <c r="AN33" s="297"/>
      <c r="AO33" s="175">
        <f t="shared" si="68"/>
        <v>0</v>
      </c>
      <c r="AP33" s="175">
        <f>SUMIFS('1-2 人员岗位信息'!J:J,'1-2 人员岗位信息'!$C:$C,"自有人员",'1-2 人员岗位信息'!$B:$B,$D33)</f>
        <v>0</v>
      </c>
      <c r="AQ33" s="297"/>
      <c r="AR33" s="175">
        <f t="shared" si="69"/>
        <v>0</v>
      </c>
      <c r="AS33" s="175">
        <f>SUMIFS('1-2 人员岗位信息'!K:K,'1-2 人员岗位信息'!$C:$C,"自有人员",'1-2 人员岗位信息'!$B:$B,$D33)</f>
        <v>0</v>
      </c>
      <c r="AT33" s="297"/>
      <c r="AU33" s="175">
        <f t="shared" si="70"/>
        <v>0</v>
      </c>
      <c r="AV33" s="175">
        <f>SUMIFS('1-2 人员岗位信息'!L:L,'1-2 人员岗位信息'!$C:$C,"自有人员",'1-2 人员岗位信息'!$B:$B,$D33)</f>
        <v>0</v>
      </c>
      <c r="AW33" s="297"/>
      <c r="AX33" s="175">
        <f t="shared" si="71"/>
        <v>0</v>
      </c>
      <c r="AY33" s="175">
        <f>SUMIFS('1-2 人员岗位信息'!M:M,'1-2 人员岗位信息'!$C:$C,"自有人员",'1-2 人员岗位信息'!$B:$B,$D33)</f>
        <v>0</v>
      </c>
      <c r="AZ33" s="297"/>
      <c r="BA33" s="175">
        <f t="shared" si="72"/>
        <v>0</v>
      </c>
      <c r="BB33" s="175">
        <f>SUMIFS('1-2 人员岗位信息'!N:N,'1-2 人员岗位信息'!$C:$C,"自有人员",'1-2 人员岗位信息'!$B:$B,$D33)</f>
        <v>0</v>
      </c>
      <c r="BC33" s="297"/>
      <c r="BD33" s="175">
        <f t="shared" si="73"/>
        <v>0</v>
      </c>
      <c r="BE33" s="175">
        <f>SUMIFS('1-2 人员岗位信息'!O:O,'1-2 人员岗位信息'!$C:$C,"自有人员",'1-2 人员岗位信息'!$B:$B,$D33)</f>
        <v>0</v>
      </c>
      <c r="BF33" s="297"/>
      <c r="BG33" s="175">
        <f t="shared" si="74"/>
        <v>0</v>
      </c>
      <c r="BH33" s="175">
        <f>SUMIFS('1-2 人员岗位信息'!P:P,'1-2 人员岗位信息'!$C:$C,"自有人员",'1-2 人员岗位信息'!$B:$B,$D33)</f>
        <v>0</v>
      </c>
      <c r="BI33" s="297"/>
      <c r="BJ33" s="175">
        <f t="shared" si="75"/>
        <v>0</v>
      </c>
      <c r="BK33" s="175">
        <f>SUMIFS('1-2 人员岗位信息'!Q:Q,'1-2 人员岗位信息'!$C:$C,"自有人员",'1-2 人员岗位信息'!$B:$B,$D33)</f>
        <v>0</v>
      </c>
      <c r="BL33" s="306"/>
      <c r="BM33" s="310"/>
      <c r="BN33" s="314"/>
    </row>
    <row r="34" s="262" customFormat="1" ht="33.95" hidden="1" customHeight="1" outlineLevel="5" spans="2:66">
      <c r="B34" s="175" t="s">
        <v>747</v>
      </c>
      <c r="C34" s="282" t="s">
        <v>796</v>
      </c>
      <c r="D34" s="262" t="s">
        <v>797</v>
      </c>
      <c r="E34" s="175" t="s">
        <v>798</v>
      </c>
      <c r="F34" s="175"/>
      <c r="G34" s="175" t="s">
        <v>751</v>
      </c>
      <c r="H34" s="175">
        <f t="shared" si="59"/>
        <v>0</v>
      </c>
      <c r="I34" s="175" t="s">
        <v>752</v>
      </c>
      <c r="J34" s="175" t="e">
        <f t="shared" si="60"/>
        <v>#DIV/0!</v>
      </c>
      <c r="K34" s="175" t="s">
        <v>753</v>
      </c>
      <c r="L34" s="175" t="e">
        <f t="shared" si="61"/>
        <v>#DIV/0!</v>
      </c>
      <c r="M34" s="175" t="s">
        <v>754</v>
      </c>
      <c r="N34" s="175">
        <f t="shared" si="62"/>
        <v>0</v>
      </c>
      <c r="O34" s="175"/>
      <c r="P34" s="289"/>
      <c r="Q34" s="289"/>
      <c r="R34" s="289"/>
      <c r="S34" s="289"/>
      <c r="T34" s="289"/>
      <c r="U34" s="289"/>
      <c r="V34" s="289"/>
      <c r="W34" s="289"/>
      <c r="X34" s="289"/>
      <c r="Y34" s="289"/>
      <c r="Z34" s="289"/>
      <c r="AA34" s="289"/>
      <c r="AB34" s="175">
        <f t="shared" si="63"/>
        <v>0</v>
      </c>
      <c r="AC34" s="175">
        <f t="shared" si="64"/>
        <v>0</v>
      </c>
      <c r="AD34" s="175">
        <f>SUMIFS('1-2 人员岗位信息'!F:F,'1-2 人员岗位信息'!$C:$C,"自有人员",'1-2 人员岗位信息'!$B:$B,$D34)</f>
        <v>0</v>
      </c>
      <c r="AE34" s="297"/>
      <c r="AF34" s="175">
        <f t="shared" si="65"/>
        <v>0</v>
      </c>
      <c r="AG34" s="175">
        <f>SUMIFS('1-2 人员岗位信息'!G:G,'1-2 人员岗位信息'!$C:$C,"自有人员",'1-2 人员岗位信息'!$B:$B,$D34)</f>
        <v>0</v>
      </c>
      <c r="AH34" s="297"/>
      <c r="AI34" s="175">
        <f t="shared" si="66"/>
        <v>0</v>
      </c>
      <c r="AJ34" s="175">
        <f>SUMIFS('1-2 人员岗位信息'!H:H,'1-2 人员岗位信息'!$C:$C,"自有人员",'1-2 人员岗位信息'!$B:$B,$D34)</f>
        <v>0</v>
      </c>
      <c r="AK34" s="297"/>
      <c r="AL34" s="175">
        <f t="shared" si="67"/>
        <v>0</v>
      </c>
      <c r="AM34" s="175">
        <f>SUMIFS('1-2 人员岗位信息'!I:I,'1-2 人员岗位信息'!$C:$C,"自有人员",'1-2 人员岗位信息'!$B:$B,$D34)</f>
        <v>0</v>
      </c>
      <c r="AN34" s="297"/>
      <c r="AO34" s="175">
        <f t="shared" si="68"/>
        <v>0</v>
      </c>
      <c r="AP34" s="175">
        <f>SUMIFS('1-2 人员岗位信息'!J:J,'1-2 人员岗位信息'!$C:$C,"自有人员",'1-2 人员岗位信息'!$B:$B,$D34)</f>
        <v>0</v>
      </c>
      <c r="AQ34" s="297"/>
      <c r="AR34" s="175">
        <f t="shared" si="69"/>
        <v>0</v>
      </c>
      <c r="AS34" s="175">
        <f>SUMIFS('1-2 人员岗位信息'!K:K,'1-2 人员岗位信息'!$C:$C,"自有人员",'1-2 人员岗位信息'!$B:$B,$D34)</f>
        <v>0</v>
      </c>
      <c r="AT34" s="297"/>
      <c r="AU34" s="175">
        <f t="shared" si="70"/>
        <v>0</v>
      </c>
      <c r="AV34" s="175">
        <f>SUMIFS('1-2 人员岗位信息'!L:L,'1-2 人员岗位信息'!$C:$C,"自有人员",'1-2 人员岗位信息'!$B:$B,$D34)</f>
        <v>0</v>
      </c>
      <c r="AW34" s="297"/>
      <c r="AX34" s="175">
        <f t="shared" si="71"/>
        <v>0</v>
      </c>
      <c r="AY34" s="175">
        <f>SUMIFS('1-2 人员岗位信息'!M:M,'1-2 人员岗位信息'!$C:$C,"自有人员",'1-2 人员岗位信息'!$B:$B,$D34)</f>
        <v>0</v>
      </c>
      <c r="AZ34" s="297"/>
      <c r="BA34" s="175">
        <f t="shared" si="72"/>
        <v>0</v>
      </c>
      <c r="BB34" s="175">
        <f>SUMIFS('1-2 人员岗位信息'!N:N,'1-2 人员岗位信息'!$C:$C,"自有人员",'1-2 人员岗位信息'!$B:$B,$D34)</f>
        <v>0</v>
      </c>
      <c r="BC34" s="297"/>
      <c r="BD34" s="175">
        <f t="shared" si="73"/>
        <v>0</v>
      </c>
      <c r="BE34" s="175">
        <f>SUMIFS('1-2 人员岗位信息'!O:O,'1-2 人员岗位信息'!$C:$C,"自有人员",'1-2 人员岗位信息'!$B:$B,$D34)</f>
        <v>0</v>
      </c>
      <c r="BF34" s="297"/>
      <c r="BG34" s="175">
        <f t="shared" si="74"/>
        <v>0</v>
      </c>
      <c r="BH34" s="175">
        <f>SUMIFS('1-2 人员岗位信息'!P:P,'1-2 人员岗位信息'!$C:$C,"自有人员",'1-2 人员岗位信息'!$B:$B,$D34)</f>
        <v>0</v>
      </c>
      <c r="BI34" s="297"/>
      <c r="BJ34" s="175">
        <f t="shared" si="75"/>
        <v>0</v>
      </c>
      <c r="BK34" s="175">
        <f>SUMIFS('1-2 人员岗位信息'!Q:Q,'1-2 人员岗位信息'!$C:$C,"自有人员",'1-2 人员岗位信息'!$B:$B,$D34)</f>
        <v>0</v>
      </c>
      <c r="BL34" s="306"/>
      <c r="BM34" s="310"/>
      <c r="BN34" s="314"/>
    </row>
    <row r="35" s="262" customFormat="1" ht="33.95" hidden="1" customHeight="1" outlineLevel="5" spans="2:66">
      <c r="B35" s="175" t="s">
        <v>747</v>
      </c>
      <c r="C35" s="282" t="s">
        <v>799</v>
      </c>
      <c r="D35" s="262" t="s">
        <v>800</v>
      </c>
      <c r="E35" s="175" t="s">
        <v>801</v>
      </c>
      <c r="F35" s="175"/>
      <c r="G35" s="175" t="s">
        <v>751</v>
      </c>
      <c r="H35" s="175">
        <f t="shared" si="59"/>
        <v>0</v>
      </c>
      <c r="I35" s="175" t="s">
        <v>752</v>
      </c>
      <c r="J35" s="175" t="e">
        <f t="shared" si="60"/>
        <v>#DIV/0!</v>
      </c>
      <c r="K35" s="175" t="s">
        <v>753</v>
      </c>
      <c r="L35" s="175" t="e">
        <f t="shared" si="61"/>
        <v>#DIV/0!</v>
      </c>
      <c r="M35" s="175" t="s">
        <v>754</v>
      </c>
      <c r="N35" s="175">
        <f t="shared" si="62"/>
        <v>0</v>
      </c>
      <c r="O35" s="175"/>
      <c r="P35" s="289"/>
      <c r="Q35" s="289"/>
      <c r="R35" s="289"/>
      <c r="S35" s="289"/>
      <c r="T35" s="289"/>
      <c r="U35" s="289"/>
      <c r="V35" s="289"/>
      <c r="W35" s="289"/>
      <c r="X35" s="289"/>
      <c r="Y35" s="289"/>
      <c r="Z35" s="289"/>
      <c r="AA35" s="289"/>
      <c r="AB35" s="175">
        <f t="shared" si="63"/>
        <v>0</v>
      </c>
      <c r="AC35" s="175">
        <f t="shared" si="64"/>
        <v>0</v>
      </c>
      <c r="AD35" s="175">
        <f>SUMIFS('1-2 人员岗位信息'!F:F,'1-2 人员岗位信息'!$C:$C,"自有人员",'1-2 人员岗位信息'!$B:$B,$D35)</f>
        <v>0</v>
      </c>
      <c r="AE35" s="297"/>
      <c r="AF35" s="175">
        <f t="shared" si="65"/>
        <v>0</v>
      </c>
      <c r="AG35" s="175">
        <f>SUMIFS('1-2 人员岗位信息'!G:G,'1-2 人员岗位信息'!$C:$C,"自有人员",'1-2 人员岗位信息'!$B:$B,$D35)</f>
        <v>0</v>
      </c>
      <c r="AH35" s="297"/>
      <c r="AI35" s="175">
        <f t="shared" si="66"/>
        <v>0</v>
      </c>
      <c r="AJ35" s="175">
        <f>SUMIFS('1-2 人员岗位信息'!H:H,'1-2 人员岗位信息'!$C:$C,"自有人员",'1-2 人员岗位信息'!$B:$B,$D35)</f>
        <v>0</v>
      </c>
      <c r="AK35" s="297"/>
      <c r="AL35" s="175">
        <f t="shared" si="67"/>
        <v>0</v>
      </c>
      <c r="AM35" s="175">
        <f>SUMIFS('1-2 人员岗位信息'!I:I,'1-2 人员岗位信息'!$C:$C,"自有人员",'1-2 人员岗位信息'!$B:$B,$D35)</f>
        <v>0</v>
      </c>
      <c r="AN35" s="297"/>
      <c r="AO35" s="175">
        <f t="shared" si="68"/>
        <v>0</v>
      </c>
      <c r="AP35" s="175">
        <f>SUMIFS('1-2 人员岗位信息'!J:J,'1-2 人员岗位信息'!$C:$C,"自有人员",'1-2 人员岗位信息'!$B:$B,$D35)</f>
        <v>0</v>
      </c>
      <c r="AQ35" s="297"/>
      <c r="AR35" s="175">
        <f t="shared" si="69"/>
        <v>0</v>
      </c>
      <c r="AS35" s="175">
        <f>SUMIFS('1-2 人员岗位信息'!K:K,'1-2 人员岗位信息'!$C:$C,"自有人员",'1-2 人员岗位信息'!$B:$B,$D35)</f>
        <v>0</v>
      </c>
      <c r="AT35" s="297"/>
      <c r="AU35" s="175">
        <f t="shared" si="70"/>
        <v>0</v>
      </c>
      <c r="AV35" s="175">
        <f>SUMIFS('1-2 人员岗位信息'!L:L,'1-2 人员岗位信息'!$C:$C,"自有人员",'1-2 人员岗位信息'!$B:$B,$D35)</f>
        <v>0</v>
      </c>
      <c r="AW35" s="297"/>
      <c r="AX35" s="175">
        <f t="shared" si="71"/>
        <v>0</v>
      </c>
      <c r="AY35" s="175">
        <f>SUMIFS('1-2 人员岗位信息'!M:M,'1-2 人员岗位信息'!$C:$C,"自有人员",'1-2 人员岗位信息'!$B:$B,$D35)</f>
        <v>0</v>
      </c>
      <c r="AZ35" s="297"/>
      <c r="BA35" s="175">
        <f t="shared" si="72"/>
        <v>0</v>
      </c>
      <c r="BB35" s="175">
        <f>SUMIFS('1-2 人员岗位信息'!N:N,'1-2 人员岗位信息'!$C:$C,"自有人员",'1-2 人员岗位信息'!$B:$B,$D35)</f>
        <v>0</v>
      </c>
      <c r="BC35" s="297"/>
      <c r="BD35" s="175">
        <f t="shared" si="73"/>
        <v>0</v>
      </c>
      <c r="BE35" s="175">
        <f>SUMIFS('1-2 人员岗位信息'!O:O,'1-2 人员岗位信息'!$C:$C,"自有人员",'1-2 人员岗位信息'!$B:$B,$D35)</f>
        <v>0</v>
      </c>
      <c r="BF35" s="297"/>
      <c r="BG35" s="175">
        <f t="shared" si="74"/>
        <v>0</v>
      </c>
      <c r="BH35" s="175">
        <f>SUMIFS('1-2 人员岗位信息'!P:P,'1-2 人员岗位信息'!$C:$C,"自有人员",'1-2 人员岗位信息'!$B:$B,$D35)</f>
        <v>0</v>
      </c>
      <c r="BI35" s="297"/>
      <c r="BJ35" s="175">
        <f t="shared" si="75"/>
        <v>0</v>
      </c>
      <c r="BK35" s="175">
        <f>SUMIFS('1-2 人员岗位信息'!Q:Q,'1-2 人员岗位信息'!$C:$C,"自有人员",'1-2 人员岗位信息'!$B:$B,$D35)</f>
        <v>0</v>
      </c>
      <c r="BL35" s="306"/>
      <c r="BM35" s="310"/>
      <c r="BN35" s="314"/>
    </row>
    <row r="36" s="262" customFormat="1" ht="33.95" hidden="1" customHeight="1" outlineLevel="5" spans="2:66">
      <c r="B36" s="175" t="s">
        <v>747</v>
      </c>
      <c r="C36" s="282" t="s">
        <v>802</v>
      </c>
      <c r="D36" s="262" t="s">
        <v>803</v>
      </c>
      <c r="E36" s="175" t="s">
        <v>804</v>
      </c>
      <c r="F36" s="175"/>
      <c r="G36" s="175" t="s">
        <v>751</v>
      </c>
      <c r="H36" s="175">
        <f t="shared" si="59"/>
        <v>0</v>
      </c>
      <c r="I36" s="175" t="s">
        <v>752</v>
      </c>
      <c r="J36" s="175" t="e">
        <f t="shared" si="60"/>
        <v>#DIV/0!</v>
      </c>
      <c r="K36" s="175" t="s">
        <v>753</v>
      </c>
      <c r="L36" s="175" t="e">
        <f t="shared" si="61"/>
        <v>#DIV/0!</v>
      </c>
      <c r="M36" s="175" t="s">
        <v>754</v>
      </c>
      <c r="N36" s="175">
        <f t="shared" si="62"/>
        <v>0</v>
      </c>
      <c r="O36" s="175"/>
      <c r="P36" s="289"/>
      <c r="Q36" s="289"/>
      <c r="R36" s="289"/>
      <c r="S36" s="289"/>
      <c r="T36" s="289"/>
      <c r="U36" s="289"/>
      <c r="V36" s="289"/>
      <c r="W36" s="289"/>
      <c r="X36" s="289"/>
      <c r="Y36" s="289"/>
      <c r="Z36" s="289"/>
      <c r="AA36" s="289"/>
      <c r="AB36" s="175">
        <f t="shared" si="63"/>
        <v>0</v>
      </c>
      <c r="AC36" s="175">
        <f t="shared" si="64"/>
        <v>0</v>
      </c>
      <c r="AD36" s="175">
        <f>SUMIFS('1-2 人员岗位信息'!F:F,'1-2 人员岗位信息'!$C:$C,"自有人员",'1-2 人员岗位信息'!$B:$B,$D36)</f>
        <v>0</v>
      </c>
      <c r="AE36" s="297"/>
      <c r="AF36" s="175">
        <f t="shared" si="65"/>
        <v>0</v>
      </c>
      <c r="AG36" s="175">
        <f>SUMIFS('1-2 人员岗位信息'!G:G,'1-2 人员岗位信息'!$C:$C,"自有人员",'1-2 人员岗位信息'!$B:$B,$D36)</f>
        <v>0</v>
      </c>
      <c r="AH36" s="297"/>
      <c r="AI36" s="175">
        <f t="shared" si="66"/>
        <v>0</v>
      </c>
      <c r="AJ36" s="175">
        <f>SUMIFS('1-2 人员岗位信息'!H:H,'1-2 人员岗位信息'!$C:$C,"自有人员",'1-2 人员岗位信息'!$B:$B,$D36)</f>
        <v>0</v>
      </c>
      <c r="AK36" s="297"/>
      <c r="AL36" s="175">
        <f t="shared" si="67"/>
        <v>0</v>
      </c>
      <c r="AM36" s="175">
        <f>SUMIFS('1-2 人员岗位信息'!I:I,'1-2 人员岗位信息'!$C:$C,"自有人员",'1-2 人员岗位信息'!$B:$B,$D36)</f>
        <v>0</v>
      </c>
      <c r="AN36" s="297"/>
      <c r="AO36" s="175">
        <f t="shared" si="68"/>
        <v>0</v>
      </c>
      <c r="AP36" s="175">
        <f>SUMIFS('1-2 人员岗位信息'!J:J,'1-2 人员岗位信息'!$C:$C,"自有人员",'1-2 人员岗位信息'!$B:$B,$D36)</f>
        <v>0</v>
      </c>
      <c r="AQ36" s="297"/>
      <c r="AR36" s="175">
        <f t="shared" si="69"/>
        <v>0</v>
      </c>
      <c r="AS36" s="175">
        <f>SUMIFS('1-2 人员岗位信息'!K:K,'1-2 人员岗位信息'!$C:$C,"自有人员",'1-2 人员岗位信息'!$B:$B,$D36)</f>
        <v>0</v>
      </c>
      <c r="AT36" s="297"/>
      <c r="AU36" s="175">
        <f t="shared" si="70"/>
        <v>0</v>
      </c>
      <c r="AV36" s="175">
        <f>SUMIFS('1-2 人员岗位信息'!L:L,'1-2 人员岗位信息'!$C:$C,"自有人员",'1-2 人员岗位信息'!$B:$B,$D36)</f>
        <v>0</v>
      </c>
      <c r="AW36" s="297"/>
      <c r="AX36" s="175">
        <f t="shared" si="71"/>
        <v>0</v>
      </c>
      <c r="AY36" s="175">
        <f>SUMIFS('1-2 人员岗位信息'!M:M,'1-2 人员岗位信息'!$C:$C,"自有人员",'1-2 人员岗位信息'!$B:$B,$D36)</f>
        <v>0</v>
      </c>
      <c r="AZ36" s="297"/>
      <c r="BA36" s="175">
        <f t="shared" si="72"/>
        <v>0</v>
      </c>
      <c r="BB36" s="175">
        <f>SUMIFS('1-2 人员岗位信息'!N:N,'1-2 人员岗位信息'!$C:$C,"自有人员",'1-2 人员岗位信息'!$B:$B,$D36)</f>
        <v>0</v>
      </c>
      <c r="BC36" s="297"/>
      <c r="BD36" s="175">
        <f t="shared" si="73"/>
        <v>0</v>
      </c>
      <c r="BE36" s="175">
        <f>SUMIFS('1-2 人员岗位信息'!O:O,'1-2 人员岗位信息'!$C:$C,"自有人员",'1-2 人员岗位信息'!$B:$B,$D36)</f>
        <v>0</v>
      </c>
      <c r="BF36" s="297"/>
      <c r="BG36" s="175">
        <f t="shared" si="74"/>
        <v>0</v>
      </c>
      <c r="BH36" s="175">
        <f>SUMIFS('1-2 人员岗位信息'!P:P,'1-2 人员岗位信息'!$C:$C,"自有人员",'1-2 人员岗位信息'!$B:$B,$D36)</f>
        <v>0</v>
      </c>
      <c r="BI36" s="297"/>
      <c r="BJ36" s="175">
        <f t="shared" si="75"/>
        <v>0</v>
      </c>
      <c r="BK36" s="175">
        <f>SUMIFS('1-2 人员岗位信息'!Q:Q,'1-2 人员岗位信息'!$C:$C,"自有人员",'1-2 人员岗位信息'!$B:$B,$D36)</f>
        <v>0</v>
      </c>
      <c r="BL36" s="306"/>
      <c r="BM36" s="310"/>
      <c r="BN36" s="314"/>
    </row>
    <row r="37" s="262" customFormat="1" ht="33.95" hidden="1" customHeight="1" outlineLevel="5" spans="2:66">
      <c r="B37" s="175" t="s">
        <v>747</v>
      </c>
      <c r="C37" s="282" t="s">
        <v>805</v>
      </c>
      <c r="D37" s="262" t="s">
        <v>806</v>
      </c>
      <c r="E37" s="175" t="s">
        <v>807</v>
      </c>
      <c r="F37" s="175"/>
      <c r="G37" s="175" t="s">
        <v>751</v>
      </c>
      <c r="H37" s="175">
        <f t="shared" si="59"/>
        <v>0</v>
      </c>
      <c r="I37" s="175" t="s">
        <v>752</v>
      </c>
      <c r="J37" s="175" t="e">
        <f t="shared" si="60"/>
        <v>#DIV/0!</v>
      </c>
      <c r="K37" s="175" t="s">
        <v>753</v>
      </c>
      <c r="L37" s="175" t="e">
        <f t="shared" si="61"/>
        <v>#DIV/0!</v>
      </c>
      <c r="M37" s="175" t="s">
        <v>754</v>
      </c>
      <c r="N37" s="175">
        <f t="shared" si="62"/>
        <v>0</v>
      </c>
      <c r="O37" s="175"/>
      <c r="P37" s="289"/>
      <c r="Q37" s="289"/>
      <c r="R37" s="289"/>
      <c r="S37" s="289"/>
      <c r="T37" s="289"/>
      <c r="U37" s="289"/>
      <c r="V37" s="289"/>
      <c r="W37" s="289"/>
      <c r="X37" s="289"/>
      <c r="Y37" s="289"/>
      <c r="Z37" s="289"/>
      <c r="AA37" s="289"/>
      <c r="AB37" s="175">
        <f t="shared" si="63"/>
        <v>0</v>
      </c>
      <c r="AC37" s="175">
        <f t="shared" si="64"/>
        <v>0</v>
      </c>
      <c r="AD37" s="175">
        <f>SUMIFS('1-2 人员岗位信息'!F:F,'1-2 人员岗位信息'!$C:$C,"自有人员",'1-2 人员岗位信息'!$B:$B,$D37)</f>
        <v>0</v>
      </c>
      <c r="AE37" s="297"/>
      <c r="AF37" s="175">
        <f t="shared" si="65"/>
        <v>0</v>
      </c>
      <c r="AG37" s="175">
        <f>SUMIFS('1-2 人员岗位信息'!G:G,'1-2 人员岗位信息'!$C:$C,"自有人员",'1-2 人员岗位信息'!$B:$B,$D37)</f>
        <v>0</v>
      </c>
      <c r="AH37" s="297"/>
      <c r="AI37" s="175">
        <f t="shared" si="66"/>
        <v>0</v>
      </c>
      <c r="AJ37" s="175">
        <f>SUMIFS('1-2 人员岗位信息'!H:H,'1-2 人员岗位信息'!$C:$C,"自有人员",'1-2 人员岗位信息'!$B:$B,$D37)</f>
        <v>0</v>
      </c>
      <c r="AK37" s="297"/>
      <c r="AL37" s="175">
        <f t="shared" si="67"/>
        <v>0</v>
      </c>
      <c r="AM37" s="175">
        <f>SUMIFS('1-2 人员岗位信息'!I:I,'1-2 人员岗位信息'!$C:$C,"自有人员",'1-2 人员岗位信息'!$B:$B,$D37)</f>
        <v>0</v>
      </c>
      <c r="AN37" s="297"/>
      <c r="AO37" s="175">
        <f t="shared" si="68"/>
        <v>0</v>
      </c>
      <c r="AP37" s="175">
        <f>SUMIFS('1-2 人员岗位信息'!J:J,'1-2 人员岗位信息'!$C:$C,"自有人员",'1-2 人员岗位信息'!$B:$B,$D37)</f>
        <v>0</v>
      </c>
      <c r="AQ37" s="297"/>
      <c r="AR37" s="175">
        <f t="shared" si="69"/>
        <v>0</v>
      </c>
      <c r="AS37" s="175">
        <f>SUMIFS('1-2 人员岗位信息'!K:K,'1-2 人员岗位信息'!$C:$C,"自有人员",'1-2 人员岗位信息'!$B:$B,$D37)</f>
        <v>0</v>
      </c>
      <c r="AT37" s="297"/>
      <c r="AU37" s="175">
        <f t="shared" si="70"/>
        <v>0</v>
      </c>
      <c r="AV37" s="175">
        <f>SUMIFS('1-2 人员岗位信息'!L:L,'1-2 人员岗位信息'!$C:$C,"自有人员",'1-2 人员岗位信息'!$B:$B,$D37)</f>
        <v>0</v>
      </c>
      <c r="AW37" s="297"/>
      <c r="AX37" s="175">
        <f t="shared" si="71"/>
        <v>0</v>
      </c>
      <c r="AY37" s="175">
        <f>SUMIFS('1-2 人员岗位信息'!M:M,'1-2 人员岗位信息'!$C:$C,"自有人员",'1-2 人员岗位信息'!$B:$B,$D37)</f>
        <v>0</v>
      </c>
      <c r="AZ37" s="297"/>
      <c r="BA37" s="175">
        <f t="shared" si="72"/>
        <v>0</v>
      </c>
      <c r="BB37" s="175">
        <f>SUMIFS('1-2 人员岗位信息'!N:N,'1-2 人员岗位信息'!$C:$C,"自有人员",'1-2 人员岗位信息'!$B:$B,$D37)</f>
        <v>0</v>
      </c>
      <c r="BC37" s="297"/>
      <c r="BD37" s="175">
        <f t="shared" si="73"/>
        <v>0</v>
      </c>
      <c r="BE37" s="175">
        <f>SUMIFS('1-2 人员岗位信息'!O:O,'1-2 人员岗位信息'!$C:$C,"自有人员",'1-2 人员岗位信息'!$B:$B,$D37)</f>
        <v>0</v>
      </c>
      <c r="BF37" s="297"/>
      <c r="BG37" s="175">
        <f t="shared" si="74"/>
        <v>0</v>
      </c>
      <c r="BH37" s="175">
        <f>SUMIFS('1-2 人员岗位信息'!P:P,'1-2 人员岗位信息'!$C:$C,"自有人员",'1-2 人员岗位信息'!$B:$B,$D37)</f>
        <v>0</v>
      </c>
      <c r="BI37" s="297"/>
      <c r="BJ37" s="175">
        <f t="shared" si="75"/>
        <v>0</v>
      </c>
      <c r="BK37" s="175">
        <f>SUMIFS('1-2 人员岗位信息'!Q:Q,'1-2 人员岗位信息'!$C:$C,"自有人员",'1-2 人员岗位信息'!$B:$B,$D37)</f>
        <v>0</v>
      </c>
      <c r="BL37" s="306"/>
      <c r="BM37" s="310"/>
      <c r="BN37" s="314"/>
    </row>
    <row r="38" s="262" customFormat="1" ht="33.95" hidden="1" customHeight="1" outlineLevel="5" spans="2:66">
      <c r="B38" s="175" t="s">
        <v>747</v>
      </c>
      <c r="C38" s="282" t="s">
        <v>808</v>
      </c>
      <c r="D38" s="262" t="s">
        <v>809</v>
      </c>
      <c r="E38" s="175" t="s">
        <v>769</v>
      </c>
      <c r="F38" s="175"/>
      <c r="G38" s="175" t="s">
        <v>751</v>
      </c>
      <c r="H38" s="175">
        <f t="shared" si="59"/>
        <v>0</v>
      </c>
      <c r="I38" s="175" t="s">
        <v>752</v>
      </c>
      <c r="J38" s="175" t="e">
        <f t="shared" si="60"/>
        <v>#DIV/0!</v>
      </c>
      <c r="K38" s="175" t="s">
        <v>753</v>
      </c>
      <c r="L38" s="175" t="e">
        <f t="shared" si="61"/>
        <v>#DIV/0!</v>
      </c>
      <c r="M38" s="175" t="s">
        <v>754</v>
      </c>
      <c r="N38" s="175">
        <f t="shared" si="62"/>
        <v>0</v>
      </c>
      <c r="O38" s="175"/>
      <c r="P38" s="289"/>
      <c r="Q38" s="289"/>
      <c r="R38" s="289"/>
      <c r="S38" s="289"/>
      <c r="T38" s="289"/>
      <c r="U38" s="289"/>
      <c r="V38" s="289"/>
      <c r="W38" s="289"/>
      <c r="X38" s="289"/>
      <c r="Y38" s="289"/>
      <c r="Z38" s="289"/>
      <c r="AA38" s="289"/>
      <c r="AB38" s="175">
        <f t="shared" si="63"/>
        <v>0</v>
      </c>
      <c r="AC38" s="175">
        <f t="shared" si="64"/>
        <v>0</v>
      </c>
      <c r="AD38" s="175">
        <f>SUMIFS('1-2 人员岗位信息'!F:F,'1-2 人员岗位信息'!$C:$C,"自有人员",'1-2 人员岗位信息'!$B:$B,$D38)</f>
        <v>0</v>
      </c>
      <c r="AE38" s="297"/>
      <c r="AF38" s="175">
        <f t="shared" si="65"/>
        <v>0</v>
      </c>
      <c r="AG38" s="175">
        <f>SUMIFS('1-2 人员岗位信息'!G:G,'1-2 人员岗位信息'!$C:$C,"自有人员",'1-2 人员岗位信息'!$B:$B,$D38)</f>
        <v>0</v>
      </c>
      <c r="AH38" s="297"/>
      <c r="AI38" s="175">
        <f t="shared" si="66"/>
        <v>0</v>
      </c>
      <c r="AJ38" s="175">
        <f>SUMIFS('1-2 人员岗位信息'!H:H,'1-2 人员岗位信息'!$C:$C,"自有人员",'1-2 人员岗位信息'!$B:$B,$D38)</f>
        <v>0</v>
      </c>
      <c r="AK38" s="297"/>
      <c r="AL38" s="175">
        <f t="shared" si="67"/>
        <v>0</v>
      </c>
      <c r="AM38" s="175">
        <f>SUMIFS('1-2 人员岗位信息'!I:I,'1-2 人员岗位信息'!$C:$C,"自有人员",'1-2 人员岗位信息'!$B:$B,$D38)</f>
        <v>0</v>
      </c>
      <c r="AN38" s="297"/>
      <c r="AO38" s="175">
        <f t="shared" si="68"/>
        <v>0</v>
      </c>
      <c r="AP38" s="175">
        <f>SUMIFS('1-2 人员岗位信息'!J:J,'1-2 人员岗位信息'!$C:$C,"自有人员",'1-2 人员岗位信息'!$B:$B,$D38)</f>
        <v>0</v>
      </c>
      <c r="AQ38" s="297"/>
      <c r="AR38" s="175">
        <f t="shared" si="69"/>
        <v>0</v>
      </c>
      <c r="AS38" s="175">
        <f>SUMIFS('1-2 人员岗位信息'!K:K,'1-2 人员岗位信息'!$C:$C,"自有人员",'1-2 人员岗位信息'!$B:$B,$D38)</f>
        <v>0</v>
      </c>
      <c r="AT38" s="297"/>
      <c r="AU38" s="175">
        <f t="shared" si="70"/>
        <v>0</v>
      </c>
      <c r="AV38" s="175">
        <f>SUMIFS('1-2 人员岗位信息'!L:L,'1-2 人员岗位信息'!$C:$C,"自有人员",'1-2 人员岗位信息'!$B:$B,$D38)</f>
        <v>0</v>
      </c>
      <c r="AW38" s="297"/>
      <c r="AX38" s="175">
        <f t="shared" si="71"/>
        <v>0</v>
      </c>
      <c r="AY38" s="175">
        <f>SUMIFS('1-2 人员岗位信息'!M:M,'1-2 人员岗位信息'!$C:$C,"自有人员",'1-2 人员岗位信息'!$B:$B,$D38)</f>
        <v>0</v>
      </c>
      <c r="AZ38" s="297"/>
      <c r="BA38" s="175">
        <f t="shared" si="72"/>
        <v>0</v>
      </c>
      <c r="BB38" s="175">
        <f>SUMIFS('1-2 人员岗位信息'!N:N,'1-2 人员岗位信息'!$C:$C,"自有人员",'1-2 人员岗位信息'!$B:$B,$D38)</f>
        <v>0</v>
      </c>
      <c r="BC38" s="297"/>
      <c r="BD38" s="175">
        <f t="shared" si="73"/>
        <v>0</v>
      </c>
      <c r="BE38" s="175">
        <f>SUMIFS('1-2 人员岗位信息'!O:O,'1-2 人员岗位信息'!$C:$C,"自有人员",'1-2 人员岗位信息'!$B:$B,$D38)</f>
        <v>0</v>
      </c>
      <c r="BF38" s="297"/>
      <c r="BG38" s="175">
        <f t="shared" si="74"/>
        <v>0</v>
      </c>
      <c r="BH38" s="175">
        <f>SUMIFS('1-2 人员岗位信息'!P:P,'1-2 人员岗位信息'!$C:$C,"自有人员",'1-2 人员岗位信息'!$B:$B,$D38)</f>
        <v>0</v>
      </c>
      <c r="BI38" s="297"/>
      <c r="BJ38" s="175">
        <f t="shared" si="75"/>
        <v>0</v>
      </c>
      <c r="BK38" s="175">
        <f>SUMIFS('1-2 人员岗位信息'!Q:Q,'1-2 人员岗位信息'!$C:$C,"自有人员",'1-2 人员岗位信息'!$B:$B,$D38)</f>
        <v>0</v>
      </c>
      <c r="BL38" s="306"/>
      <c r="BM38" s="310"/>
      <c r="BN38" s="314"/>
    </row>
    <row r="39" s="118" customFormat="1" ht="33.95" hidden="1" customHeight="1" outlineLevel="4" collapsed="1" spans="2:66">
      <c r="B39" s="119" t="s">
        <v>742</v>
      </c>
      <c r="C39" s="120" t="s">
        <v>69</v>
      </c>
      <c r="D39" s="118" t="s">
        <v>68</v>
      </c>
      <c r="E39" s="119"/>
      <c r="F39" s="119"/>
      <c r="G39" s="119"/>
      <c r="H39" s="119">
        <f>SUM(H40:H47)</f>
        <v>0</v>
      </c>
      <c r="I39" s="119"/>
      <c r="J39" s="119"/>
      <c r="K39" s="119"/>
      <c r="L39" s="119"/>
      <c r="M39" s="119"/>
      <c r="N39" s="119"/>
      <c r="O39" s="119"/>
      <c r="P39" s="288"/>
      <c r="Q39" s="288"/>
      <c r="R39" s="288"/>
      <c r="S39" s="288"/>
      <c r="T39" s="288"/>
      <c r="U39" s="288"/>
      <c r="V39" s="288"/>
      <c r="W39" s="288"/>
      <c r="X39" s="288"/>
      <c r="Y39" s="288"/>
      <c r="Z39" s="288"/>
      <c r="AA39" s="288"/>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5"/>
      <c r="BM39" s="310"/>
      <c r="BN39" s="313"/>
    </row>
    <row r="40" s="262" customFormat="1" ht="33.95" hidden="1" customHeight="1" outlineLevel="5" spans="2:66">
      <c r="B40" s="175" t="s">
        <v>747</v>
      </c>
      <c r="C40" s="282" t="s">
        <v>810</v>
      </c>
      <c r="D40" s="262" t="s">
        <v>789</v>
      </c>
      <c r="E40" s="175" t="s">
        <v>811</v>
      </c>
      <c r="F40" s="175"/>
      <c r="G40" s="175" t="s">
        <v>751</v>
      </c>
      <c r="H40" s="175">
        <f t="shared" ref="H40:H47" si="77">AB40</f>
        <v>0</v>
      </c>
      <c r="I40" s="175" t="s">
        <v>752</v>
      </c>
      <c r="J40" s="175" t="e">
        <f t="shared" ref="J40:J47" si="78">SUM(AD40,AG40,AJ40,AM40,AP40,AS40,AV40,AY40,BB40,BE40,BH40,BK40)/N40</f>
        <v>#DIV/0!</v>
      </c>
      <c r="K40" s="175" t="s">
        <v>753</v>
      </c>
      <c r="L40" s="175" t="e">
        <f t="shared" ref="L40:L47" si="79">H40/N40/J40</f>
        <v>#DIV/0!</v>
      </c>
      <c r="M40" s="175" t="s">
        <v>754</v>
      </c>
      <c r="N40" s="175">
        <f t="shared" ref="N40:N47" si="80">COUNTIF(AD40,"&gt;0")+COUNTIF(AG40,"&gt;0")+COUNTIF(AJ40,"&gt;0")+COUNTIF(AM40,"&gt;0")+COUNTIF(AP40,"&gt;0")+COUNTIF(AS40,"&gt;0")+COUNTIF(AV40,"&gt;0")+COUNTIF(AY40,"&gt;0")+COUNTIF(BB40,"&gt;0")+COUNTIF(BE40,"&gt;0")+COUNTIF(BH40,"&gt;0")+COUNTIF(BK40,"&gt;0")</f>
        <v>0</v>
      </c>
      <c r="O40" s="175"/>
      <c r="P40" s="289"/>
      <c r="Q40" s="289"/>
      <c r="R40" s="289"/>
      <c r="S40" s="289"/>
      <c r="T40" s="289"/>
      <c r="U40" s="289"/>
      <c r="V40" s="289"/>
      <c r="W40" s="289"/>
      <c r="X40" s="289"/>
      <c r="Y40" s="289"/>
      <c r="Z40" s="289"/>
      <c r="AA40" s="289"/>
      <c r="AB40" s="175">
        <f t="shared" ref="AB40:AB47" si="81">SUM(AC40,AF40,AI40,AL40,AO40,AR40,AU40,AX40,BA40,BD40,BG40,BJ40)</f>
        <v>0</v>
      </c>
      <c r="AC40" s="175">
        <f t="shared" ref="AC40:AC47" si="82">AD40*AE40</f>
        <v>0</v>
      </c>
      <c r="AD40" s="175">
        <f>SUMIFS('1-2 人员岗位信息'!F:F,'1-2 人员岗位信息'!$C:$C,"劳务派遣",'1-2 人员岗位信息'!$B:$B,$D40)</f>
        <v>0</v>
      </c>
      <c r="AE40" s="297"/>
      <c r="AF40" s="175">
        <f t="shared" ref="AF40:AF47" si="83">AG40*AH40</f>
        <v>0</v>
      </c>
      <c r="AG40" s="175">
        <f>SUMIFS('1-2 人员岗位信息'!G:G,'1-2 人员岗位信息'!$C:$C,"劳务派遣",'1-2 人员岗位信息'!$B:$B,$D40)</f>
        <v>0</v>
      </c>
      <c r="AH40" s="297"/>
      <c r="AI40" s="175">
        <f t="shared" ref="AI40:AI47" si="84">AJ40*AK40</f>
        <v>0</v>
      </c>
      <c r="AJ40" s="175">
        <f>SUMIFS('1-2 人员岗位信息'!H:H,'1-2 人员岗位信息'!$C:$C,"劳务派遣",'1-2 人员岗位信息'!$B:$B,$D40)</f>
        <v>0</v>
      </c>
      <c r="AK40" s="297"/>
      <c r="AL40" s="175">
        <f t="shared" ref="AL40:AL47" si="85">AM40*AN40</f>
        <v>0</v>
      </c>
      <c r="AM40" s="175">
        <f>SUMIFS('1-2 人员岗位信息'!I:I,'1-2 人员岗位信息'!$C:$C,"劳务派遣",'1-2 人员岗位信息'!$B:$B,$D40)</f>
        <v>0</v>
      </c>
      <c r="AN40" s="297"/>
      <c r="AO40" s="175">
        <f t="shared" ref="AO40:AO47" si="86">AP40*AQ40</f>
        <v>0</v>
      </c>
      <c r="AP40" s="175">
        <f>SUMIFS('1-2 人员岗位信息'!J:J,'1-2 人员岗位信息'!$C:$C,"劳务派遣",'1-2 人员岗位信息'!$B:$B,$D40)</f>
        <v>0</v>
      </c>
      <c r="AQ40" s="297"/>
      <c r="AR40" s="175">
        <f t="shared" ref="AR40:AR47" si="87">AS40*AT40</f>
        <v>0</v>
      </c>
      <c r="AS40" s="175">
        <f>SUMIFS('1-2 人员岗位信息'!K:K,'1-2 人员岗位信息'!$C:$C,"劳务派遣",'1-2 人员岗位信息'!$B:$B,$D40)</f>
        <v>0</v>
      </c>
      <c r="AT40" s="297"/>
      <c r="AU40" s="175">
        <f t="shared" ref="AU40:AU47" si="88">AV40*AW40</f>
        <v>0</v>
      </c>
      <c r="AV40" s="175">
        <f>SUMIFS('1-2 人员岗位信息'!L:L,'1-2 人员岗位信息'!$C:$C,"劳务派遣",'1-2 人员岗位信息'!$B:$B,$D40)</f>
        <v>0</v>
      </c>
      <c r="AW40" s="297"/>
      <c r="AX40" s="175">
        <f t="shared" ref="AX40:AX47" si="89">AY40*AZ40</f>
        <v>0</v>
      </c>
      <c r="AY40" s="175">
        <f>SUMIFS('1-2 人员岗位信息'!M:M,'1-2 人员岗位信息'!$C:$C,"劳务派遣",'1-2 人员岗位信息'!$B:$B,$D40)</f>
        <v>0</v>
      </c>
      <c r="AZ40" s="297"/>
      <c r="BA40" s="175">
        <f t="shared" ref="BA40:BA47" si="90">BB40*BC40</f>
        <v>0</v>
      </c>
      <c r="BB40" s="175">
        <f>SUMIFS('1-2 人员岗位信息'!N:N,'1-2 人员岗位信息'!$C:$C,"劳务派遣",'1-2 人员岗位信息'!$B:$B,$D40)</f>
        <v>0</v>
      </c>
      <c r="BC40" s="297"/>
      <c r="BD40" s="175">
        <f t="shared" ref="BD40:BD47" si="91">BE40*BF40</f>
        <v>0</v>
      </c>
      <c r="BE40" s="175">
        <f>SUMIFS('1-2 人员岗位信息'!O:O,'1-2 人员岗位信息'!$C:$C,"劳务派遣",'1-2 人员岗位信息'!$B:$B,$D40)</f>
        <v>0</v>
      </c>
      <c r="BF40" s="297"/>
      <c r="BG40" s="175">
        <f t="shared" ref="BG40:BG47" si="92">BH40*BI40</f>
        <v>0</v>
      </c>
      <c r="BH40" s="175">
        <f>SUMIFS('1-2 人员岗位信息'!P:P,'1-2 人员岗位信息'!$C:$C,"劳务派遣",'1-2 人员岗位信息'!$B:$B,$D40)</f>
        <v>0</v>
      </c>
      <c r="BI40" s="297"/>
      <c r="BJ40" s="175">
        <f t="shared" ref="BJ40:BJ47" si="93">BK40*BL40</f>
        <v>0</v>
      </c>
      <c r="BK40" s="175">
        <f>SUMIFS('1-2 人员岗位信息'!Q:Q,'1-2 人员岗位信息'!$C:$C,"劳务派遣",'1-2 人员岗位信息'!$B:$B,$D40)</f>
        <v>0</v>
      </c>
      <c r="BL40" s="306"/>
      <c r="BM40" s="310"/>
      <c r="BN40" s="314"/>
    </row>
    <row r="41" s="262" customFormat="1" ht="33.95" hidden="1" customHeight="1" outlineLevel="5" spans="2:66">
      <c r="B41" s="175" t="s">
        <v>747</v>
      </c>
      <c r="C41" s="282" t="s">
        <v>812</v>
      </c>
      <c r="D41" s="262" t="s">
        <v>792</v>
      </c>
      <c r="E41" s="175" t="s">
        <v>811</v>
      </c>
      <c r="F41" s="175"/>
      <c r="G41" s="175" t="s">
        <v>751</v>
      </c>
      <c r="H41" s="175">
        <f t="shared" si="77"/>
        <v>0</v>
      </c>
      <c r="I41" s="175" t="s">
        <v>752</v>
      </c>
      <c r="J41" s="175" t="e">
        <f t="shared" si="78"/>
        <v>#DIV/0!</v>
      </c>
      <c r="K41" s="175" t="s">
        <v>753</v>
      </c>
      <c r="L41" s="175" t="e">
        <f t="shared" si="79"/>
        <v>#DIV/0!</v>
      </c>
      <c r="M41" s="175" t="s">
        <v>754</v>
      </c>
      <c r="N41" s="175">
        <f t="shared" si="80"/>
        <v>0</v>
      </c>
      <c r="O41" s="175"/>
      <c r="P41" s="289"/>
      <c r="Q41" s="289"/>
      <c r="R41" s="289"/>
      <c r="S41" s="289"/>
      <c r="T41" s="289"/>
      <c r="U41" s="289"/>
      <c r="V41" s="289"/>
      <c r="W41" s="289"/>
      <c r="X41" s="289"/>
      <c r="Y41" s="289"/>
      <c r="Z41" s="289"/>
      <c r="AA41" s="289"/>
      <c r="AB41" s="175">
        <f t="shared" si="81"/>
        <v>0</v>
      </c>
      <c r="AC41" s="175">
        <f t="shared" si="82"/>
        <v>0</v>
      </c>
      <c r="AD41" s="175">
        <f>SUMIFS('1-2 人员岗位信息'!F:F,'1-2 人员岗位信息'!$C:$C,"劳务派遣",'1-2 人员岗位信息'!$B:$B,$D41)</f>
        <v>0</v>
      </c>
      <c r="AE41" s="297"/>
      <c r="AF41" s="175">
        <f t="shared" si="83"/>
        <v>0</v>
      </c>
      <c r="AG41" s="175">
        <f>SUMIFS('1-2 人员岗位信息'!G:G,'1-2 人员岗位信息'!$C:$C,"劳务派遣",'1-2 人员岗位信息'!$B:$B,$D41)</f>
        <v>0</v>
      </c>
      <c r="AH41" s="297"/>
      <c r="AI41" s="175">
        <f t="shared" si="84"/>
        <v>0</v>
      </c>
      <c r="AJ41" s="175">
        <f>SUMIFS('1-2 人员岗位信息'!H:H,'1-2 人员岗位信息'!$C:$C,"劳务派遣",'1-2 人员岗位信息'!$B:$B,$D41)</f>
        <v>0</v>
      </c>
      <c r="AK41" s="297"/>
      <c r="AL41" s="175">
        <f t="shared" si="85"/>
        <v>0</v>
      </c>
      <c r="AM41" s="175">
        <f>SUMIFS('1-2 人员岗位信息'!I:I,'1-2 人员岗位信息'!$C:$C,"劳务派遣",'1-2 人员岗位信息'!$B:$B,$D41)</f>
        <v>0</v>
      </c>
      <c r="AN41" s="297"/>
      <c r="AO41" s="175">
        <f t="shared" si="86"/>
        <v>0</v>
      </c>
      <c r="AP41" s="175">
        <f>SUMIFS('1-2 人员岗位信息'!J:J,'1-2 人员岗位信息'!$C:$C,"劳务派遣",'1-2 人员岗位信息'!$B:$B,$D41)</f>
        <v>0</v>
      </c>
      <c r="AQ41" s="297"/>
      <c r="AR41" s="175">
        <f t="shared" si="87"/>
        <v>0</v>
      </c>
      <c r="AS41" s="175">
        <f>SUMIFS('1-2 人员岗位信息'!K:K,'1-2 人员岗位信息'!$C:$C,"劳务派遣",'1-2 人员岗位信息'!$B:$B,$D41)</f>
        <v>0</v>
      </c>
      <c r="AT41" s="297"/>
      <c r="AU41" s="175">
        <f t="shared" si="88"/>
        <v>0</v>
      </c>
      <c r="AV41" s="175">
        <f>SUMIFS('1-2 人员岗位信息'!L:L,'1-2 人员岗位信息'!$C:$C,"劳务派遣",'1-2 人员岗位信息'!$B:$B,$D41)</f>
        <v>0</v>
      </c>
      <c r="AW41" s="297"/>
      <c r="AX41" s="175">
        <f t="shared" si="89"/>
        <v>0</v>
      </c>
      <c r="AY41" s="175">
        <f>SUMIFS('1-2 人员岗位信息'!M:M,'1-2 人员岗位信息'!$C:$C,"劳务派遣",'1-2 人员岗位信息'!$B:$B,$D41)</f>
        <v>0</v>
      </c>
      <c r="AZ41" s="297"/>
      <c r="BA41" s="175">
        <f t="shared" si="90"/>
        <v>0</v>
      </c>
      <c r="BB41" s="175">
        <f>SUMIFS('1-2 人员岗位信息'!N:N,'1-2 人员岗位信息'!$C:$C,"劳务派遣",'1-2 人员岗位信息'!$B:$B,$D41)</f>
        <v>0</v>
      </c>
      <c r="BC41" s="297"/>
      <c r="BD41" s="175">
        <f t="shared" si="91"/>
        <v>0</v>
      </c>
      <c r="BE41" s="175">
        <f>SUMIFS('1-2 人员岗位信息'!O:O,'1-2 人员岗位信息'!$C:$C,"劳务派遣",'1-2 人员岗位信息'!$B:$B,$D41)</f>
        <v>0</v>
      </c>
      <c r="BF41" s="297"/>
      <c r="BG41" s="175">
        <f t="shared" si="92"/>
        <v>0</v>
      </c>
      <c r="BH41" s="175">
        <f>SUMIFS('1-2 人员岗位信息'!P:P,'1-2 人员岗位信息'!$C:$C,"劳务派遣",'1-2 人员岗位信息'!$B:$B,$D41)</f>
        <v>0</v>
      </c>
      <c r="BI41" s="297"/>
      <c r="BJ41" s="175">
        <f t="shared" si="93"/>
        <v>0</v>
      </c>
      <c r="BK41" s="175">
        <f>SUMIFS('1-2 人员岗位信息'!Q:Q,'1-2 人员岗位信息'!$C:$C,"劳务派遣",'1-2 人员岗位信息'!$B:$B,$D41)</f>
        <v>0</v>
      </c>
      <c r="BL41" s="306"/>
      <c r="BM41" s="310"/>
      <c r="BN41" s="314"/>
    </row>
    <row r="42" s="262" customFormat="1" ht="33.95" hidden="1" customHeight="1" outlineLevel="5" spans="2:66">
      <c r="B42" s="175" t="s">
        <v>747</v>
      </c>
      <c r="C42" s="282" t="s">
        <v>813</v>
      </c>
      <c r="D42" s="262" t="s">
        <v>794</v>
      </c>
      <c r="E42" s="175" t="s">
        <v>795</v>
      </c>
      <c r="F42" s="175"/>
      <c r="G42" s="175" t="s">
        <v>751</v>
      </c>
      <c r="H42" s="175">
        <f t="shared" si="77"/>
        <v>0</v>
      </c>
      <c r="I42" s="175" t="s">
        <v>752</v>
      </c>
      <c r="J42" s="175" t="e">
        <f t="shared" si="78"/>
        <v>#DIV/0!</v>
      </c>
      <c r="K42" s="175" t="s">
        <v>753</v>
      </c>
      <c r="L42" s="175" t="e">
        <f t="shared" si="79"/>
        <v>#DIV/0!</v>
      </c>
      <c r="M42" s="175" t="s">
        <v>754</v>
      </c>
      <c r="N42" s="175">
        <f t="shared" si="80"/>
        <v>0</v>
      </c>
      <c r="O42" s="175"/>
      <c r="P42" s="289"/>
      <c r="Q42" s="289"/>
      <c r="R42" s="289"/>
      <c r="S42" s="289"/>
      <c r="T42" s="289"/>
      <c r="U42" s="289"/>
      <c r="V42" s="289"/>
      <c r="W42" s="289"/>
      <c r="X42" s="289"/>
      <c r="Y42" s="289"/>
      <c r="Z42" s="289"/>
      <c r="AA42" s="289"/>
      <c r="AB42" s="175">
        <f t="shared" si="81"/>
        <v>0</v>
      </c>
      <c r="AC42" s="175">
        <f t="shared" si="82"/>
        <v>0</v>
      </c>
      <c r="AD42" s="175">
        <f>SUMIFS('1-2 人员岗位信息'!F:F,'1-2 人员岗位信息'!$C:$C,"劳务派遣",'1-2 人员岗位信息'!$B:$B,$D42)</f>
        <v>0</v>
      </c>
      <c r="AE42" s="297"/>
      <c r="AF42" s="175">
        <f t="shared" si="83"/>
        <v>0</v>
      </c>
      <c r="AG42" s="175">
        <f>SUMIFS('1-2 人员岗位信息'!G:G,'1-2 人员岗位信息'!$C:$C,"劳务派遣",'1-2 人员岗位信息'!$B:$B,$D42)</f>
        <v>0</v>
      </c>
      <c r="AH42" s="297"/>
      <c r="AI42" s="175">
        <f t="shared" si="84"/>
        <v>0</v>
      </c>
      <c r="AJ42" s="175">
        <f>SUMIFS('1-2 人员岗位信息'!H:H,'1-2 人员岗位信息'!$C:$C,"劳务派遣",'1-2 人员岗位信息'!$B:$B,$D42)</f>
        <v>0</v>
      </c>
      <c r="AK42" s="297"/>
      <c r="AL42" s="175">
        <f t="shared" si="85"/>
        <v>0</v>
      </c>
      <c r="AM42" s="175">
        <f>SUMIFS('1-2 人员岗位信息'!I:I,'1-2 人员岗位信息'!$C:$C,"劳务派遣",'1-2 人员岗位信息'!$B:$B,$D42)</f>
        <v>0</v>
      </c>
      <c r="AN42" s="297"/>
      <c r="AO42" s="175">
        <f t="shared" si="86"/>
        <v>0</v>
      </c>
      <c r="AP42" s="175">
        <f>SUMIFS('1-2 人员岗位信息'!J:J,'1-2 人员岗位信息'!$C:$C,"劳务派遣",'1-2 人员岗位信息'!$B:$B,$D42)</f>
        <v>0</v>
      </c>
      <c r="AQ42" s="297"/>
      <c r="AR42" s="175">
        <f t="shared" si="87"/>
        <v>0</v>
      </c>
      <c r="AS42" s="175">
        <f>SUMIFS('1-2 人员岗位信息'!K:K,'1-2 人员岗位信息'!$C:$C,"劳务派遣",'1-2 人员岗位信息'!$B:$B,$D42)</f>
        <v>0</v>
      </c>
      <c r="AT42" s="297"/>
      <c r="AU42" s="175">
        <f t="shared" si="88"/>
        <v>0</v>
      </c>
      <c r="AV42" s="175">
        <f>SUMIFS('1-2 人员岗位信息'!L:L,'1-2 人员岗位信息'!$C:$C,"劳务派遣",'1-2 人员岗位信息'!$B:$B,$D42)</f>
        <v>0</v>
      </c>
      <c r="AW42" s="297"/>
      <c r="AX42" s="175">
        <f t="shared" si="89"/>
        <v>0</v>
      </c>
      <c r="AY42" s="175">
        <f>SUMIFS('1-2 人员岗位信息'!M:M,'1-2 人员岗位信息'!$C:$C,"劳务派遣",'1-2 人员岗位信息'!$B:$B,$D42)</f>
        <v>0</v>
      </c>
      <c r="AZ42" s="297"/>
      <c r="BA42" s="175">
        <f t="shared" si="90"/>
        <v>0</v>
      </c>
      <c r="BB42" s="175">
        <f>SUMIFS('1-2 人员岗位信息'!N:N,'1-2 人员岗位信息'!$C:$C,"劳务派遣",'1-2 人员岗位信息'!$B:$B,$D42)</f>
        <v>0</v>
      </c>
      <c r="BC42" s="297"/>
      <c r="BD42" s="175">
        <f t="shared" si="91"/>
        <v>0</v>
      </c>
      <c r="BE42" s="175">
        <f>SUMIFS('1-2 人员岗位信息'!O:O,'1-2 人员岗位信息'!$C:$C,"劳务派遣",'1-2 人员岗位信息'!$B:$B,$D42)</f>
        <v>0</v>
      </c>
      <c r="BF42" s="297"/>
      <c r="BG42" s="175">
        <f t="shared" si="92"/>
        <v>0</v>
      </c>
      <c r="BH42" s="175">
        <f>SUMIFS('1-2 人员岗位信息'!P:P,'1-2 人员岗位信息'!$C:$C,"劳务派遣",'1-2 人员岗位信息'!$B:$B,$D42)</f>
        <v>0</v>
      </c>
      <c r="BI42" s="297"/>
      <c r="BJ42" s="175">
        <f t="shared" si="93"/>
        <v>0</v>
      </c>
      <c r="BK42" s="175">
        <f>SUMIFS('1-2 人员岗位信息'!Q:Q,'1-2 人员岗位信息'!$C:$C,"劳务派遣",'1-2 人员岗位信息'!$B:$B,$D42)</f>
        <v>0</v>
      </c>
      <c r="BL42" s="306"/>
      <c r="BM42" s="310"/>
      <c r="BN42" s="314"/>
    </row>
    <row r="43" s="262" customFormat="1" ht="33.95" hidden="1" customHeight="1" outlineLevel="5" spans="2:66">
      <c r="B43" s="175" t="s">
        <v>747</v>
      </c>
      <c r="C43" s="282" t="s">
        <v>814</v>
      </c>
      <c r="D43" s="262" t="s">
        <v>797</v>
      </c>
      <c r="E43" s="175" t="s">
        <v>798</v>
      </c>
      <c r="F43" s="175"/>
      <c r="G43" s="175" t="s">
        <v>751</v>
      </c>
      <c r="H43" s="175">
        <f t="shared" si="77"/>
        <v>0</v>
      </c>
      <c r="I43" s="175" t="s">
        <v>752</v>
      </c>
      <c r="J43" s="175" t="e">
        <f t="shared" si="78"/>
        <v>#DIV/0!</v>
      </c>
      <c r="K43" s="175" t="s">
        <v>753</v>
      </c>
      <c r="L43" s="175" t="e">
        <f t="shared" si="79"/>
        <v>#DIV/0!</v>
      </c>
      <c r="M43" s="175" t="s">
        <v>754</v>
      </c>
      <c r="N43" s="175">
        <f t="shared" si="80"/>
        <v>0</v>
      </c>
      <c r="O43" s="175"/>
      <c r="P43" s="289"/>
      <c r="Q43" s="289"/>
      <c r="R43" s="289"/>
      <c r="S43" s="289"/>
      <c r="T43" s="289"/>
      <c r="U43" s="289"/>
      <c r="V43" s="289"/>
      <c r="W43" s="289"/>
      <c r="X43" s="289"/>
      <c r="Y43" s="289"/>
      <c r="Z43" s="289"/>
      <c r="AA43" s="289"/>
      <c r="AB43" s="175">
        <f t="shared" si="81"/>
        <v>0</v>
      </c>
      <c r="AC43" s="175">
        <f t="shared" si="82"/>
        <v>0</v>
      </c>
      <c r="AD43" s="175">
        <f>SUMIFS('1-2 人员岗位信息'!F:F,'1-2 人员岗位信息'!$C:$C,"劳务派遣",'1-2 人员岗位信息'!$B:$B,$D43)</f>
        <v>0</v>
      </c>
      <c r="AE43" s="297"/>
      <c r="AF43" s="175">
        <f t="shared" si="83"/>
        <v>0</v>
      </c>
      <c r="AG43" s="175">
        <f>SUMIFS('1-2 人员岗位信息'!G:G,'1-2 人员岗位信息'!$C:$C,"劳务派遣",'1-2 人员岗位信息'!$B:$B,$D43)</f>
        <v>0</v>
      </c>
      <c r="AH43" s="297"/>
      <c r="AI43" s="175">
        <f t="shared" si="84"/>
        <v>0</v>
      </c>
      <c r="AJ43" s="175">
        <f>SUMIFS('1-2 人员岗位信息'!H:H,'1-2 人员岗位信息'!$C:$C,"劳务派遣",'1-2 人员岗位信息'!$B:$B,$D43)</f>
        <v>0</v>
      </c>
      <c r="AK43" s="297"/>
      <c r="AL43" s="175">
        <f t="shared" si="85"/>
        <v>0</v>
      </c>
      <c r="AM43" s="175">
        <f>SUMIFS('1-2 人员岗位信息'!I:I,'1-2 人员岗位信息'!$C:$C,"劳务派遣",'1-2 人员岗位信息'!$B:$B,$D43)</f>
        <v>0</v>
      </c>
      <c r="AN43" s="297"/>
      <c r="AO43" s="175">
        <f t="shared" si="86"/>
        <v>0</v>
      </c>
      <c r="AP43" s="175">
        <f>SUMIFS('1-2 人员岗位信息'!J:J,'1-2 人员岗位信息'!$C:$C,"劳务派遣",'1-2 人员岗位信息'!$B:$B,$D43)</f>
        <v>0</v>
      </c>
      <c r="AQ43" s="297"/>
      <c r="AR43" s="175">
        <f t="shared" si="87"/>
        <v>0</v>
      </c>
      <c r="AS43" s="175">
        <f>SUMIFS('1-2 人员岗位信息'!K:K,'1-2 人员岗位信息'!$C:$C,"劳务派遣",'1-2 人员岗位信息'!$B:$B,$D43)</f>
        <v>0</v>
      </c>
      <c r="AT43" s="297"/>
      <c r="AU43" s="175">
        <f t="shared" si="88"/>
        <v>0</v>
      </c>
      <c r="AV43" s="175">
        <f>SUMIFS('1-2 人员岗位信息'!L:L,'1-2 人员岗位信息'!$C:$C,"劳务派遣",'1-2 人员岗位信息'!$B:$B,$D43)</f>
        <v>0</v>
      </c>
      <c r="AW43" s="297"/>
      <c r="AX43" s="175">
        <f t="shared" si="89"/>
        <v>0</v>
      </c>
      <c r="AY43" s="175">
        <f>SUMIFS('1-2 人员岗位信息'!M:M,'1-2 人员岗位信息'!$C:$C,"劳务派遣",'1-2 人员岗位信息'!$B:$B,$D43)</f>
        <v>0</v>
      </c>
      <c r="AZ43" s="297"/>
      <c r="BA43" s="175">
        <f t="shared" si="90"/>
        <v>0</v>
      </c>
      <c r="BB43" s="175">
        <f>SUMIFS('1-2 人员岗位信息'!N:N,'1-2 人员岗位信息'!$C:$C,"劳务派遣",'1-2 人员岗位信息'!$B:$B,$D43)</f>
        <v>0</v>
      </c>
      <c r="BC43" s="297"/>
      <c r="BD43" s="175">
        <f t="shared" si="91"/>
        <v>0</v>
      </c>
      <c r="BE43" s="175">
        <f>SUMIFS('1-2 人员岗位信息'!O:O,'1-2 人员岗位信息'!$C:$C,"劳务派遣",'1-2 人员岗位信息'!$B:$B,$D43)</f>
        <v>0</v>
      </c>
      <c r="BF43" s="297"/>
      <c r="BG43" s="175">
        <f t="shared" si="92"/>
        <v>0</v>
      </c>
      <c r="BH43" s="175">
        <f>SUMIFS('1-2 人员岗位信息'!P:P,'1-2 人员岗位信息'!$C:$C,"劳务派遣",'1-2 人员岗位信息'!$B:$B,$D43)</f>
        <v>0</v>
      </c>
      <c r="BI43" s="297"/>
      <c r="BJ43" s="175">
        <f t="shared" si="93"/>
        <v>0</v>
      </c>
      <c r="BK43" s="175">
        <f>SUMIFS('1-2 人员岗位信息'!Q:Q,'1-2 人员岗位信息'!$C:$C,"劳务派遣",'1-2 人员岗位信息'!$B:$B,$D43)</f>
        <v>0</v>
      </c>
      <c r="BL43" s="306"/>
      <c r="BM43" s="310"/>
      <c r="BN43" s="314"/>
    </row>
    <row r="44" s="262" customFormat="1" ht="33.95" hidden="1" customHeight="1" outlineLevel="5" spans="2:66">
      <c r="B44" s="175" t="s">
        <v>747</v>
      </c>
      <c r="C44" s="282" t="s">
        <v>815</v>
      </c>
      <c r="D44" s="262" t="s">
        <v>800</v>
      </c>
      <c r="E44" s="175" t="s">
        <v>801</v>
      </c>
      <c r="F44" s="175"/>
      <c r="G44" s="175" t="s">
        <v>751</v>
      </c>
      <c r="H44" s="175">
        <f t="shared" si="77"/>
        <v>0</v>
      </c>
      <c r="I44" s="175" t="s">
        <v>752</v>
      </c>
      <c r="J44" s="175" t="e">
        <f t="shared" si="78"/>
        <v>#DIV/0!</v>
      </c>
      <c r="K44" s="175" t="s">
        <v>753</v>
      </c>
      <c r="L44" s="175" t="e">
        <f t="shared" si="79"/>
        <v>#DIV/0!</v>
      </c>
      <c r="M44" s="175" t="s">
        <v>754</v>
      </c>
      <c r="N44" s="175">
        <f t="shared" si="80"/>
        <v>0</v>
      </c>
      <c r="O44" s="175"/>
      <c r="P44" s="289"/>
      <c r="Q44" s="289"/>
      <c r="R44" s="289"/>
      <c r="S44" s="289"/>
      <c r="T44" s="289"/>
      <c r="U44" s="289"/>
      <c r="V44" s="289"/>
      <c r="W44" s="289"/>
      <c r="X44" s="289"/>
      <c r="Y44" s="289"/>
      <c r="Z44" s="289"/>
      <c r="AA44" s="289"/>
      <c r="AB44" s="175">
        <f t="shared" si="81"/>
        <v>0</v>
      </c>
      <c r="AC44" s="175">
        <f t="shared" si="82"/>
        <v>0</v>
      </c>
      <c r="AD44" s="175">
        <f>SUMIFS('1-2 人员岗位信息'!F:F,'1-2 人员岗位信息'!$C:$C,"劳务派遣",'1-2 人员岗位信息'!$B:$B,$D44)</f>
        <v>0</v>
      </c>
      <c r="AE44" s="297"/>
      <c r="AF44" s="175">
        <f t="shared" si="83"/>
        <v>0</v>
      </c>
      <c r="AG44" s="175">
        <f>SUMIFS('1-2 人员岗位信息'!G:G,'1-2 人员岗位信息'!$C:$C,"劳务派遣",'1-2 人员岗位信息'!$B:$B,$D44)</f>
        <v>0</v>
      </c>
      <c r="AH44" s="297"/>
      <c r="AI44" s="175">
        <f t="shared" si="84"/>
        <v>0</v>
      </c>
      <c r="AJ44" s="175">
        <f>SUMIFS('1-2 人员岗位信息'!H:H,'1-2 人员岗位信息'!$C:$C,"劳务派遣",'1-2 人员岗位信息'!$B:$B,$D44)</f>
        <v>0</v>
      </c>
      <c r="AK44" s="297"/>
      <c r="AL44" s="175">
        <f t="shared" si="85"/>
        <v>0</v>
      </c>
      <c r="AM44" s="175">
        <f>SUMIFS('1-2 人员岗位信息'!I:I,'1-2 人员岗位信息'!$C:$C,"劳务派遣",'1-2 人员岗位信息'!$B:$B,$D44)</f>
        <v>0</v>
      </c>
      <c r="AN44" s="297"/>
      <c r="AO44" s="175">
        <f t="shared" si="86"/>
        <v>0</v>
      </c>
      <c r="AP44" s="175">
        <f>SUMIFS('1-2 人员岗位信息'!J:J,'1-2 人员岗位信息'!$C:$C,"劳务派遣",'1-2 人员岗位信息'!$B:$B,$D44)</f>
        <v>0</v>
      </c>
      <c r="AQ44" s="297"/>
      <c r="AR44" s="175">
        <f t="shared" si="87"/>
        <v>0</v>
      </c>
      <c r="AS44" s="175">
        <f>SUMIFS('1-2 人员岗位信息'!K:K,'1-2 人员岗位信息'!$C:$C,"劳务派遣",'1-2 人员岗位信息'!$B:$B,$D44)</f>
        <v>0</v>
      </c>
      <c r="AT44" s="297"/>
      <c r="AU44" s="175">
        <f t="shared" si="88"/>
        <v>0</v>
      </c>
      <c r="AV44" s="175">
        <f>SUMIFS('1-2 人员岗位信息'!L:L,'1-2 人员岗位信息'!$C:$C,"劳务派遣",'1-2 人员岗位信息'!$B:$B,$D44)</f>
        <v>0</v>
      </c>
      <c r="AW44" s="297"/>
      <c r="AX44" s="175">
        <f t="shared" si="89"/>
        <v>0</v>
      </c>
      <c r="AY44" s="175">
        <f>SUMIFS('1-2 人员岗位信息'!M:M,'1-2 人员岗位信息'!$C:$C,"劳务派遣",'1-2 人员岗位信息'!$B:$B,$D44)</f>
        <v>0</v>
      </c>
      <c r="AZ44" s="297"/>
      <c r="BA44" s="175">
        <f t="shared" si="90"/>
        <v>0</v>
      </c>
      <c r="BB44" s="175">
        <f>SUMIFS('1-2 人员岗位信息'!N:N,'1-2 人员岗位信息'!$C:$C,"劳务派遣",'1-2 人员岗位信息'!$B:$B,$D44)</f>
        <v>0</v>
      </c>
      <c r="BC44" s="297"/>
      <c r="BD44" s="175">
        <f t="shared" si="91"/>
        <v>0</v>
      </c>
      <c r="BE44" s="175">
        <f>SUMIFS('1-2 人员岗位信息'!O:O,'1-2 人员岗位信息'!$C:$C,"劳务派遣",'1-2 人员岗位信息'!$B:$B,$D44)</f>
        <v>0</v>
      </c>
      <c r="BF44" s="297"/>
      <c r="BG44" s="175">
        <f t="shared" si="92"/>
        <v>0</v>
      </c>
      <c r="BH44" s="175">
        <f>SUMIFS('1-2 人员岗位信息'!P:P,'1-2 人员岗位信息'!$C:$C,"劳务派遣",'1-2 人员岗位信息'!$B:$B,$D44)</f>
        <v>0</v>
      </c>
      <c r="BI44" s="297"/>
      <c r="BJ44" s="175">
        <f t="shared" si="93"/>
        <v>0</v>
      </c>
      <c r="BK44" s="175">
        <f>SUMIFS('1-2 人员岗位信息'!Q:Q,'1-2 人员岗位信息'!$C:$C,"劳务派遣",'1-2 人员岗位信息'!$B:$B,$D44)</f>
        <v>0</v>
      </c>
      <c r="BL44" s="306"/>
      <c r="BM44" s="310"/>
      <c r="BN44" s="314"/>
    </row>
    <row r="45" s="262" customFormat="1" ht="33.95" hidden="1" customHeight="1" outlineLevel="5" spans="2:66">
      <c r="B45" s="175" t="s">
        <v>747</v>
      </c>
      <c r="C45" s="282" t="s">
        <v>816</v>
      </c>
      <c r="D45" s="262" t="s">
        <v>803</v>
      </c>
      <c r="E45" s="175" t="s">
        <v>804</v>
      </c>
      <c r="F45" s="175"/>
      <c r="G45" s="175" t="s">
        <v>751</v>
      </c>
      <c r="H45" s="175">
        <f t="shared" si="77"/>
        <v>0</v>
      </c>
      <c r="I45" s="175" t="s">
        <v>752</v>
      </c>
      <c r="J45" s="175" t="e">
        <f t="shared" si="78"/>
        <v>#DIV/0!</v>
      </c>
      <c r="K45" s="175" t="s">
        <v>753</v>
      </c>
      <c r="L45" s="175" t="e">
        <f t="shared" si="79"/>
        <v>#DIV/0!</v>
      </c>
      <c r="M45" s="175" t="s">
        <v>754</v>
      </c>
      <c r="N45" s="175">
        <f t="shared" si="80"/>
        <v>0</v>
      </c>
      <c r="O45" s="175"/>
      <c r="P45" s="289"/>
      <c r="Q45" s="289"/>
      <c r="R45" s="289"/>
      <c r="S45" s="289"/>
      <c r="T45" s="289"/>
      <c r="U45" s="289"/>
      <c r="V45" s="289"/>
      <c r="W45" s="289"/>
      <c r="X45" s="289"/>
      <c r="Y45" s="289"/>
      <c r="Z45" s="289"/>
      <c r="AA45" s="289"/>
      <c r="AB45" s="175">
        <f t="shared" si="81"/>
        <v>0</v>
      </c>
      <c r="AC45" s="175">
        <f t="shared" si="82"/>
        <v>0</v>
      </c>
      <c r="AD45" s="175">
        <f>SUMIFS('1-2 人员岗位信息'!F:F,'1-2 人员岗位信息'!$C:$C,"劳务派遣",'1-2 人员岗位信息'!$B:$B,$D45)</f>
        <v>0</v>
      </c>
      <c r="AE45" s="297"/>
      <c r="AF45" s="175">
        <f t="shared" si="83"/>
        <v>0</v>
      </c>
      <c r="AG45" s="175">
        <f>SUMIFS('1-2 人员岗位信息'!G:G,'1-2 人员岗位信息'!$C:$C,"劳务派遣",'1-2 人员岗位信息'!$B:$B,$D45)</f>
        <v>0</v>
      </c>
      <c r="AH45" s="297"/>
      <c r="AI45" s="175">
        <f t="shared" si="84"/>
        <v>0</v>
      </c>
      <c r="AJ45" s="175">
        <f>SUMIFS('1-2 人员岗位信息'!H:H,'1-2 人员岗位信息'!$C:$C,"劳务派遣",'1-2 人员岗位信息'!$B:$B,$D45)</f>
        <v>0</v>
      </c>
      <c r="AK45" s="297"/>
      <c r="AL45" s="175">
        <f t="shared" si="85"/>
        <v>0</v>
      </c>
      <c r="AM45" s="175">
        <f>SUMIFS('1-2 人员岗位信息'!I:I,'1-2 人员岗位信息'!$C:$C,"劳务派遣",'1-2 人员岗位信息'!$B:$B,$D45)</f>
        <v>0</v>
      </c>
      <c r="AN45" s="297"/>
      <c r="AO45" s="175">
        <f t="shared" si="86"/>
        <v>0</v>
      </c>
      <c r="AP45" s="175">
        <f>SUMIFS('1-2 人员岗位信息'!J:J,'1-2 人员岗位信息'!$C:$C,"劳务派遣",'1-2 人员岗位信息'!$B:$B,$D45)</f>
        <v>0</v>
      </c>
      <c r="AQ45" s="297"/>
      <c r="AR45" s="175">
        <f t="shared" si="87"/>
        <v>0</v>
      </c>
      <c r="AS45" s="175">
        <f>SUMIFS('1-2 人员岗位信息'!K:K,'1-2 人员岗位信息'!$C:$C,"劳务派遣",'1-2 人员岗位信息'!$B:$B,$D45)</f>
        <v>0</v>
      </c>
      <c r="AT45" s="297"/>
      <c r="AU45" s="175">
        <f t="shared" si="88"/>
        <v>0</v>
      </c>
      <c r="AV45" s="175">
        <f>SUMIFS('1-2 人员岗位信息'!L:L,'1-2 人员岗位信息'!$C:$C,"劳务派遣",'1-2 人员岗位信息'!$B:$B,$D45)</f>
        <v>0</v>
      </c>
      <c r="AW45" s="297"/>
      <c r="AX45" s="175">
        <f t="shared" si="89"/>
        <v>0</v>
      </c>
      <c r="AY45" s="175">
        <f>SUMIFS('1-2 人员岗位信息'!M:M,'1-2 人员岗位信息'!$C:$C,"劳务派遣",'1-2 人员岗位信息'!$B:$B,$D45)</f>
        <v>0</v>
      </c>
      <c r="AZ45" s="297"/>
      <c r="BA45" s="175">
        <f t="shared" si="90"/>
        <v>0</v>
      </c>
      <c r="BB45" s="175">
        <f>SUMIFS('1-2 人员岗位信息'!N:N,'1-2 人员岗位信息'!$C:$C,"劳务派遣",'1-2 人员岗位信息'!$B:$B,$D45)</f>
        <v>0</v>
      </c>
      <c r="BC45" s="297"/>
      <c r="BD45" s="175">
        <f t="shared" si="91"/>
        <v>0</v>
      </c>
      <c r="BE45" s="175">
        <f>SUMIFS('1-2 人员岗位信息'!O:O,'1-2 人员岗位信息'!$C:$C,"劳务派遣",'1-2 人员岗位信息'!$B:$B,$D45)</f>
        <v>0</v>
      </c>
      <c r="BF45" s="297"/>
      <c r="BG45" s="175">
        <f t="shared" si="92"/>
        <v>0</v>
      </c>
      <c r="BH45" s="175">
        <f>SUMIFS('1-2 人员岗位信息'!P:P,'1-2 人员岗位信息'!$C:$C,"劳务派遣",'1-2 人员岗位信息'!$B:$B,$D45)</f>
        <v>0</v>
      </c>
      <c r="BI45" s="297"/>
      <c r="BJ45" s="175">
        <f t="shared" si="93"/>
        <v>0</v>
      </c>
      <c r="BK45" s="175">
        <f>SUMIFS('1-2 人员岗位信息'!Q:Q,'1-2 人员岗位信息'!$C:$C,"劳务派遣",'1-2 人员岗位信息'!$B:$B,$D45)</f>
        <v>0</v>
      </c>
      <c r="BL45" s="306"/>
      <c r="BM45" s="310"/>
      <c r="BN45" s="314"/>
    </row>
    <row r="46" s="262" customFormat="1" ht="33.95" hidden="1" customHeight="1" outlineLevel="5" spans="2:66">
      <c r="B46" s="175" t="s">
        <v>747</v>
      </c>
      <c r="C46" s="282" t="s">
        <v>817</v>
      </c>
      <c r="D46" s="262" t="s">
        <v>806</v>
      </c>
      <c r="E46" s="175" t="s">
        <v>807</v>
      </c>
      <c r="F46" s="175"/>
      <c r="G46" s="175" t="s">
        <v>751</v>
      </c>
      <c r="H46" s="175">
        <f t="shared" si="77"/>
        <v>0</v>
      </c>
      <c r="I46" s="175" t="s">
        <v>752</v>
      </c>
      <c r="J46" s="175" t="e">
        <f t="shared" si="78"/>
        <v>#DIV/0!</v>
      </c>
      <c r="K46" s="175" t="s">
        <v>753</v>
      </c>
      <c r="L46" s="175" t="e">
        <f t="shared" si="79"/>
        <v>#DIV/0!</v>
      </c>
      <c r="M46" s="175" t="s">
        <v>754</v>
      </c>
      <c r="N46" s="175">
        <f t="shared" si="80"/>
        <v>0</v>
      </c>
      <c r="O46" s="175"/>
      <c r="P46" s="289"/>
      <c r="Q46" s="289"/>
      <c r="R46" s="289"/>
      <c r="S46" s="289"/>
      <c r="T46" s="289"/>
      <c r="U46" s="289"/>
      <c r="V46" s="289"/>
      <c r="W46" s="289"/>
      <c r="X46" s="289"/>
      <c r="Y46" s="289"/>
      <c r="Z46" s="289"/>
      <c r="AA46" s="289"/>
      <c r="AB46" s="175">
        <f t="shared" si="81"/>
        <v>0</v>
      </c>
      <c r="AC46" s="175">
        <f t="shared" si="82"/>
        <v>0</v>
      </c>
      <c r="AD46" s="175">
        <f>SUMIFS('1-2 人员岗位信息'!F:F,'1-2 人员岗位信息'!$C:$C,"劳务派遣",'1-2 人员岗位信息'!$B:$B,$D46)</f>
        <v>0</v>
      </c>
      <c r="AE46" s="297"/>
      <c r="AF46" s="175">
        <f t="shared" si="83"/>
        <v>0</v>
      </c>
      <c r="AG46" s="175">
        <f>SUMIFS('1-2 人员岗位信息'!G:G,'1-2 人员岗位信息'!$C:$C,"劳务派遣",'1-2 人员岗位信息'!$B:$B,$D46)</f>
        <v>0</v>
      </c>
      <c r="AH46" s="297"/>
      <c r="AI46" s="175">
        <f t="shared" si="84"/>
        <v>0</v>
      </c>
      <c r="AJ46" s="175">
        <f>SUMIFS('1-2 人员岗位信息'!H:H,'1-2 人员岗位信息'!$C:$C,"劳务派遣",'1-2 人员岗位信息'!$B:$B,$D46)</f>
        <v>0</v>
      </c>
      <c r="AK46" s="297"/>
      <c r="AL46" s="175">
        <f t="shared" si="85"/>
        <v>0</v>
      </c>
      <c r="AM46" s="175">
        <f>SUMIFS('1-2 人员岗位信息'!I:I,'1-2 人员岗位信息'!$C:$C,"劳务派遣",'1-2 人员岗位信息'!$B:$B,$D46)</f>
        <v>0</v>
      </c>
      <c r="AN46" s="297"/>
      <c r="AO46" s="175">
        <f t="shared" si="86"/>
        <v>0</v>
      </c>
      <c r="AP46" s="175">
        <f>SUMIFS('1-2 人员岗位信息'!J:J,'1-2 人员岗位信息'!$C:$C,"劳务派遣",'1-2 人员岗位信息'!$B:$B,$D46)</f>
        <v>0</v>
      </c>
      <c r="AQ46" s="297"/>
      <c r="AR46" s="175">
        <f t="shared" si="87"/>
        <v>0</v>
      </c>
      <c r="AS46" s="175">
        <f>SUMIFS('1-2 人员岗位信息'!K:K,'1-2 人员岗位信息'!$C:$C,"劳务派遣",'1-2 人员岗位信息'!$B:$B,$D46)</f>
        <v>0</v>
      </c>
      <c r="AT46" s="297"/>
      <c r="AU46" s="175">
        <f t="shared" si="88"/>
        <v>0</v>
      </c>
      <c r="AV46" s="175">
        <f>SUMIFS('1-2 人员岗位信息'!L:L,'1-2 人员岗位信息'!$C:$C,"劳务派遣",'1-2 人员岗位信息'!$B:$B,$D46)</f>
        <v>0</v>
      </c>
      <c r="AW46" s="297"/>
      <c r="AX46" s="175">
        <f t="shared" si="89"/>
        <v>0</v>
      </c>
      <c r="AY46" s="175">
        <f>SUMIFS('1-2 人员岗位信息'!M:M,'1-2 人员岗位信息'!$C:$C,"劳务派遣",'1-2 人员岗位信息'!$B:$B,$D46)</f>
        <v>0</v>
      </c>
      <c r="AZ46" s="297"/>
      <c r="BA46" s="175">
        <f t="shared" si="90"/>
        <v>0</v>
      </c>
      <c r="BB46" s="175">
        <f>SUMIFS('1-2 人员岗位信息'!N:N,'1-2 人员岗位信息'!$C:$C,"劳务派遣",'1-2 人员岗位信息'!$B:$B,$D46)</f>
        <v>0</v>
      </c>
      <c r="BC46" s="297"/>
      <c r="BD46" s="175">
        <f t="shared" si="91"/>
        <v>0</v>
      </c>
      <c r="BE46" s="175">
        <f>SUMIFS('1-2 人员岗位信息'!O:O,'1-2 人员岗位信息'!$C:$C,"劳务派遣",'1-2 人员岗位信息'!$B:$B,$D46)</f>
        <v>0</v>
      </c>
      <c r="BF46" s="297"/>
      <c r="BG46" s="175">
        <f t="shared" si="92"/>
        <v>0</v>
      </c>
      <c r="BH46" s="175">
        <f>SUMIFS('1-2 人员岗位信息'!P:P,'1-2 人员岗位信息'!$C:$C,"劳务派遣",'1-2 人员岗位信息'!$B:$B,$D46)</f>
        <v>0</v>
      </c>
      <c r="BI46" s="297"/>
      <c r="BJ46" s="175">
        <f t="shared" si="93"/>
        <v>0</v>
      </c>
      <c r="BK46" s="175">
        <f>SUMIFS('1-2 人员岗位信息'!Q:Q,'1-2 人员岗位信息'!$C:$C,"劳务派遣",'1-2 人员岗位信息'!$B:$B,$D46)</f>
        <v>0</v>
      </c>
      <c r="BL46" s="306"/>
      <c r="BM46" s="310"/>
      <c r="BN46" s="314"/>
    </row>
    <row r="47" s="262" customFormat="1" ht="33.95" hidden="1" customHeight="1" outlineLevel="5" spans="2:66">
      <c r="B47" s="175" t="s">
        <v>747</v>
      </c>
      <c r="C47" s="282" t="s">
        <v>818</v>
      </c>
      <c r="D47" s="262" t="s">
        <v>809</v>
      </c>
      <c r="E47" s="175" t="s">
        <v>769</v>
      </c>
      <c r="F47" s="175"/>
      <c r="G47" s="175" t="s">
        <v>751</v>
      </c>
      <c r="H47" s="175">
        <f t="shared" si="77"/>
        <v>0</v>
      </c>
      <c r="I47" s="175" t="s">
        <v>752</v>
      </c>
      <c r="J47" s="175" t="e">
        <f t="shared" si="78"/>
        <v>#DIV/0!</v>
      </c>
      <c r="K47" s="175" t="s">
        <v>753</v>
      </c>
      <c r="L47" s="175" t="e">
        <f t="shared" si="79"/>
        <v>#DIV/0!</v>
      </c>
      <c r="M47" s="175" t="s">
        <v>754</v>
      </c>
      <c r="N47" s="175">
        <f t="shared" si="80"/>
        <v>0</v>
      </c>
      <c r="O47" s="175"/>
      <c r="P47" s="289"/>
      <c r="Q47" s="289"/>
      <c r="R47" s="289"/>
      <c r="S47" s="289"/>
      <c r="T47" s="289"/>
      <c r="U47" s="289"/>
      <c r="V47" s="289"/>
      <c r="W47" s="289"/>
      <c r="X47" s="289"/>
      <c r="Y47" s="289"/>
      <c r="Z47" s="289"/>
      <c r="AA47" s="289"/>
      <c r="AB47" s="175">
        <f t="shared" si="81"/>
        <v>0</v>
      </c>
      <c r="AC47" s="175">
        <f t="shared" si="82"/>
        <v>0</v>
      </c>
      <c r="AD47" s="175">
        <f>SUMIFS('1-2 人员岗位信息'!F:F,'1-2 人员岗位信息'!$C:$C,"劳务派遣",'1-2 人员岗位信息'!$B:$B,$D47)</f>
        <v>0</v>
      </c>
      <c r="AE47" s="297"/>
      <c r="AF47" s="175">
        <f t="shared" si="83"/>
        <v>0</v>
      </c>
      <c r="AG47" s="175">
        <f>SUMIFS('1-2 人员岗位信息'!G:G,'1-2 人员岗位信息'!$C:$C,"劳务派遣",'1-2 人员岗位信息'!$B:$B,$D47)</f>
        <v>0</v>
      </c>
      <c r="AH47" s="297"/>
      <c r="AI47" s="175">
        <f t="shared" si="84"/>
        <v>0</v>
      </c>
      <c r="AJ47" s="175">
        <f>SUMIFS('1-2 人员岗位信息'!H:H,'1-2 人员岗位信息'!$C:$C,"劳务派遣",'1-2 人员岗位信息'!$B:$B,$D47)</f>
        <v>0</v>
      </c>
      <c r="AK47" s="297"/>
      <c r="AL47" s="175">
        <f t="shared" si="85"/>
        <v>0</v>
      </c>
      <c r="AM47" s="175">
        <f>SUMIFS('1-2 人员岗位信息'!I:I,'1-2 人员岗位信息'!$C:$C,"劳务派遣",'1-2 人员岗位信息'!$B:$B,$D47)</f>
        <v>0</v>
      </c>
      <c r="AN47" s="297"/>
      <c r="AO47" s="175">
        <f t="shared" si="86"/>
        <v>0</v>
      </c>
      <c r="AP47" s="175">
        <f>SUMIFS('1-2 人员岗位信息'!J:J,'1-2 人员岗位信息'!$C:$C,"劳务派遣",'1-2 人员岗位信息'!$B:$B,$D47)</f>
        <v>0</v>
      </c>
      <c r="AQ47" s="297"/>
      <c r="AR47" s="175">
        <f t="shared" si="87"/>
        <v>0</v>
      </c>
      <c r="AS47" s="175">
        <f>SUMIFS('1-2 人员岗位信息'!K:K,'1-2 人员岗位信息'!$C:$C,"劳务派遣",'1-2 人员岗位信息'!$B:$B,$D47)</f>
        <v>0</v>
      </c>
      <c r="AT47" s="297"/>
      <c r="AU47" s="175">
        <f t="shared" si="88"/>
        <v>0</v>
      </c>
      <c r="AV47" s="175">
        <f>SUMIFS('1-2 人员岗位信息'!L:L,'1-2 人员岗位信息'!$C:$C,"劳务派遣",'1-2 人员岗位信息'!$B:$B,$D47)</f>
        <v>0</v>
      </c>
      <c r="AW47" s="297"/>
      <c r="AX47" s="175">
        <f t="shared" si="89"/>
        <v>0</v>
      </c>
      <c r="AY47" s="175">
        <f>SUMIFS('1-2 人员岗位信息'!M:M,'1-2 人员岗位信息'!$C:$C,"劳务派遣",'1-2 人员岗位信息'!$B:$B,$D47)</f>
        <v>0</v>
      </c>
      <c r="AZ47" s="297"/>
      <c r="BA47" s="175">
        <f t="shared" si="90"/>
        <v>0</v>
      </c>
      <c r="BB47" s="175">
        <f>SUMIFS('1-2 人员岗位信息'!N:N,'1-2 人员岗位信息'!$C:$C,"劳务派遣",'1-2 人员岗位信息'!$B:$B,$D47)</f>
        <v>0</v>
      </c>
      <c r="BC47" s="297"/>
      <c r="BD47" s="175">
        <f t="shared" si="91"/>
        <v>0</v>
      </c>
      <c r="BE47" s="175">
        <f>SUMIFS('1-2 人员岗位信息'!O:O,'1-2 人员岗位信息'!$C:$C,"劳务派遣",'1-2 人员岗位信息'!$B:$B,$D47)</f>
        <v>0</v>
      </c>
      <c r="BF47" s="297"/>
      <c r="BG47" s="175">
        <f t="shared" si="92"/>
        <v>0</v>
      </c>
      <c r="BH47" s="175">
        <f>SUMIFS('1-2 人员岗位信息'!P:P,'1-2 人员岗位信息'!$C:$C,"劳务派遣",'1-2 人员岗位信息'!$B:$B,$D47)</f>
        <v>0</v>
      </c>
      <c r="BI47" s="297"/>
      <c r="BJ47" s="175">
        <f t="shared" si="93"/>
        <v>0</v>
      </c>
      <c r="BK47" s="175">
        <f>SUMIFS('1-2 人员岗位信息'!Q:Q,'1-2 人员岗位信息'!$C:$C,"劳务派遣",'1-2 人员岗位信息'!$B:$B,$D47)</f>
        <v>0</v>
      </c>
      <c r="BL47" s="306"/>
      <c r="BM47" s="310"/>
      <c r="BN47" s="314"/>
    </row>
    <row r="48" s="118" customFormat="1" ht="33.95" hidden="1" customHeight="1" outlineLevel="4" collapsed="1" spans="2:66">
      <c r="B48" s="119" t="s">
        <v>742</v>
      </c>
      <c r="C48" s="120" t="s">
        <v>819</v>
      </c>
      <c r="D48" s="118" t="s">
        <v>19</v>
      </c>
      <c r="E48" s="119"/>
      <c r="F48" s="119"/>
      <c r="G48" s="119"/>
      <c r="H48" s="119">
        <f>SUM(H49:H56)</f>
        <v>0</v>
      </c>
      <c r="I48" s="119"/>
      <c r="J48" s="119"/>
      <c r="K48" s="119"/>
      <c r="L48" s="119"/>
      <c r="M48" s="119"/>
      <c r="N48" s="119"/>
      <c r="O48" s="119"/>
      <c r="P48" s="288"/>
      <c r="Q48" s="288"/>
      <c r="R48" s="288"/>
      <c r="S48" s="288"/>
      <c r="T48" s="288"/>
      <c r="U48" s="288"/>
      <c r="V48" s="288"/>
      <c r="W48" s="288"/>
      <c r="X48" s="288"/>
      <c r="Y48" s="288"/>
      <c r="Z48" s="288"/>
      <c r="AA48" s="288"/>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5"/>
      <c r="BM48" s="310"/>
      <c r="BN48" s="313"/>
    </row>
    <row r="49" s="262" customFormat="1" ht="33.95" hidden="1" customHeight="1" outlineLevel="5" spans="2:66">
      <c r="B49" s="175" t="s">
        <v>747</v>
      </c>
      <c r="C49" s="282" t="s">
        <v>820</v>
      </c>
      <c r="D49" s="262" t="s">
        <v>789</v>
      </c>
      <c r="E49" s="175" t="s">
        <v>821</v>
      </c>
      <c r="F49" s="175"/>
      <c r="G49" s="175" t="s">
        <v>751</v>
      </c>
      <c r="H49" s="175">
        <f t="shared" ref="H49:H56" si="95">AB49</f>
        <v>0</v>
      </c>
      <c r="I49" s="175" t="s">
        <v>752</v>
      </c>
      <c r="J49" s="175" t="e">
        <f t="shared" ref="J49:J56" si="96">SUM(AD49,AG49,AJ49,AM49,AP49,AS49,AV49,AY49,BB49,BE49,BH49,BK49)/N49</f>
        <v>#DIV/0!</v>
      </c>
      <c r="K49" s="175" t="s">
        <v>753</v>
      </c>
      <c r="L49" s="175" t="e">
        <f t="shared" ref="L49:L56" si="97">H49/N49/J49</f>
        <v>#DIV/0!</v>
      </c>
      <c r="M49" s="175" t="s">
        <v>754</v>
      </c>
      <c r="N49" s="175">
        <f t="shared" ref="N49:N56" si="98">COUNTIF(AD49,"&gt;0")+COUNTIF(AG49,"&gt;0")+COUNTIF(AJ49,"&gt;0")+COUNTIF(AM49,"&gt;0")+COUNTIF(AP49,"&gt;0")+COUNTIF(AS49,"&gt;0")+COUNTIF(AV49,"&gt;0")+COUNTIF(AY49,"&gt;0")+COUNTIF(BB49,"&gt;0")+COUNTIF(BE49,"&gt;0")+COUNTIF(BH49,"&gt;0")+COUNTIF(BK49,"&gt;0")</f>
        <v>0</v>
      </c>
      <c r="O49" s="175"/>
      <c r="P49" s="289"/>
      <c r="Q49" s="289"/>
      <c r="R49" s="289"/>
      <c r="S49" s="289"/>
      <c r="T49" s="289"/>
      <c r="U49" s="289"/>
      <c r="V49" s="289"/>
      <c r="W49" s="289"/>
      <c r="X49" s="289"/>
      <c r="Y49" s="289"/>
      <c r="Z49" s="289"/>
      <c r="AA49" s="289"/>
      <c r="AB49" s="175">
        <f t="shared" ref="AB49:AB56" si="99">SUM(AC49,AF49,AI49,AL49,AO49,AR49,AU49,AX49,BA49,BD49,BG49,BJ49)</f>
        <v>0</v>
      </c>
      <c r="AC49" s="175">
        <f t="shared" ref="AC49:AC56" si="100">AD49*AE49</f>
        <v>0</v>
      </c>
      <c r="AD49" s="175">
        <f>SUMIFS('1-2 人员岗位信息'!F:F,'1-2 人员岗位信息'!$C:$C,"专业外包",'1-2 人员岗位信息'!$B:$B,$D49)</f>
        <v>0</v>
      </c>
      <c r="AE49" s="297"/>
      <c r="AF49" s="175">
        <f t="shared" ref="AF49:AF56" si="101">AG49*AH49</f>
        <v>0</v>
      </c>
      <c r="AG49" s="175">
        <f>SUMIFS('1-2 人员岗位信息'!G:G,'1-2 人员岗位信息'!$C:$C,"专业外包",'1-2 人员岗位信息'!$B:$B,$D49)</f>
        <v>0</v>
      </c>
      <c r="AH49" s="297"/>
      <c r="AI49" s="175">
        <f t="shared" ref="AI49:AI56" si="102">AJ49*AK49</f>
        <v>0</v>
      </c>
      <c r="AJ49" s="175">
        <f>SUMIFS('1-2 人员岗位信息'!H:H,'1-2 人员岗位信息'!$C:$C,"专业外包",'1-2 人员岗位信息'!$B:$B,$D49)</f>
        <v>0</v>
      </c>
      <c r="AK49" s="297"/>
      <c r="AL49" s="175">
        <f t="shared" ref="AL49:AL56" si="103">AM49*AN49</f>
        <v>0</v>
      </c>
      <c r="AM49" s="175">
        <f>SUMIFS('1-2 人员岗位信息'!I:I,'1-2 人员岗位信息'!$C:$C,"专业外包",'1-2 人员岗位信息'!$B:$B,$D49)</f>
        <v>0</v>
      </c>
      <c r="AN49" s="297"/>
      <c r="AO49" s="175">
        <f t="shared" ref="AO49:AO56" si="104">AP49*AQ49</f>
        <v>0</v>
      </c>
      <c r="AP49" s="175">
        <f>SUMIFS('1-2 人员岗位信息'!J:J,'1-2 人员岗位信息'!$C:$C,"专业外包",'1-2 人员岗位信息'!$B:$B,$D49)</f>
        <v>0</v>
      </c>
      <c r="AQ49" s="297"/>
      <c r="AR49" s="175">
        <f t="shared" ref="AR49:AR56" si="105">AS49*AT49</f>
        <v>0</v>
      </c>
      <c r="AS49" s="175">
        <f>SUMIFS('1-2 人员岗位信息'!K:K,'1-2 人员岗位信息'!$C:$C,"专业外包",'1-2 人员岗位信息'!$B:$B,$D49)</f>
        <v>0</v>
      </c>
      <c r="AT49" s="297"/>
      <c r="AU49" s="175">
        <f t="shared" ref="AU49:AU56" si="106">AV49*AW49</f>
        <v>0</v>
      </c>
      <c r="AV49" s="175">
        <f>SUMIFS('1-2 人员岗位信息'!L:L,'1-2 人员岗位信息'!$C:$C,"专业外包",'1-2 人员岗位信息'!$B:$B,$D49)</f>
        <v>0</v>
      </c>
      <c r="AW49" s="297"/>
      <c r="AX49" s="175">
        <f t="shared" ref="AX49:AX56" si="107">AY49*AZ49</f>
        <v>0</v>
      </c>
      <c r="AY49" s="175">
        <f>SUMIFS('1-2 人员岗位信息'!M:M,'1-2 人员岗位信息'!$C:$C,"专业外包",'1-2 人员岗位信息'!$B:$B,$D49)</f>
        <v>0</v>
      </c>
      <c r="AZ49" s="297"/>
      <c r="BA49" s="175">
        <f t="shared" ref="BA49:BA56" si="108">BB49*BC49</f>
        <v>0</v>
      </c>
      <c r="BB49" s="175">
        <f>SUMIFS('1-2 人员岗位信息'!N:N,'1-2 人员岗位信息'!$C:$C,"专业外包",'1-2 人员岗位信息'!$B:$B,$D49)</f>
        <v>0</v>
      </c>
      <c r="BC49" s="297"/>
      <c r="BD49" s="175">
        <f t="shared" ref="BD49:BD56" si="109">BE49*BF49</f>
        <v>0</v>
      </c>
      <c r="BE49" s="175">
        <f>SUMIFS('1-2 人员岗位信息'!O:O,'1-2 人员岗位信息'!$C:$C,"专业外包",'1-2 人员岗位信息'!$B:$B,$D49)</f>
        <v>0</v>
      </c>
      <c r="BF49" s="297"/>
      <c r="BG49" s="175">
        <f t="shared" ref="BG49:BG56" si="110">BH49*BI49</f>
        <v>0</v>
      </c>
      <c r="BH49" s="175">
        <f>SUMIFS('1-2 人员岗位信息'!P:P,'1-2 人员岗位信息'!$C:$C,"专业外包",'1-2 人员岗位信息'!$B:$B,$D49)</f>
        <v>0</v>
      </c>
      <c r="BI49" s="297"/>
      <c r="BJ49" s="175">
        <f t="shared" ref="BJ49:BJ56" si="111">BK49*BL49</f>
        <v>0</v>
      </c>
      <c r="BK49" s="175">
        <f>SUMIFS('1-2 人员岗位信息'!Q:Q,'1-2 人员岗位信息'!$C:$C,"专业外包",'1-2 人员岗位信息'!$B:$B,$D49)</f>
        <v>0</v>
      </c>
      <c r="BL49" s="306"/>
      <c r="BM49" s="310"/>
      <c r="BN49" s="314"/>
    </row>
    <row r="50" s="262" customFormat="1" ht="33.95" hidden="1" customHeight="1" outlineLevel="5" spans="2:66">
      <c r="B50" s="175" t="s">
        <v>747</v>
      </c>
      <c r="C50" s="282" t="s">
        <v>822</v>
      </c>
      <c r="D50" s="262" t="s">
        <v>792</v>
      </c>
      <c r="E50" s="175" t="s">
        <v>823</v>
      </c>
      <c r="F50" s="175"/>
      <c r="G50" s="175" t="s">
        <v>751</v>
      </c>
      <c r="H50" s="175">
        <f t="shared" si="95"/>
        <v>0</v>
      </c>
      <c r="I50" s="175" t="s">
        <v>752</v>
      </c>
      <c r="J50" s="175" t="e">
        <f t="shared" si="96"/>
        <v>#DIV/0!</v>
      </c>
      <c r="K50" s="175" t="s">
        <v>753</v>
      </c>
      <c r="L50" s="175" t="e">
        <f t="shared" si="97"/>
        <v>#DIV/0!</v>
      </c>
      <c r="M50" s="175" t="s">
        <v>754</v>
      </c>
      <c r="N50" s="175">
        <f t="shared" si="98"/>
        <v>0</v>
      </c>
      <c r="O50" s="175"/>
      <c r="P50" s="289"/>
      <c r="Q50" s="289"/>
      <c r="R50" s="289"/>
      <c r="S50" s="289"/>
      <c r="T50" s="289"/>
      <c r="U50" s="289"/>
      <c r="V50" s="289"/>
      <c r="W50" s="289"/>
      <c r="X50" s="289"/>
      <c r="Y50" s="289"/>
      <c r="Z50" s="289"/>
      <c r="AA50" s="289"/>
      <c r="AB50" s="175">
        <f t="shared" si="99"/>
        <v>0</v>
      </c>
      <c r="AC50" s="175">
        <f t="shared" si="100"/>
        <v>0</v>
      </c>
      <c r="AD50" s="175">
        <f>SUMIFS('1-2 人员岗位信息'!F:F,'1-2 人员岗位信息'!$C:$C,"专业外包",'1-2 人员岗位信息'!$B:$B,$D50)</f>
        <v>0</v>
      </c>
      <c r="AE50" s="297"/>
      <c r="AF50" s="175">
        <f t="shared" si="101"/>
        <v>0</v>
      </c>
      <c r="AG50" s="175">
        <f>SUMIFS('1-2 人员岗位信息'!G:G,'1-2 人员岗位信息'!$C:$C,"专业外包",'1-2 人员岗位信息'!$B:$B,$D50)</f>
        <v>0</v>
      </c>
      <c r="AH50" s="297"/>
      <c r="AI50" s="175">
        <f t="shared" si="102"/>
        <v>0</v>
      </c>
      <c r="AJ50" s="175">
        <f>SUMIFS('1-2 人员岗位信息'!H:H,'1-2 人员岗位信息'!$C:$C,"专业外包",'1-2 人员岗位信息'!$B:$B,$D50)</f>
        <v>0</v>
      </c>
      <c r="AK50" s="297"/>
      <c r="AL50" s="175">
        <f t="shared" si="103"/>
        <v>0</v>
      </c>
      <c r="AM50" s="175">
        <f>SUMIFS('1-2 人员岗位信息'!I:I,'1-2 人员岗位信息'!$C:$C,"专业外包",'1-2 人员岗位信息'!$B:$B,$D50)</f>
        <v>0</v>
      </c>
      <c r="AN50" s="297"/>
      <c r="AO50" s="175">
        <f t="shared" si="104"/>
        <v>0</v>
      </c>
      <c r="AP50" s="175">
        <f>SUMIFS('1-2 人员岗位信息'!J:J,'1-2 人员岗位信息'!$C:$C,"专业外包",'1-2 人员岗位信息'!$B:$B,$D50)</f>
        <v>0</v>
      </c>
      <c r="AQ50" s="297"/>
      <c r="AR50" s="175">
        <f t="shared" si="105"/>
        <v>0</v>
      </c>
      <c r="AS50" s="175">
        <f>SUMIFS('1-2 人员岗位信息'!K:K,'1-2 人员岗位信息'!$C:$C,"专业外包",'1-2 人员岗位信息'!$B:$B,$D50)</f>
        <v>0</v>
      </c>
      <c r="AT50" s="297"/>
      <c r="AU50" s="175">
        <f t="shared" si="106"/>
        <v>0</v>
      </c>
      <c r="AV50" s="175">
        <f>SUMIFS('1-2 人员岗位信息'!L:L,'1-2 人员岗位信息'!$C:$C,"专业外包",'1-2 人员岗位信息'!$B:$B,$D50)</f>
        <v>0</v>
      </c>
      <c r="AW50" s="297"/>
      <c r="AX50" s="175">
        <f t="shared" si="107"/>
        <v>0</v>
      </c>
      <c r="AY50" s="175">
        <f>SUMIFS('1-2 人员岗位信息'!M:M,'1-2 人员岗位信息'!$C:$C,"专业外包",'1-2 人员岗位信息'!$B:$B,$D50)</f>
        <v>0</v>
      </c>
      <c r="AZ50" s="297"/>
      <c r="BA50" s="175">
        <f t="shared" si="108"/>
        <v>0</v>
      </c>
      <c r="BB50" s="175">
        <f>SUMIFS('1-2 人员岗位信息'!N:N,'1-2 人员岗位信息'!$C:$C,"专业外包",'1-2 人员岗位信息'!$B:$B,$D50)</f>
        <v>0</v>
      </c>
      <c r="BC50" s="297"/>
      <c r="BD50" s="175">
        <f t="shared" si="109"/>
        <v>0</v>
      </c>
      <c r="BE50" s="175">
        <f>SUMIFS('1-2 人员岗位信息'!O:O,'1-2 人员岗位信息'!$C:$C,"专业外包",'1-2 人员岗位信息'!$B:$B,$D50)</f>
        <v>0</v>
      </c>
      <c r="BF50" s="297"/>
      <c r="BG50" s="175">
        <f t="shared" si="110"/>
        <v>0</v>
      </c>
      <c r="BH50" s="175">
        <f>SUMIFS('1-2 人员岗位信息'!P:P,'1-2 人员岗位信息'!$C:$C,"专业外包",'1-2 人员岗位信息'!$B:$B,$D50)</f>
        <v>0</v>
      </c>
      <c r="BI50" s="297"/>
      <c r="BJ50" s="175">
        <f t="shared" si="111"/>
        <v>0</v>
      </c>
      <c r="BK50" s="175">
        <f>SUMIFS('1-2 人员岗位信息'!Q:Q,'1-2 人员岗位信息'!$C:$C,"专业外包",'1-2 人员岗位信息'!$B:$B,$D50)</f>
        <v>0</v>
      </c>
      <c r="BL50" s="306"/>
      <c r="BM50" s="310"/>
      <c r="BN50" s="314"/>
    </row>
    <row r="51" s="262" customFormat="1" ht="33.95" hidden="1" customHeight="1" outlineLevel="5" spans="2:66">
      <c r="B51" s="175" t="s">
        <v>747</v>
      </c>
      <c r="C51" s="282" t="s">
        <v>824</v>
      </c>
      <c r="D51" s="262" t="s">
        <v>794</v>
      </c>
      <c r="E51" s="175" t="s">
        <v>795</v>
      </c>
      <c r="F51" s="175"/>
      <c r="G51" s="175" t="s">
        <v>751</v>
      </c>
      <c r="H51" s="175">
        <f t="shared" si="95"/>
        <v>0</v>
      </c>
      <c r="I51" s="175" t="s">
        <v>752</v>
      </c>
      <c r="J51" s="175" t="e">
        <f t="shared" si="96"/>
        <v>#DIV/0!</v>
      </c>
      <c r="K51" s="175" t="s">
        <v>753</v>
      </c>
      <c r="L51" s="175" t="e">
        <f t="shared" si="97"/>
        <v>#DIV/0!</v>
      </c>
      <c r="M51" s="175" t="s">
        <v>754</v>
      </c>
      <c r="N51" s="175">
        <f t="shared" si="98"/>
        <v>0</v>
      </c>
      <c r="O51" s="175"/>
      <c r="P51" s="289"/>
      <c r="Q51" s="289"/>
      <c r="R51" s="289"/>
      <c r="S51" s="289"/>
      <c r="T51" s="289"/>
      <c r="U51" s="289"/>
      <c r="V51" s="289"/>
      <c r="W51" s="289"/>
      <c r="X51" s="289"/>
      <c r="Y51" s="289"/>
      <c r="Z51" s="289"/>
      <c r="AA51" s="289"/>
      <c r="AB51" s="175">
        <f t="shared" si="99"/>
        <v>0</v>
      </c>
      <c r="AC51" s="175">
        <f t="shared" si="100"/>
        <v>0</v>
      </c>
      <c r="AD51" s="175">
        <f>SUMIFS('1-2 人员岗位信息'!F:F,'1-2 人员岗位信息'!$C:$C,"专业外包",'1-2 人员岗位信息'!$B:$B,$D51)</f>
        <v>0</v>
      </c>
      <c r="AE51" s="297"/>
      <c r="AF51" s="175">
        <f t="shared" si="101"/>
        <v>0</v>
      </c>
      <c r="AG51" s="175">
        <f>SUMIFS('1-2 人员岗位信息'!G:G,'1-2 人员岗位信息'!$C:$C,"专业外包",'1-2 人员岗位信息'!$B:$B,$D51)</f>
        <v>0</v>
      </c>
      <c r="AH51" s="297"/>
      <c r="AI51" s="175">
        <f t="shared" si="102"/>
        <v>0</v>
      </c>
      <c r="AJ51" s="175">
        <f>SUMIFS('1-2 人员岗位信息'!H:H,'1-2 人员岗位信息'!$C:$C,"专业外包",'1-2 人员岗位信息'!$B:$B,$D51)</f>
        <v>0</v>
      </c>
      <c r="AK51" s="297"/>
      <c r="AL51" s="175">
        <f t="shared" si="103"/>
        <v>0</v>
      </c>
      <c r="AM51" s="175">
        <f>SUMIFS('1-2 人员岗位信息'!I:I,'1-2 人员岗位信息'!$C:$C,"专业外包",'1-2 人员岗位信息'!$B:$B,$D51)</f>
        <v>0</v>
      </c>
      <c r="AN51" s="297"/>
      <c r="AO51" s="175">
        <f t="shared" si="104"/>
        <v>0</v>
      </c>
      <c r="AP51" s="175">
        <f>SUMIFS('1-2 人员岗位信息'!J:J,'1-2 人员岗位信息'!$C:$C,"专业外包",'1-2 人员岗位信息'!$B:$B,$D51)</f>
        <v>0</v>
      </c>
      <c r="AQ51" s="297"/>
      <c r="AR51" s="175">
        <f t="shared" si="105"/>
        <v>0</v>
      </c>
      <c r="AS51" s="175">
        <f>SUMIFS('1-2 人员岗位信息'!K:K,'1-2 人员岗位信息'!$C:$C,"专业外包",'1-2 人员岗位信息'!$B:$B,$D51)</f>
        <v>0</v>
      </c>
      <c r="AT51" s="297"/>
      <c r="AU51" s="175">
        <f t="shared" si="106"/>
        <v>0</v>
      </c>
      <c r="AV51" s="175">
        <f>SUMIFS('1-2 人员岗位信息'!L:L,'1-2 人员岗位信息'!$C:$C,"专业外包",'1-2 人员岗位信息'!$B:$B,$D51)</f>
        <v>0</v>
      </c>
      <c r="AW51" s="297"/>
      <c r="AX51" s="175">
        <f t="shared" si="107"/>
        <v>0</v>
      </c>
      <c r="AY51" s="175">
        <f>SUMIFS('1-2 人员岗位信息'!M:M,'1-2 人员岗位信息'!$C:$C,"专业外包",'1-2 人员岗位信息'!$B:$B,$D51)</f>
        <v>0</v>
      </c>
      <c r="AZ51" s="297"/>
      <c r="BA51" s="175">
        <f t="shared" si="108"/>
        <v>0</v>
      </c>
      <c r="BB51" s="175">
        <f>SUMIFS('1-2 人员岗位信息'!N:N,'1-2 人员岗位信息'!$C:$C,"专业外包",'1-2 人员岗位信息'!$B:$B,$D51)</f>
        <v>0</v>
      </c>
      <c r="BC51" s="297"/>
      <c r="BD51" s="175">
        <f t="shared" si="109"/>
        <v>0</v>
      </c>
      <c r="BE51" s="175">
        <f>SUMIFS('1-2 人员岗位信息'!O:O,'1-2 人员岗位信息'!$C:$C,"专业外包",'1-2 人员岗位信息'!$B:$B,$D51)</f>
        <v>0</v>
      </c>
      <c r="BF51" s="297"/>
      <c r="BG51" s="175">
        <f t="shared" si="110"/>
        <v>0</v>
      </c>
      <c r="BH51" s="175">
        <f>SUMIFS('1-2 人员岗位信息'!P:P,'1-2 人员岗位信息'!$C:$C,"专业外包",'1-2 人员岗位信息'!$B:$B,$D51)</f>
        <v>0</v>
      </c>
      <c r="BI51" s="297"/>
      <c r="BJ51" s="175">
        <f t="shared" si="111"/>
        <v>0</v>
      </c>
      <c r="BK51" s="175">
        <f>SUMIFS('1-2 人员岗位信息'!Q:Q,'1-2 人员岗位信息'!$C:$C,"专业外包",'1-2 人员岗位信息'!$B:$B,$D51)</f>
        <v>0</v>
      </c>
      <c r="BL51" s="306"/>
      <c r="BM51" s="310"/>
      <c r="BN51" s="314"/>
    </row>
    <row r="52" s="262" customFormat="1" ht="33.95" hidden="1" customHeight="1" outlineLevel="5" spans="2:66">
      <c r="B52" s="175" t="s">
        <v>747</v>
      </c>
      <c r="C52" s="282" t="s">
        <v>825</v>
      </c>
      <c r="D52" s="262" t="s">
        <v>797</v>
      </c>
      <c r="E52" s="175" t="s">
        <v>798</v>
      </c>
      <c r="F52" s="175"/>
      <c r="G52" s="175" t="s">
        <v>751</v>
      </c>
      <c r="H52" s="175">
        <f t="shared" si="95"/>
        <v>0</v>
      </c>
      <c r="I52" s="175" t="s">
        <v>752</v>
      </c>
      <c r="J52" s="175" t="e">
        <f t="shared" si="96"/>
        <v>#DIV/0!</v>
      </c>
      <c r="K52" s="175" t="s">
        <v>753</v>
      </c>
      <c r="L52" s="175" t="e">
        <f t="shared" si="97"/>
        <v>#DIV/0!</v>
      </c>
      <c r="M52" s="175" t="s">
        <v>754</v>
      </c>
      <c r="N52" s="175">
        <f t="shared" si="98"/>
        <v>0</v>
      </c>
      <c r="O52" s="175"/>
      <c r="P52" s="289"/>
      <c r="Q52" s="289"/>
      <c r="R52" s="289"/>
      <c r="S52" s="289"/>
      <c r="T52" s="289"/>
      <c r="U52" s="289"/>
      <c r="V52" s="289"/>
      <c r="W52" s="289"/>
      <c r="X52" s="289"/>
      <c r="Y52" s="289"/>
      <c r="Z52" s="289"/>
      <c r="AA52" s="289"/>
      <c r="AB52" s="175">
        <f t="shared" si="99"/>
        <v>0</v>
      </c>
      <c r="AC52" s="175">
        <f t="shared" si="100"/>
        <v>0</v>
      </c>
      <c r="AD52" s="175">
        <f>SUMIFS('1-2 人员岗位信息'!F:F,'1-2 人员岗位信息'!$C:$C,"专业外包",'1-2 人员岗位信息'!$B:$B,$D52)</f>
        <v>0</v>
      </c>
      <c r="AE52" s="297"/>
      <c r="AF52" s="175">
        <f t="shared" si="101"/>
        <v>0</v>
      </c>
      <c r="AG52" s="175">
        <f>SUMIFS('1-2 人员岗位信息'!G:G,'1-2 人员岗位信息'!$C:$C,"专业外包",'1-2 人员岗位信息'!$B:$B,$D52)</f>
        <v>0</v>
      </c>
      <c r="AH52" s="297"/>
      <c r="AI52" s="175">
        <f t="shared" si="102"/>
        <v>0</v>
      </c>
      <c r="AJ52" s="175">
        <f>SUMIFS('1-2 人员岗位信息'!H:H,'1-2 人员岗位信息'!$C:$C,"专业外包",'1-2 人员岗位信息'!$B:$B,$D52)</f>
        <v>0</v>
      </c>
      <c r="AK52" s="297"/>
      <c r="AL52" s="175">
        <f t="shared" si="103"/>
        <v>0</v>
      </c>
      <c r="AM52" s="175">
        <f>SUMIFS('1-2 人员岗位信息'!I:I,'1-2 人员岗位信息'!$C:$C,"专业外包",'1-2 人员岗位信息'!$B:$B,$D52)</f>
        <v>0</v>
      </c>
      <c r="AN52" s="297"/>
      <c r="AO52" s="175">
        <f t="shared" si="104"/>
        <v>0</v>
      </c>
      <c r="AP52" s="175">
        <f>SUMIFS('1-2 人员岗位信息'!J:J,'1-2 人员岗位信息'!$C:$C,"专业外包",'1-2 人员岗位信息'!$B:$B,$D52)</f>
        <v>0</v>
      </c>
      <c r="AQ52" s="297"/>
      <c r="AR52" s="175">
        <f t="shared" si="105"/>
        <v>0</v>
      </c>
      <c r="AS52" s="175">
        <f>SUMIFS('1-2 人员岗位信息'!K:K,'1-2 人员岗位信息'!$C:$C,"专业外包",'1-2 人员岗位信息'!$B:$B,$D52)</f>
        <v>0</v>
      </c>
      <c r="AT52" s="297"/>
      <c r="AU52" s="175">
        <f t="shared" si="106"/>
        <v>0</v>
      </c>
      <c r="AV52" s="175">
        <f>SUMIFS('1-2 人员岗位信息'!L:L,'1-2 人员岗位信息'!$C:$C,"专业外包",'1-2 人员岗位信息'!$B:$B,$D52)</f>
        <v>0</v>
      </c>
      <c r="AW52" s="297"/>
      <c r="AX52" s="175">
        <f t="shared" si="107"/>
        <v>0</v>
      </c>
      <c r="AY52" s="175">
        <f>SUMIFS('1-2 人员岗位信息'!M:M,'1-2 人员岗位信息'!$C:$C,"专业外包",'1-2 人员岗位信息'!$B:$B,$D52)</f>
        <v>0</v>
      </c>
      <c r="AZ52" s="297"/>
      <c r="BA52" s="175">
        <f t="shared" si="108"/>
        <v>0</v>
      </c>
      <c r="BB52" s="175">
        <f>SUMIFS('1-2 人员岗位信息'!N:N,'1-2 人员岗位信息'!$C:$C,"专业外包",'1-2 人员岗位信息'!$B:$B,$D52)</f>
        <v>0</v>
      </c>
      <c r="BC52" s="297"/>
      <c r="BD52" s="175">
        <f t="shared" si="109"/>
        <v>0</v>
      </c>
      <c r="BE52" s="175">
        <f>SUMIFS('1-2 人员岗位信息'!O:O,'1-2 人员岗位信息'!$C:$C,"专业外包",'1-2 人员岗位信息'!$B:$B,$D52)</f>
        <v>0</v>
      </c>
      <c r="BF52" s="297"/>
      <c r="BG52" s="175">
        <f t="shared" si="110"/>
        <v>0</v>
      </c>
      <c r="BH52" s="175">
        <f>SUMIFS('1-2 人员岗位信息'!P:P,'1-2 人员岗位信息'!$C:$C,"专业外包",'1-2 人员岗位信息'!$B:$B,$D52)</f>
        <v>0</v>
      </c>
      <c r="BI52" s="297"/>
      <c r="BJ52" s="175">
        <f t="shared" si="111"/>
        <v>0</v>
      </c>
      <c r="BK52" s="175">
        <f>SUMIFS('1-2 人员岗位信息'!Q:Q,'1-2 人员岗位信息'!$C:$C,"专业外包",'1-2 人员岗位信息'!$B:$B,$D52)</f>
        <v>0</v>
      </c>
      <c r="BL52" s="306"/>
      <c r="BM52" s="310"/>
      <c r="BN52" s="314"/>
    </row>
    <row r="53" s="262" customFormat="1" ht="33.95" hidden="1" customHeight="1" outlineLevel="5" spans="2:66">
      <c r="B53" s="175" t="s">
        <v>747</v>
      </c>
      <c r="C53" s="282" t="s">
        <v>826</v>
      </c>
      <c r="D53" s="262" t="s">
        <v>800</v>
      </c>
      <c r="E53" s="175" t="s">
        <v>801</v>
      </c>
      <c r="F53" s="175"/>
      <c r="G53" s="175" t="s">
        <v>751</v>
      </c>
      <c r="H53" s="175">
        <f t="shared" si="95"/>
        <v>0</v>
      </c>
      <c r="I53" s="175" t="s">
        <v>752</v>
      </c>
      <c r="J53" s="175" t="e">
        <f t="shared" si="96"/>
        <v>#DIV/0!</v>
      </c>
      <c r="K53" s="175" t="s">
        <v>753</v>
      </c>
      <c r="L53" s="175" t="e">
        <f t="shared" si="97"/>
        <v>#DIV/0!</v>
      </c>
      <c r="M53" s="175" t="s">
        <v>754</v>
      </c>
      <c r="N53" s="175">
        <f t="shared" si="98"/>
        <v>0</v>
      </c>
      <c r="O53" s="175"/>
      <c r="P53" s="289"/>
      <c r="Q53" s="289"/>
      <c r="R53" s="289"/>
      <c r="S53" s="289"/>
      <c r="T53" s="289"/>
      <c r="U53" s="289"/>
      <c r="V53" s="289"/>
      <c r="W53" s="289"/>
      <c r="X53" s="289"/>
      <c r="Y53" s="289"/>
      <c r="Z53" s="289"/>
      <c r="AA53" s="289"/>
      <c r="AB53" s="175">
        <f t="shared" si="99"/>
        <v>0</v>
      </c>
      <c r="AC53" s="175">
        <f t="shared" si="100"/>
        <v>0</v>
      </c>
      <c r="AD53" s="175">
        <f>SUMIFS('1-2 人员岗位信息'!F:F,'1-2 人员岗位信息'!$C:$C,"专业外包",'1-2 人员岗位信息'!$B:$B,$D53)</f>
        <v>0</v>
      </c>
      <c r="AE53" s="297"/>
      <c r="AF53" s="175">
        <f t="shared" si="101"/>
        <v>0</v>
      </c>
      <c r="AG53" s="175">
        <f>SUMIFS('1-2 人员岗位信息'!G:G,'1-2 人员岗位信息'!$C:$C,"专业外包",'1-2 人员岗位信息'!$B:$B,$D53)</f>
        <v>0</v>
      </c>
      <c r="AH53" s="297"/>
      <c r="AI53" s="175">
        <f t="shared" si="102"/>
        <v>0</v>
      </c>
      <c r="AJ53" s="175">
        <f>SUMIFS('1-2 人员岗位信息'!H:H,'1-2 人员岗位信息'!$C:$C,"专业外包",'1-2 人员岗位信息'!$B:$B,$D53)</f>
        <v>0</v>
      </c>
      <c r="AK53" s="297"/>
      <c r="AL53" s="175">
        <f t="shared" si="103"/>
        <v>0</v>
      </c>
      <c r="AM53" s="175">
        <f>SUMIFS('1-2 人员岗位信息'!I:I,'1-2 人员岗位信息'!$C:$C,"专业外包",'1-2 人员岗位信息'!$B:$B,$D53)</f>
        <v>0</v>
      </c>
      <c r="AN53" s="297"/>
      <c r="AO53" s="175">
        <f t="shared" si="104"/>
        <v>0</v>
      </c>
      <c r="AP53" s="175">
        <f>SUMIFS('1-2 人员岗位信息'!J:J,'1-2 人员岗位信息'!$C:$C,"专业外包",'1-2 人员岗位信息'!$B:$B,$D53)</f>
        <v>0</v>
      </c>
      <c r="AQ53" s="297"/>
      <c r="AR53" s="175">
        <f t="shared" si="105"/>
        <v>0</v>
      </c>
      <c r="AS53" s="175">
        <f>SUMIFS('1-2 人员岗位信息'!K:K,'1-2 人员岗位信息'!$C:$C,"专业外包",'1-2 人员岗位信息'!$B:$B,$D53)</f>
        <v>0</v>
      </c>
      <c r="AT53" s="297"/>
      <c r="AU53" s="175">
        <f t="shared" si="106"/>
        <v>0</v>
      </c>
      <c r="AV53" s="175">
        <f>SUMIFS('1-2 人员岗位信息'!L:L,'1-2 人员岗位信息'!$C:$C,"专业外包",'1-2 人员岗位信息'!$B:$B,$D53)</f>
        <v>0</v>
      </c>
      <c r="AW53" s="297"/>
      <c r="AX53" s="175">
        <f t="shared" si="107"/>
        <v>0</v>
      </c>
      <c r="AY53" s="175">
        <f>SUMIFS('1-2 人员岗位信息'!M:M,'1-2 人员岗位信息'!$C:$C,"专业外包",'1-2 人员岗位信息'!$B:$B,$D53)</f>
        <v>0</v>
      </c>
      <c r="AZ53" s="297"/>
      <c r="BA53" s="175">
        <f t="shared" si="108"/>
        <v>0</v>
      </c>
      <c r="BB53" s="175">
        <f>SUMIFS('1-2 人员岗位信息'!N:N,'1-2 人员岗位信息'!$C:$C,"专业外包",'1-2 人员岗位信息'!$B:$B,$D53)</f>
        <v>0</v>
      </c>
      <c r="BC53" s="297"/>
      <c r="BD53" s="175">
        <f t="shared" si="109"/>
        <v>0</v>
      </c>
      <c r="BE53" s="175">
        <f>SUMIFS('1-2 人员岗位信息'!O:O,'1-2 人员岗位信息'!$C:$C,"专业外包",'1-2 人员岗位信息'!$B:$B,$D53)</f>
        <v>0</v>
      </c>
      <c r="BF53" s="297"/>
      <c r="BG53" s="175">
        <f t="shared" si="110"/>
        <v>0</v>
      </c>
      <c r="BH53" s="175">
        <f>SUMIFS('1-2 人员岗位信息'!P:P,'1-2 人员岗位信息'!$C:$C,"专业外包",'1-2 人员岗位信息'!$B:$B,$D53)</f>
        <v>0</v>
      </c>
      <c r="BI53" s="297"/>
      <c r="BJ53" s="175">
        <f t="shared" si="111"/>
        <v>0</v>
      </c>
      <c r="BK53" s="175">
        <f>SUMIFS('1-2 人员岗位信息'!Q:Q,'1-2 人员岗位信息'!$C:$C,"专业外包",'1-2 人员岗位信息'!$B:$B,$D53)</f>
        <v>0</v>
      </c>
      <c r="BL53" s="306"/>
      <c r="BM53" s="310"/>
      <c r="BN53" s="314"/>
    </row>
    <row r="54" s="262" customFormat="1" ht="33.95" hidden="1" customHeight="1" outlineLevel="5" spans="2:66">
      <c r="B54" s="175" t="s">
        <v>747</v>
      </c>
      <c r="C54" s="282" t="s">
        <v>827</v>
      </c>
      <c r="D54" s="262" t="s">
        <v>803</v>
      </c>
      <c r="E54" s="175" t="s">
        <v>804</v>
      </c>
      <c r="F54" s="175"/>
      <c r="G54" s="175" t="s">
        <v>751</v>
      </c>
      <c r="H54" s="175">
        <f t="shared" si="95"/>
        <v>0</v>
      </c>
      <c r="I54" s="175" t="s">
        <v>752</v>
      </c>
      <c r="J54" s="175" t="e">
        <f t="shared" si="96"/>
        <v>#DIV/0!</v>
      </c>
      <c r="K54" s="175" t="s">
        <v>753</v>
      </c>
      <c r="L54" s="175" t="e">
        <f t="shared" si="97"/>
        <v>#DIV/0!</v>
      </c>
      <c r="M54" s="175" t="s">
        <v>754</v>
      </c>
      <c r="N54" s="175">
        <f t="shared" si="98"/>
        <v>0</v>
      </c>
      <c r="O54" s="175"/>
      <c r="P54" s="289"/>
      <c r="Q54" s="289"/>
      <c r="R54" s="289"/>
      <c r="S54" s="289"/>
      <c r="T54" s="289"/>
      <c r="U54" s="289"/>
      <c r="V54" s="289"/>
      <c r="W54" s="289"/>
      <c r="X54" s="289"/>
      <c r="Y54" s="289"/>
      <c r="Z54" s="289"/>
      <c r="AA54" s="289"/>
      <c r="AB54" s="175">
        <f t="shared" si="99"/>
        <v>0</v>
      </c>
      <c r="AC54" s="175">
        <f t="shared" si="100"/>
        <v>0</v>
      </c>
      <c r="AD54" s="175">
        <f>SUMIFS('1-2 人员岗位信息'!F:F,'1-2 人员岗位信息'!$C:$C,"专业外包",'1-2 人员岗位信息'!$B:$B,$D54)</f>
        <v>0</v>
      </c>
      <c r="AE54" s="297"/>
      <c r="AF54" s="175">
        <f t="shared" si="101"/>
        <v>0</v>
      </c>
      <c r="AG54" s="175">
        <f>SUMIFS('1-2 人员岗位信息'!G:G,'1-2 人员岗位信息'!$C:$C,"专业外包",'1-2 人员岗位信息'!$B:$B,$D54)</f>
        <v>0</v>
      </c>
      <c r="AH54" s="297"/>
      <c r="AI54" s="175">
        <f t="shared" si="102"/>
        <v>0</v>
      </c>
      <c r="AJ54" s="175">
        <f>SUMIFS('1-2 人员岗位信息'!H:H,'1-2 人员岗位信息'!$C:$C,"专业外包",'1-2 人员岗位信息'!$B:$B,$D54)</f>
        <v>0</v>
      </c>
      <c r="AK54" s="297"/>
      <c r="AL54" s="175">
        <f t="shared" si="103"/>
        <v>0</v>
      </c>
      <c r="AM54" s="175">
        <f>SUMIFS('1-2 人员岗位信息'!I:I,'1-2 人员岗位信息'!$C:$C,"专业外包",'1-2 人员岗位信息'!$B:$B,$D54)</f>
        <v>0</v>
      </c>
      <c r="AN54" s="297"/>
      <c r="AO54" s="175">
        <f t="shared" si="104"/>
        <v>0</v>
      </c>
      <c r="AP54" s="175">
        <f>SUMIFS('1-2 人员岗位信息'!J:J,'1-2 人员岗位信息'!$C:$C,"专业外包",'1-2 人员岗位信息'!$B:$B,$D54)</f>
        <v>0</v>
      </c>
      <c r="AQ54" s="297"/>
      <c r="AR54" s="175">
        <f t="shared" si="105"/>
        <v>0</v>
      </c>
      <c r="AS54" s="175">
        <f>SUMIFS('1-2 人员岗位信息'!K:K,'1-2 人员岗位信息'!$C:$C,"专业外包",'1-2 人员岗位信息'!$B:$B,$D54)</f>
        <v>0</v>
      </c>
      <c r="AT54" s="297"/>
      <c r="AU54" s="175">
        <f t="shared" si="106"/>
        <v>0</v>
      </c>
      <c r="AV54" s="175">
        <f>SUMIFS('1-2 人员岗位信息'!L:L,'1-2 人员岗位信息'!$C:$C,"专业外包",'1-2 人员岗位信息'!$B:$B,$D54)</f>
        <v>0</v>
      </c>
      <c r="AW54" s="297"/>
      <c r="AX54" s="175">
        <f t="shared" si="107"/>
        <v>0</v>
      </c>
      <c r="AY54" s="175">
        <f>SUMIFS('1-2 人员岗位信息'!M:M,'1-2 人员岗位信息'!$C:$C,"专业外包",'1-2 人员岗位信息'!$B:$B,$D54)</f>
        <v>0</v>
      </c>
      <c r="AZ54" s="297"/>
      <c r="BA54" s="175">
        <f t="shared" si="108"/>
        <v>0</v>
      </c>
      <c r="BB54" s="175">
        <f>SUMIFS('1-2 人员岗位信息'!N:N,'1-2 人员岗位信息'!$C:$C,"专业外包",'1-2 人员岗位信息'!$B:$B,$D54)</f>
        <v>0</v>
      </c>
      <c r="BC54" s="297"/>
      <c r="BD54" s="175">
        <f t="shared" si="109"/>
        <v>0</v>
      </c>
      <c r="BE54" s="175">
        <f>SUMIFS('1-2 人员岗位信息'!O:O,'1-2 人员岗位信息'!$C:$C,"专业外包",'1-2 人员岗位信息'!$B:$B,$D54)</f>
        <v>0</v>
      </c>
      <c r="BF54" s="297"/>
      <c r="BG54" s="175">
        <f t="shared" si="110"/>
        <v>0</v>
      </c>
      <c r="BH54" s="175">
        <f>SUMIFS('1-2 人员岗位信息'!P:P,'1-2 人员岗位信息'!$C:$C,"专业外包",'1-2 人员岗位信息'!$B:$B,$D54)</f>
        <v>0</v>
      </c>
      <c r="BI54" s="297"/>
      <c r="BJ54" s="175">
        <f t="shared" si="111"/>
        <v>0</v>
      </c>
      <c r="BK54" s="175">
        <f>SUMIFS('1-2 人员岗位信息'!Q:Q,'1-2 人员岗位信息'!$C:$C,"专业外包",'1-2 人员岗位信息'!$B:$B,$D54)</f>
        <v>0</v>
      </c>
      <c r="BL54" s="306"/>
      <c r="BM54" s="310"/>
      <c r="BN54" s="314"/>
    </row>
    <row r="55" s="262" customFormat="1" ht="33.95" hidden="1" customHeight="1" outlineLevel="5" spans="2:66">
      <c r="B55" s="175" t="s">
        <v>747</v>
      </c>
      <c r="C55" s="282" t="s">
        <v>828</v>
      </c>
      <c r="D55" s="262" t="s">
        <v>806</v>
      </c>
      <c r="E55" s="175" t="s">
        <v>807</v>
      </c>
      <c r="F55" s="175"/>
      <c r="G55" s="175" t="s">
        <v>751</v>
      </c>
      <c r="H55" s="175">
        <f t="shared" si="95"/>
        <v>0</v>
      </c>
      <c r="I55" s="175" t="s">
        <v>752</v>
      </c>
      <c r="J55" s="175" t="e">
        <f t="shared" si="96"/>
        <v>#DIV/0!</v>
      </c>
      <c r="K55" s="175" t="s">
        <v>753</v>
      </c>
      <c r="L55" s="175" t="e">
        <f t="shared" si="97"/>
        <v>#DIV/0!</v>
      </c>
      <c r="M55" s="175" t="s">
        <v>754</v>
      </c>
      <c r="N55" s="175">
        <f t="shared" si="98"/>
        <v>0</v>
      </c>
      <c r="O55" s="175"/>
      <c r="P55" s="289"/>
      <c r="Q55" s="289"/>
      <c r="R55" s="289"/>
      <c r="S55" s="289"/>
      <c r="T55" s="289"/>
      <c r="U55" s="289"/>
      <c r="V55" s="289"/>
      <c r="W55" s="289"/>
      <c r="X55" s="289"/>
      <c r="Y55" s="289"/>
      <c r="Z55" s="289"/>
      <c r="AA55" s="289"/>
      <c r="AB55" s="175">
        <f t="shared" si="99"/>
        <v>0</v>
      </c>
      <c r="AC55" s="175">
        <f t="shared" si="100"/>
        <v>0</v>
      </c>
      <c r="AD55" s="175">
        <f>SUMIFS('1-2 人员岗位信息'!F:F,'1-2 人员岗位信息'!$C:$C,"专业外包",'1-2 人员岗位信息'!$B:$B,$D55)</f>
        <v>0</v>
      </c>
      <c r="AE55" s="297"/>
      <c r="AF55" s="175">
        <f t="shared" si="101"/>
        <v>0</v>
      </c>
      <c r="AG55" s="175">
        <f>SUMIFS('1-2 人员岗位信息'!G:G,'1-2 人员岗位信息'!$C:$C,"专业外包",'1-2 人员岗位信息'!$B:$B,$D55)</f>
        <v>0</v>
      </c>
      <c r="AH55" s="297"/>
      <c r="AI55" s="175">
        <f t="shared" si="102"/>
        <v>0</v>
      </c>
      <c r="AJ55" s="175">
        <f>SUMIFS('1-2 人员岗位信息'!H:H,'1-2 人员岗位信息'!$C:$C,"专业外包",'1-2 人员岗位信息'!$B:$B,$D55)</f>
        <v>0</v>
      </c>
      <c r="AK55" s="297"/>
      <c r="AL55" s="175">
        <f t="shared" si="103"/>
        <v>0</v>
      </c>
      <c r="AM55" s="175">
        <f>SUMIFS('1-2 人员岗位信息'!I:I,'1-2 人员岗位信息'!$C:$C,"专业外包",'1-2 人员岗位信息'!$B:$B,$D55)</f>
        <v>0</v>
      </c>
      <c r="AN55" s="297"/>
      <c r="AO55" s="175">
        <f t="shared" si="104"/>
        <v>0</v>
      </c>
      <c r="AP55" s="175">
        <f>SUMIFS('1-2 人员岗位信息'!J:J,'1-2 人员岗位信息'!$C:$C,"专业外包",'1-2 人员岗位信息'!$B:$B,$D55)</f>
        <v>0</v>
      </c>
      <c r="AQ55" s="297"/>
      <c r="AR55" s="175">
        <f t="shared" si="105"/>
        <v>0</v>
      </c>
      <c r="AS55" s="175">
        <f>SUMIFS('1-2 人员岗位信息'!K:K,'1-2 人员岗位信息'!$C:$C,"专业外包",'1-2 人员岗位信息'!$B:$B,$D55)</f>
        <v>0</v>
      </c>
      <c r="AT55" s="297"/>
      <c r="AU55" s="175">
        <f t="shared" si="106"/>
        <v>0</v>
      </c>
      <c r="AV55" s="175">
        <f>SUMIFS('1-2 人员岗位信息'!L:L,'1-2 人员岗位信息'!$C:$C,"专业外包",'1-2 人员岗位信息'!$B:$B,$D55)</f>
        <v>0</v>
      </c>
      <c r="AW55" s="297"/>
      <c r="AX55" s="175">
        <f t="shared" si="107"/>
        <v>0</v>
      </c>
      <c r="AY55" s="175">
        <f>SUMIFS('1-2 人员岗位信息'!M:M,'1-2 人员岗位信息'!$C:$C,"专业外包",'1-2 人员岗位信息'!$B:$B,$D55)</f>
        <v>0</v>
      </c>
      <c r="AZ55" s="297"/>
      <c r="BA55" s="175">
        <f t="shared" si="108"/>
        <v>0</v>
      </c>
      <c r="BB55" s="175">
        <f>SUMIFS('1-2 人员岗位信息'!N:N,'1-2 人员岗位信息'!$C:$C,"专业外包",'1-2 人员岗位信息'!$B:$B,$D55)</f>
        <v>0</v>
      </c>
      <c r="BC55" s="297"/>
      <c r="BD55" s="175">
        <f t="shared" si="109"/>
        <v>0</v>
      </c>
      <c r="BE55" s="175">
        <f>SUMIFS('1-2 人员岗位信息'!O:O,'1-2 人员岗位信息'!$C:$C,"专业外包",'1-2 人员岗位信息'!$B:$B,$D55)</f>
        <v>0</v>
      </c>
      <c r="BF55" s="297"/>
      <c r="BG55" s="175">
        <f t="shared" si="110"/>
        <v>0</v>
      </c>
      <c r="BH55" s="175">
        <f>SUMIFS('1-2 人员岗位信息'!P:P,'1-2 人员岗位信息'!$C:$C,"专业外包",'1-2 人员岗位信息'!$B:$B,$D55)</f>
        <v>0</v>
      </c>
      <c r="BI55" s="297"/>
      <c r="BJ55" s="175">
        <f t="shared" si="111"/>
        <v>0</v>
      </c>
      <c r="BK55" s="175">
        <f>SUMIFS('1-2 人员岗位信息'!Q:Q,'1-2 人员岗位信息'!$C:$C,"专业外包",'1-2 人员岗位信息'!$B:$B,$D55)</f>
        <v>0</v>
      </c>
      <c r="BL55" s="306"/>
      <c r="BM55" s="310"/>
      <c r="BN55" s="314"/>
    </row>
    <row r="56" s="262" customFormat="1" ht="33.95" hidden="1" customHeight="1" outlineLevel="5" spans="2:66">
      <c r="B56" s="175" t="s">
        <v>747</v>
      </c>
      <c r="C56" s="282" t="s">
        <v>829</v>
      </c>
      <c r="D56" s="262" t="s">
        <v>809</v>
      </c>
      <c r="E56" s="175" t="s">
        <v>769</v>
      </c>
      <c r="F56" s="175"/>
      <c r="G56" s="175" t="s">
        <v>751</v>
      </c>
      <c r="H56" s="175">
        <f t="shared" si="95"/>
        <v>0</v>
      </c>
      <c r="I56" s="175" t="s">
        <v>752</v>
      </c>
      <c r="J56" s="175" t="e">
        <f t="shared" si="96"/>
        <v>#DIV/0!</v>
      </c>
      <c r="K56" s="175" t="s">
        <v>753</v>
      </c>
      <c r="L56" s="175" t="e">
        <f t="shared" si="97"/>
        <v>#DIV/0!</v>
      </c>
      <c r="M56" s="175" t="s">
        <v>754</v>
      </c>
      <c r="N56" s="175">
        <f t="shared" si="98"/>
        <v>0</v>
      </c>
      <c r="O56" s="175"/>
      <c r="P56" s="289"/>
      <c r="Q56" s="289"/>
      <c r="R56" s="289"/>
      <c r="S56" s="289"/>
      <c r="T56" s="289"/>
      <c r="U56" s="289"/>
      <c r="V56" s="289"/>
      <c r="W56" s="289"/>
      <c r="X56" s="289"/>
      <c r="Y56" s="289"/>
      <c r="Z56" s="289"/>
      <c r="AA56" s="289"/>
      <c r="AB56" s="175">
        <f t="shared" si="99"/>
        <v>0</v>
      </c>
      <c r="AC56" s="175">
        <f t="shared" si="100"/>
        <v>0</v>
      </c>
      <c r="AD56" s="175">
        <f>SUMIFS('1-2 人员岗位信息'!F:F,'1-2 人员岗位信息'!$C:$C,"专业外包",'1-2 人员岗位信息'!$B:$B,$D56)</f>
        <v>0</v>
      </c>
      <c r="AE56" s="297"/>
      <c r="AF56" s="175">
        <f t="shared" si="101"/>
        <v>0</v>
      </c>
      <c r="AG56" s="175">
        <f>SUMIFS('1-2 人员岗位信息'!G:G,'1-2 人员岗位信息'!$C:$C,"专业外包",'1-2 人员岗位信息'!$B:$B,$D56)</f>
        <v>0</v>
      </c>
      <c r="AH56" s="297"/>
      <c r="AI56" s="175">
        <f t="shared" si="102"/>
        <v>0</v>
      </c>
      <c r="AJ56" s="175">
        <f>SUMIFS('1-2 人员岗位信息'!H:H,'1-2 人员岗位信息'!$C:$C,"专业外包",'1-2 人员岗位信息'!$B:$B,$D56)</f>
        <v>0</v>
      </c>
      <c r="AK56" s="297"/>
      <c r="AL56" s="175">
        <f t="shared" si="103"/>
        <v>0</v>
      </c>
      <c r="AM56" s="175">
        <f>SUMIFS('1-2 人员岗位信息'!I:I,'1-2 人员岗位信息'!$C:$C,"专业外包",'1-2 人员岗位信息'!$B:$B,$D56)</f>
        <v>0</v>
      </c>
      <c r="AN56" s="297"/>
      <c r="AO56" s="175">
        <f t="shared" si="104"/>
        <v>0</v>
      </c>
      <c r="AP56" s="175">
        <f>SUMIFS('1-2 人员岗位信息'!J:J,'1-2 人员岗位信息'!$C:$C,"专业外包",'1-2 人员岗位信息'!$B:$B,$D56)</f>
        <v>0</v>
      </c>
      <c r="AQ56" s="297"/>
      <c r="AR56" s="175">
        <f t="shared" si="105"/>
        <v>0</v>
      </c>
      <c r="AS56" s="175">
        <f>SUMIFS('1-2 人员岗位信息'!K:K,'1-2 人员岗位信息'!$C:$C,"专业外包",'1-2 人员岗位信息'!$B:$B,$D56)</f>
        <v>0</v>
      </c>
      <c r="AT56" s="297"/>
      <c r="AU56" s="175">
        <f t="shared" si="106"/>
        <v>0</v>
      </c>
      <c r="AV56" s="175">
        <f>SUMIFS('1-2 人员岗位信息'!L:L,'1-2 人员岗位信息'!$C:$C,"专业外包",'1-2 人员岗位信息'!$B:$B,$D56)</f>
        <v>0</v>
      </c>
      <c r="AW56" s="297"/>
      <c r="AX56" s="175">
        <f t="shared" si="107"/>
        <v>0</v>
      </c>
      <c r="AY56" s="175">
        <f>SUMIFS('1-2 人员岗位信息'!M:M,'1-2 人员岗位信息'!$C:$C,"专业外包",'1-2 人员岗位信息'!$B:$B,$D56)</f>
        <v>0</v>
      </c>
      <c r="AZ56" s="297"/>
      <c r="BA56" s="175">
        <f t="shared" si="108"/>
        <v>0</v>
      </c>
      <c r="BB56" s="175">
        <f>SUMIFS('1-2 人员岗位信息'!N:N,'1-2 人员岗位信息'!$C:$C,"专业外包",'1-2 人员岗位信息'!$B:$B,$D56)</f>
        <v>0</v>
      </c>
      <c r="BC56" s="297"/>
      <c r="BD56" s="175">
        <f t="shared" si="109"/>
        <v>0</v>
      </c>
      <c r="BE56" s="175">
        <f>SUMIFS('1-2 人员岗位信息'!O:O,'1-2 人员岗位信息'!$C:$C,"专业外包",'1-2 人员岗位信息'!$B:$B,$D56)</f>
        <v>0</v>
      </c>
      <c r="BF56" s="297"/>
      <c r="BG56" s="175">
        <f t="shared" si="110"/>
        <v>0</v>
      </c>
      <c r="BH56" s="175">
        <f>SUMIFS('1-2 人员岗位信息'!P:P,'1-2 人员岗位信息'!$C:$C,"专业外包",'1-2 人员岗位信息'!$B:$B,$D56)</f>
        <v>0</v>
      </c>
      <c r="BI56" s="297"/>
      <c r="BJ56" s="175">
        <f t="shared" si="111"/>
        <v>0</v>
      </c>
      <c r="BK56" s="175">
        <f>SUMIFS('1-2 人员岗位信息'!Q:Q,'1-2 人员岗位信息'!$C:$C,"专业外包",'1-2 人员岗位信息'!$B:$B,$D56)</f>
        <v>0</v>
      </c>
      <c r="BL56" s="306"/>
      <c r="BM56" s="310"/>
      <c r="BN56" s="314"/>
    </row>
    <row r="57" s="48" customFormat="1" ht="33.95" hidden="1" customHeight="1" outlineLevel="3" collapsed="1" spans="2:66">
      <c r="B57" s="115" t="s">
        <v>742</v>
      </c>
      <c r="C57" s="116" t="s">
        <v>830</v>
      </c>
      <c r="D57" s="48" t="s">
        <v>831</v>
      </c>
      <c r="E57" s="115"/>
      <c r="F57" s="115"/>
      <c r="G57" s="115"/>
      <c r="H57" s="115">
        <f>H58+H69+H80+H91</f>
        <v>347531.08992</v>
      </c>
      <c r="I57" s="115"/>
      <c r="J57" s="115"/>
      <c r="K57" s="115"/>
      <c r="L57" s="115"/>
      <c r="M57" s="115"/>
      <c r="N57" s="115"/>
      <c r="O57" s="115"/>
      <c r="P57" s="287"/>
      <c r="Q57" s="287"/>
      <c r="R57" s="287"/>
      <c r="S57" s="287"/>
      <c r="T57" s="287"/>
      <c r="U57" s="287"/>
      <c r="V57" s="287"/>
      <c r="W57" s="287"/>
      <c r="X57" s="287"/>
      <c r="Y57" s="287"/>
      <c r="Z57" s="287"/>
      <c r="AA57" s="287"/>
      <c r="AB57" s="115">
        <f t="shared" ref="AB57:AF57" si="112">AB58+AB69+AB80+AB91</f>
        <v>347531.08992</v>
      </c>
      <c r="AC57" s="115">
        <f t="shared" si="112"/>
        <v>37083.92416</v>
      </c>
      <c r="AD57" s="115"/>
      <c r="AE57" s="115"/>
      <c r="AF57" s="115">
        <f t="shared" si="112"/>
        <v>26867.92416</v>
      </c>
      <c r="AG57" s="115"/>
      <c r="AH57" s="115"/>
      <c r="AI57" s="115">
        <f>AI58+AI69+AI80+AI91</f>
        <v>29717.92416</v>
      </c>
      <c r="AJ57" s="115"/>
      <c r="AK57" s="115"/>
      <c r="AL57" s="115">
        <f>AL58+AL69+AL80+AL91</f>
        <v>26867.92416</v>
      </c>
      <c r="AM57" s="115"/>
      <c r="AN57" s="115"/>
      <c r="AO57" s="115">
        <f>AO58+AO69+AO80+AO91</f>
        <v>33217.92416</v>
      </c>
      <c r="AP57" s="115"/>
      <c r="AQ57" s="115"/>
      <c r="AR57" s="115">
        <f>AR58+AR69+AR80+AR91</f>
        <v>26267.92416</v>
      </c>
      <c r="AS57" s="115"/>
      <c r="AT57" s="115"/>
      <c r="AU57" s="115">
        <f>AU58+AU69+AU80+AU91</f>
        <v>25567.92416</v>
      </c>
      <c r="AV57" s="115"/>
      <c r="AW57" s="115"/>
      <c r="AX57" s="115">
        <f>AX58+AX69+AX80+AX91</f>
        <v>29717.92416</v>
      </c>
      <c r="AY57" s="115"/>
      <c r="AZ57" s="115"/>
      <c r="BA57" s="115">
        <f>BA58+BA69+BA80+BA91</f>
        <v>31367.92416</v>
      </c>
      <c r="BB57" s="115"/>
      <c r="BC57" s="115"/>
      <c r="BD57" s="115">
        <f>BD58+BD69+BD80+BD91</f>
        <v>29717.92416</v>
      </c>
      <c r="BE57" s="115"/>
      <c r="BF57" s="115"/>
      <c r="BG57" s="115">
        <f>BG58+BG69+BG80+BG91</f>
        <v>25567.92416</v>
      </c>
      <c r="BH57" s="115"/>
      <c r="BI57" s="115"/>
      <c r="BJ57" s="115">
        <f>BJ58+BJ69+BJ80+BJ91</f>
        <v>25567.92416</v>
      </c>
      <c r="BK57" s="115"/>
      <c r="BL57" s="304"/>
      <c r="BM57" s="310"/>
      <c r="BN57" s="312"/>
    </row>
    <row r="58" s="118" customFormat="1" ht="33.95" hidden="1" customHeight="1" outlineLevel="4" collapsed="1" spans="2:66">
      <c r="B58" s="119" t="s">
        <v>742</v>
      </c>
      <c r="C58" s="120" t="s">
        <v>115</v>
      </c>
      <c r="D58" s="118" t="s">
        <v>109</v>
      </c>
      <c r="E58" s="119"/>
      <c r="F58" s="119"/>
      <c r="G58" s="119"/>
      <c r="H58" s="119">
        <f>SUM(H59:H68)</f>
        <v>121116</v>
      </c>
      <c r="I58" s="119"/>
      <c r="J58" s="119"/>
      <c r="K58" s="119"/>
      <c r="L58" s="119"/>
      <c r="M58" s="119"/>
      <c r="N58" s="119"/>
      <c r="O58" s="119"/>
      <c r="P58" s="288"/>
      <c r="Q58" s="288"/>
      <c r="R58" s="288"/>
      <c r="S58" s="288"/>
      <c r="T58" s="288"/>
      <c r="U58" s="288"/>
      <c r="V58" s="288"/>
      <c r="W58" s="288"/>
      <c r="X58" s="288"/>
      <c r="Y58" s="288"/>
      <c r="Z58" s="288"/>
      <c r="AA58" s="288"/>
      <c r="AB58" s="119">
        <f t="shared" ref="AB58:AF58" si="113">SUM(AB59:AB68)</f>
        <v>121116</v>
      </c>
      <c r="AC58" s="119">
        <f t="shared" si="113"/>
        <v>18216</v>
      </c>
      <c r="AD58" s="119"/>
      <c r="AE58" s="119"/>
      <c r="AF58" s="119">
        <f t="shared" si="113"/>
        <v>8000</v>
      </c>
      <c r="AG58" s="119"/>
      <c r="AH58" s="119"/>
      <c r="AI58" s="119">
        <f>SUM(AI59:AI68)</f>
        <v>10850</v>
      </c>
      <c r="AJ58" s="119"/>
      <c r="AK58" s="119"/>
      <c r="AL58" s="119">
        <f>SUM(AL59:AL68)</f>
        <v>8000</v>
      </c>
      <c r="AM58" s="119"/>
      <c r="AN58" s="119"/>
      <c r="AO58" s="119">
        <f>SUM(AO59:AO68)</f>
        <v>14350</v>
      </c>
      <c r="AP58" s="119"/>
      <c r="AQ58" s="119"/>
      <c r="AR58" s="119">
        <f>SUM(AR59:AR68)</f>
        <v>7400</v>
      </c>
      <c r="AS58" s="119"/>
      <c r="AT58" s="119"/>
      <c r="AU58" s="119">
        <f>SUM(AU59:AU68)</f>
        <v>6700</v>
      </c>
      <c r="AV58" s="119"/>
      <c r="AW58" s="119"/>
      <c r="AX58" s="119">
        <f>SUM(AX59:AX68)</f>
        <v>10850</v>
      </c>
      <c r="AY58" s="119"/>
      <c r="AZ58" s="119"/>
      <c r="BA58" s="119">
        <f>SUM(BA59:BA68)</f>
        <v>12500</v>
      </c>
      <c r="BB58" s="119"/>
      <c r="BC58" s="119"/>
      <c r="BD58" s="119">
        <f>SUM(BD59:BD68)</f>
        <v>10850</v>
      </c>
      <c r="BE58" s="119"/>
      <c r="BF58" s="119"/>
      <c r="BG58" s="119">
        <f>SUM(BG59:BG68)</f>
        <v>6700</v>
      </c>
      <c r="BH58" s="119"/>
      <c r="BI58" s="119"/>
      <c r="BJ58" s="119">
        <f>SUM(BJ59:BJ68)</f>
        <v>6700</v>
      </c>
      <c r="BK58" s="119"/>
      <c r="BL58" s="305"/>
      <c r="BM58" s="310"/>
      <c r="BN58" s="313"/>
    </row>
    <row r="59" s="262" customFormat="1" ht="33.95" hidden="1" customHeight="1" outlineLevel="5" spans="2:66">
      <c r="B59" s="175" t="s">
        <v>747</v>
      </c>
      <c r="C59" s="282" t="s">
        <v>832</v>
      </c>
      <c r="D59" s="262" t="s">
        <v>833</v>
      </c>
      <c r="E59" s="175" t="s">
        <v>834</v>
      </c>
      <c r="F59" s="175"/>
      <c r="G59" s="175" t="s">
        <v>751</v>
      </c>
      <c r="H59" s="175">
        <f t="shared" ref="H59:H68" si="114">AB59</f>
        <v>121116</v>
      </c>
      <c r="I59" s="175" t="s">
        <v>752</v>
      </c>
      <c r="J59" s="175">
        <f t="shared" ref="J59:J68" si="115">SUM(AD59,AG59,AJ59,AM59,AP59,AS59,AV59,AY59,BB59,BE59,BH59,BK59)/N59</f>
        <v>2</v>
      </c>
      <c r="K59" s="175" t="s">
        <v>753</v>
      </c>
      <c r="L59" s="175">
        <f t="shared" ref="L59:L68" si="116">H59/N59/J59</f>
        <v>5046.5</v>
      </c>
      <c r="M59" s="175" t="s">
        <v>754</v>
      </c>
      <c r="N59" s="175">
        <f t="shared" ref="N59:N68" si="117">COUNTIF(AD59,"&gt;0")+COUNTIF(AG59,"&gt;0")+COUNTIF(AJ59,"&gt;0")+COUNTIF(AM59,"&gt;0")+COUNTIF(AP59,"&gt;0")+COUNTIF(AS59,"&gt;0")+COUNTIF(AV59,"&gt;0")+COUNTIF(AY59,"&gt;0")+COUNTIF(BB59,"&gt;0")+COUNTIF(BE59,"&gt;0")+COUNTIF(BH59,"&gt;0")+COUNTIF(BK59,"&gt;0")</f>
        <v>12</v>
      </c>
      <c r="O59" s="175"/>
      <c r="P59" s="289"/>
      <c r="Q59" s="289"/>
      <c r="R59" s="289"/>
      <c r="S59" s="289"/>
      <c r="T59" s="289"/>
      <c r="U59" s="289"/>
      <c r="V59" s="289"/>
      <c r="W59" s="289"/>
      <c r="X59" s="289"/>
      <c r="Y59" s="289"/>
      <c r="Z59" s="289"/>
      <c r="AA59" s="289"/>
      <c r="AB59" s="175">
        <f t="shared" ref="AB59:AB68" si="118">SUM(AC59,AF59,AI59,AL59,AO59,AR59,AU59,AX59,BA59,BD59,BG59,BJ59)</f>
        <v>121116</v>
      </c>
      <c r="AC59" s="175">
        <f t="shared" ref="AC59:AC68" si="119">AD59*AE59</f>
        <v>18216</v>
      </c>
      <c r="AD59" s="175">
        <f>SUMIFS('1-2 人员岗位信息'!F:F,'1-2 人员岗位信息'!$C:$C,"自有人员",'1-2 人员岗位信息'!$B:$B,$D59)</f>
        <v>2</v>
      </c>
      <c r="AE59" s="297">
        <v>9108</v>
      </c>
      <c r="AF59" s="175">
        <f t="shared" ref="AF59:AF68" si="120">AG59*AH59</f>
        <v>8000</v>
      </c>
      <c r="AG59" s="175">
        <f>SUMIFS('1-2 人员岗位信息'!G:G,'1-2 人员岗位信息'!$C:$C,"自有人员",'1-2 人员岗位信息'!$B:$B,$D59)</f>
        <v>2</v>
      </c>
      <c r="AH59" s="297">
        <v>4000</v>
      </c>
      <c r="AI59" s="175">
        <f t="shared" ref="AI59:AI68" si="121">AJ59*AK59</f>
        <v>10850</v>
      </c>
      <c r="AJ59" s="175">
        <f>SUMIFS('1-2 人员岗位信息'!H:H,'1-2 人员岗位信息'!$C:$C,"自有人员",'1-2 人员岗位信息'!$B:$B,$D59)</f>
        <v>2</v>
      </c>
      <c r="AK59" s="297">
        <v>5425</v>
      </c>
      <c r="AL59" s="175">
        <f t="shared" ref="AL59:AL68" si="122">AM59*AN59</f>
        <v>8000</v>
      </c>
      <c r="AM59" s="175">
        <f>SUMIFS('1-2 人员岗位信息'!I:I,'1-2 人员岗位信息'!$C:$C,"自有人员",'1-2 人员岗位信息'!$B:$B,$D59)</f>
        <v>2</v>
      </c>
      <c r="AN59" s="297">
        <v>4000</v>
      </c>
      <c r="AO59" s="175">
        <f t="shared" ref="AO59:AO68" si="123">AP59*AQ59</f>
        <v>14350</v>
      </c>
      <c r="AP59" s="175">
        <f>SUMIFS('1-2 人员岗位信息'!J:J,'1-2 人员岗位信息'!$C:$C,"自有人员",'1-2 人员岗位信息'!$B:$B,$D59)</f>
        <v>2</v>
      </c>
      <c r="AQ59" s="297">
        <v>7175</v>
      </c>
      <c r="AR59" s="175">
        <f t="shared" ref="AR59:AR68" si="124">AS59*AT59</f>
        <v>7400</v>
      </c>
      <c r="AS59" s="175">
        <f>SUMIFS('1-2 人员岗位信息'!K:K,'1-2 人员岗位信息'!$C:$C,"自有人员",'1-2 人员岗位信息'!$B:$B,$D59)</f>
        <v>2</v>
      </c>
      <c r="AT59" s="297">
        <v>3700</v>
      </c>
      <c r="AU59" s="175">
        <f t="shared" ref="AU59:AU68" si="125">AV59*AW59</f>
        <v>6700</v>
      </c>
      <c r="AV59" s="175">
        <f>SUMIFS('1-2 人员岗位信息'!L:L,'1-2 人员岗位信息'!$C:$C,"自有人员",'1-2 人员岗位信息'!$B:$B,$D59)</f>
        <v>2</v>
      </c>
      <c r="AW59" s="297">
        <v>3350</v>
      </c>
      <c r="AX59" s="175">
        <f t="shared" ref="AX59:AX68" si="126">AY59*AZ59</f>
        <v>10850</v>
      </c>
      <c r="AY59" s="175">
        <f>SUMIFS('1-2 人员岗位信息'!M:M,'1-2 人员岗位信息'!$C:$C,"自有人员",'1-2 人员岗位信息'!$B:$B,$D59)</f>
        <v>2</v>
      </c>
      <c r="AZ59" s="297">
        <v>5425</v>
      </c>
      <c r="BA59" s="175">
        <f t="shared" ref="BA59:BA68" si="127">BB59*BC59</f>
        <v>12500</v>
      </c>
      <c r="BB59" s="175">
        <f>SUMIFS('1-2 人员岗位信息'!N:N,'1-2 人员岗位信息'!$C:$C,"自有人员",'1-2 人员岗位信息'!$B:$B,$D59)</f>
        <v>2</v>
      </c>
      <c r="BC59" s="297">
        <v>6250</v>
      </c>
      <c r="BD59" s="175">
        <f t="shared" ref="BD59:BD68" si="128">BE59*BF59</f>
        <v>10850</v>
      </c>
      <c r="BE59" s="175">
        <f>SUMIFS('1-2 人员岗位信息'!O:O,'1-2 人员岗位信息'!$C:$C,"自有人员",'1-2 人员岗位信息'!$B:$B,$D59)</f>
        <v>2</v>
      </c>
      <c r="BF59" s="297">
        <v>5425</v>
      </c>
      <c r="BG59" s="175">
        <f t="shared" ref="BG59:BG68" si="129">BH59*BI59</f>
        <v>6700</v>
      </c>
      <c r="BH59" s="175">
        <f>SUMIFS('1-2 人员岗位信息'!P:P,'1-2 人员岗位信息'!$C:$C,"自有人员",'1-2 人员岗位信息'!$B:$B,$D59)</f>
        <v>2</v>
      </c>
      <c r="BI59" s="297">
        <v>3350</v>
      </c>
      <c r="BJ59" s="175">
        <f t="shared" ref="BJ59:BJ68" si="130">BK59*BL59</f>
        <v>6700</v>
      </c>
      <c r="BK59" s="175">
        <f>SUMIFS('1-2 人员岗位信息'!Q:Q,'1-2 人员岗位信息'!$C:$C,"自有人员",'1-2 人员岗位信息'!$B:$B,$D59)</f>
        <v>2</v>
      </c>
      <c r="BL59" s="306">
        <v>3350</v>
      </c>
      <c r="BM59" s="310"/>
      <c r="BN59" s="314"/>
    </row>
    <row r="60" s="262" customFormat="1" ht="33.95" hidden="1" customHeight="1" outlineLevel="5" spans="2:66">
      <c r="B60" s="175" t="s">
        <v>747</v>
      </c>
      <c r="C60" s="282" t="s">
        <v>835</v>
      </c>
      <c r="D60" s="262" t="s">
        <v>836</v>
      </c>
      <c r="E60" s="175" t="s">
        <v>837</v>
      </c>
      <c r="F60" s="175"/>
      <c r="G60" s="175" t="s">
        <v>751</v>
      </c>
      <c r="H60" s="175">
        <f t="shared" si="114"/>
        <v>0</v>
      </c>
      <c r="I60" s="175" t="s">
        <v>752</v>
      </c>
      <c r="J60" s="175" t="e">
        <f t="shared" si="115"/>
        <v>#DIV/0!</v>
      </c>
      <c r="K60" s="175" t="s">
        <v>753</v>
      </c>
      <c r="L60" s="175" t="e">
        <f t="shared" si="116"/>
        <v>#DIV/0!</v>
      </c>
      <c r="M60" s="175" t="s">
        <v>754</v>
      </c>
      <c r="N60" s="175">
        <f t="shared" si="117"/>
        <v>0</v>
      </c>
      <c r="O60" s="175"/>
      <c r="P60" s="289"/>
      <c r="Q60" s="289"/>
      <c r="R60" s="289"/>
      <c r="S60" s="289"/>
      <c r="T60" s="289"/>
      <c r="U60" s="289"/>
      <c r="V60" s="289"/>
      <c r="W60" s="289"/>
      <c r="X60" s="289"/>
      <c r="Y60" s="289"/>
      <c r="Z60" s="289"/>
      <c r="AA60" s="289"/>
      <c r="AB60" s="175">
        <f t="shared" si="118"/>
        <v>0</v>
      </c>
      <c r="AC60" s="175">
        <f t="shared" si="119"/>
        <v>0</v>
      </c>
      <c r="AD60" s="175">
        <f>SUMIFS('1-2 人员岗位信息'!F:F,'1-2 人员岗位信息'!$C:$C,"自有人员",'1-2 人员岗位信息'!$B:$B,$D60)</f>
        <v>0</v>
      </c>
      <c r="AE60" s="297"/>
      <c r="AF60" s="175">
        <f t="shared" si="120"/>
        <v>0</v>
      </c>
      <c r="AG60" s="175">
        <f>SUMIFS('1-2 人员岗位信息'!G:G,'1-2 人员岗位信息'!$C:$C,"自有人员",'1-2 人员岗位信息'!$B:$B,$D60)</f>
        <v>0</v>
      </c>
      <c r="AH60" s="297"/>
      <c r="AI60" s="175">
        <f t="shared" si="121"/>
        <v>0</v>
      </c>
      <c r="AJ60" s="175">
        <f>SUMIFS('1-2 人员岗位信息'!H:H,'1-2 人员岗位信息'!$C:$C,"自有人员",'1-2 人员岗位信息'!$B:$B,$D60)</f>
        <v>0</v>
      </c>
      <c r="AK60" s="297"/>
      <c r="AL60" s="175">
        <f t="shared" si="122"/>
        <v>0</v>
      </c>
      <c r="AM60" s="175">
        <f>SUMIFS('1-2 人员岗位信息'!I:I,'1-2 人员岗位信息'!$C:$C,"自有人员",'1-2 人员岗位信息'!$B:$B,$D60)</f>
        <v>0</v>
      </c>
      <c r="AN60" s="297"/>
      <c r="AO60" s="175">
        <f t="shared" si="123"/>
        <v>0</v>
      </c>
      <c r="AP60" s="175">
        <f>SUMIFS('1-2 人员岗位信息'!J:J,'1-2 人员岗位信息'!$C:$C,"自有人员",'1-2 人员岗位信息'!$B:$B,$D60)</f>
        <v>0</v>
      </c>
      <c r="AQ60" s="297"/>
      <c r="AR60" s="175">
        <f t="shared" si="124"/>
        <v>0</v>
      </c>
      <c r="AS60" s="175">
        <f>SUMIFS('1-2 人员岗位信息'!K:K,'1-2 人员岗位信息'!$C:$C,"自有人员",'1-2 人员岗位信息'!$B:$B,$D60)</f>
        <v>0</v>
      </c>
      <c r="AT60" s="297"/>
      <c r="AU60" s="175">
        <f t="shared" si="125"/>
        <v>0</v>
      </c>
      <c r="AV60" s="175">
        <f>SUMIFS('1-2 人员岗位信息'!L:L,'1-2 人员岗位信息'!$C:$C,"自有人员",'1-2 人员岗位信息'!$B:$B,$D60)</f>
        <v>0</v>
      </c>
      <c r="AW60" s="297"/>
      <c r="AX60" s="175">
        <f t="shared" si="126"/>
        <v>0</v>
      </c>
      <c r="AY60" s="175">
        <f>SUMIFS('1-2 人员岗位信息'!M:M,'1-2 人员岗位信息'!$C:$C,"自有人员",'1-2 人员岗位信息'!$B:$B,$D60)</f>
        <v>0</v>
      </c>
      <c r="AZ60" s="297"/>
      <c r="BA60" s="175">
        <f t="shared" si="127"/>
        <v>0</v>
      </c>
      <c r="BB60" s="175">
        <f>SUMIFS('1-2 人员岗位信息'!N:N,'1-2 人员岗位信息'!$C:$C,"自有人员",'1-2 人员岗位信息'!$B:$B,$D60)</f>
        <v>0</v>
      </c>
      <c r="BC60" s="297"/>
      <c r="BD60" s="175">
        <f t="shared" si="128"/>
        <v>0</v>
      </c>
      <c r="BE60" s="175">
        <f>SUMIFS('1-2 人员岗位信息'!O:O,'1-2 人员岗位信息'!$C:$C,"自有人员",'1-2 人员岗位信息'!$B:$B,$D60)</f>
        <v>0</v>
      </c>
      <c r="BF60" s="297"/>
      <c r="BG60" s="175">
        <f t="shared" si="129"/>
        <v>0</v>
      </c>
      <c r="BH60" s="175">
        <f>SUMIFS('1-2 人员岗位信息'!P:P,'1-2 人员岗位信息'!$C:$C,"自有人员",'1-2 人员岗位信息'!$B:$B,$D60)</f>
        <v>0</v>
      </c>
      <c r="BI60" s="297"/>
      <c r="BJ60" s="175">
        <f t="shared" si="130"/>
        <v>0</v>
      </c>
      <c r="BK60" s="175">
        <f>SUMIFS('1-2 人员岗位信息'!Q:Q,'1-2 人员岗位信息'!$C:$C,"自有人员",'1-2 人员岗位信息'!$B:$B,$D60)</f>
        <v>0</v>
      </c>
      <c r="BL60" s="306"/>
      <c r="BM60" s="310"/>
      <c r="BN60" s="314"/>
    </row>
    <row r="61" s="262" customFormat="1" ht="33.95" hidden="1" customHeight="1" outlineLevel="5" spans="2:66">
      <c r="B61" s="175" t="s">
        <v>747</v>
      </c>
      <c r="C61" s="282" t="s">
        <v>838</v>
      </c>
      <c r="D61" s="262" t="s">
        <v>839</v>
      </c>
      <c r="E61" s="175" t="s">
        <v>840</v>
      </c>
      <c r="F61" s="175"/>
      <c r="G61" s="175" t="s">
        <v>751</v>
      </c>
      <c r="H61" s="175">
        <f t="shared" si="114"/>
        <v>0</v>
      </c>
      <c r="I61" s="175" t="s">
        <v>752</v>
      </c>
      <c r="J61" s="175" t="e">
        <f t="shared" si="115"/>
        <v>#DIV/0!</v>
      </c>
      <c r="K61" s="175" t="s">
        <v>753</v>
      </c>
      <c r="L61" s="175" t="e">
        <f t="shared" si="116"/>
        <v>#DIV/0!</v>
      </c>
      <c r="M61" s="175" t="s">
        <v>754</v>
      </c>
      <c r="N61" s="175">
        <f t="shared" si="117"/>
        <v>0</v>
      </c>
      <c r="O61" s="175"/>
      <c r="P61" s="289"/>
      <c r="Q61" s="289"/>
      <c r="R61" s="289"/>
      <c r="S61" s="289"/>
      <c r="T61" s="289"/>
      <c r="U61" s="289"/>
      <c r="V61" s="289"/>
      <c r="W61" s="289"/>
      <c r="X61" s="289"/>
      <c r="Y61" s="289"/>
      <c r="Z61" s="289"/>
      <c r="AA61" s="289"/>
      <c r="AB61" s="175">
        <f t="shared" si="118"/>
        <v>0</v>
      </c>
      <c r="AC61" s="175">
        <f t="shared" si="119"/>
        <v>0</v>
      </c>
      <c r="AD61" s="175">
        <f>SUMIFS('1-2 人员岗位信息'!F:F,'1-2 人员岗位信息'!$C:$C,"自有人员",'1-2 人员岗位信息'!$B:$B,$D61)</f>
        <v>0</v>
      </c>
      <c r="AE61" s="297"/>
      <c r="AF61" s="175">
        <f t="shared" si="120"/>
        <v>0</v>
      </c>
      <c r="AG61" s="175">
        <f>SUMIFS('1-2 人员岗位信息'!G:G,'1-2 人员岗位信息'!$C:$C,"自有人员",'1-2 人员岗位信息'!$B:$B,$D61)</f>
        <v>0</v>
      </c>
      <c r="AH61" s="297"/>
      <c r="AI61" s="175">
        <f t="shared" si="121"/>
        <v>0</v>
      </c>
      <c r="AJ61" s="175">
        <f>SUMIFS('1-2 人员岗位信息'!H:H,'1-2 人员岗位信息'!$C:$C,"自有人员",'1-2 人员岗位信息'!$B:$B,$D61)</f>
        <v>0</v>
      </c>
      <c r="AK61" s="297"/>
      <c r="AL61" s="175">
        <f t="shared" si="122"/>
        <v>0</v>
      </c>
      <c r="AM61" s="175">
        <f>SUMIFS('1-2 人员岗位信息'!I:I,'1-2 人员岗位信息'!$C:$C,"自有人员",'1-2 人员岗位信息'!$B:$B,$D61)</f>
        <v>0</v>
      </c>
      <c r="AN61" s="297"/>
      <c r="AO61" s="175">
        <f t="shared" si="123"/>
        <v>0</v>
      </c>
      <c r="AP61" s="175">
        <f>SUMIFS('1-2 人员岗位信息'!J:J,'1-2 人员岗位信息'!$C:$C,"自有人员",'1-2 人员岗位信息'!$B:$B,$D61)</f>
        <v>0</v>
      </c>
      <c r="AQ61" s="297"/>
      <c r="AR61" s="175">
        <f t="shared" si="124"/>
        <v>0</v>
      </c>
      <c r="AS61" s="175">
        <f>SUMIFS('1-2 人员岗位信息'!K:K,'1-2 人员岗位信息'!$C:$C,"自有人员",'1-2 人员岗位信息'!$B:$B,$D61)</f>
        <v>0</v>
      </c>
      <c r="AT61" s="297"/>
      <c r="AU61" s="175">
        <f t="shared" si="125"/>
        <v>0</v>
      </c>
      <c r="AV61" s="175">
        <f>SUMIFS('1-2 人员岗位信息'!L:L,'1-2 人员岗位信息'!$C:$C,"自有人员",'1-2 人员岗位信息'!$B:$B,$D61)</f>
        <v>0</v>
      </c>
      <c r="AW61" s="297"/>
      <c r="AX61" s="175">
        <f t="shared" si="126"/>
        <v>0</v>
      </c>
      <c r="AY61" s="175">
        <f>SUMIFS('1-2 人员岗位信息'!M:M,'1-2 人员岗位信息'!$C:$C,"自有人员",'1-2 人员岗位信息'!$B:$B,$D61)</f>
        <v>0</v>
      </c>
      <c r="AZ61" s="297"/>
      <c r="BA61" s="175">
        <f t="shared" si="127"/>
        <v>0</v>
      </c>
      <c r="BB61" s="175">
        <f>SUMIFS('1-2 人员岗位信息'!N:N,'1-2 人员岗位信息'!$C:$C,"自有人员",'1-2 人员岗位信息'!$B:$B,$D61)</f>
        <v>0</v>
      </c>
      <c r="BC61" s="297"/>
      <c r="BD61" s="175">
        <f t="shared" si="128"/>
        <v>0</v>
      </c>
      <c r="BE61" s="175">
        <f>SUMIFS('1-2 人员岗位信息'!O:O,'1-2 人员岗位信息'!$C:$C,"自有人员",'1-2 人员岗位信息'!$B:$B,$D61)</f>
        <v>0</v>
      </c>
      <c r="BF61" s="297"/>
      <c r="BG61" s="175">
        <f t="shared" si="129"/>
        <v>0</v>
      </c>
      <c r="BH61" s="175">
        <f>SUMIFS('1-2 人员岗位信息'!P:P,'1-2 人员岗位信息'!$C:$C,"自有人员",'1-2 人员岗位信息'!$B:$B,$D61)</f>
        <v>0</v>
      </c>
      <c r="BI61" s="297"/>
      <c r="BJ61" s="175">
        <f t="shared" si="130"/>
        <v>0</v>
      </c>
      <c r="BK61" s="175">
        <f>SUMIFS('1-2 人员岗位信息'!Q:Q,'1-2 人员岗位信息'!$C:$C,"自有人员",'1-2 人员岗位信息'!$B:$B,$D61)</f>
        <v>0</v>
      </c>
      <c r="BL61" s="306"/>
      <c r="BM61" s="310"/>
      <c r="BN61" s="314"/>
    </row>
    <row r="62" s="262" customFormat="1" ht="33.95" hidden="1" customHeight="1" outlineLevel="5" spans="2:66">
      <c r="B62" s="175" t="s">
        <v>747</v>
      </c>
      <c r="C62" s="282" t="s">
        <v>841</v>
      </c>
      <c r="D62" s="262" t="s">
        <v>842</v>
      </c>
      <c r="E62" s="175" t="s">
        <v>843</v>
      </c>
      <c r="F62" s="175"/>
      <c r="G62" s="175" t="s">
        <v>751</v>
      </c>
      <c r="H62" s="175">
        <f t="shared" si="114"/>
        <v>0</v>
      </c>
      <c r="I62" s="175" t="s">
        <v>752</v>
      </c>
      <c r="J62" s="175" t="e">
        <f t="shared" si="115"/>
        <v>#DIV/0!</v>
      </c>
      <c r="K62" s="175" t="s">
        <v>753</v>
      </c>
      <c r="L62" s="175" t="e">
        <f t="shared" si="116"/>
        <v>#DIV/0!</v>
      </c>
      <c r="M62" s="175" t="s">
        <v>754</v>
      </c>
      <c r="N62" s="175">
        <f t="shared" si="117"/>
        <v>0</v>
      </c>
      <c r="O62" s="175"/>
      <c r="P62" s="289"/>
      <c r="Q62" s="289"/>
      <c r="R62" s="289"/>
      <c r="S62" s="289"/>
      <c r="T62" s="289"/>
      <c r="U62" s="289"/>
      <c r="V62" s="289"/>
      <c r="W62" s="289"/>
      <c r="X62" s="289"/>
      <c r="Y62" s="289"/>
      <c r="Z62" s="289"/>
      <c r="AA62" s="289"/>
      <c r="AB62" s="175">
        <f t="shared" si="118"/>
        <v>0</v>
      </c>
      <c r="AC62" s="175">
        <f t="shared" si="119"/>
        <v>0</v>
      </c>
      <c r="AD62" s="175">
        <f>SUMIFS('1-2 人员岗位信息'!F:F,'1-2 人员岗位信息'!$C:$C,"自有人员",'1-2 人员岗位信息'!$B:$B,$D62)</f>
        <v>0</v>
      </c>
      <c r="AE62" s="297"/>
      <c r="AF62" s="175">
        <f t="shared" si="120"/>
        <v>0</v>
      </c>
      <c r="AG62" s="175">
        <f>SUMIFS('1-2 人员岗位信息'!G:G,'1-2 人员岗位信息'!$C:$C,"自有人员",'1-2 人员岗位信息'!$B:$B,$D62)</f>
        <v>0</v>
      </c>
      <c r="AH62" s="297"/>
      <c r="AI62" s="175">
        <f t="shared" si="121"/>
        <v>0</v>
      </c>
      <c r="AJ62" s="175">
        <f>SUMIFS('1-2 人员岗位信息'!H:H,'1-2 人员岗位信息'!$C:$C,"自有人员",'1-2 人员岗位信息'!$B:$B,$D62)</f>
        <v>0</v>
      </c>
      <c r="AK62" s="297"/>
      <c r="AL62" s="175">
        <f t="shared" si="122"/>
        <v>0</v>
      </c>
      <c r="AM62" s="175">
        <f>SUMIFS('1-2 人员岗位信息'!I:I,'1-2 人员岗位信息'!$C:$C,"自有人员",'1-2 人员岗位信息'!$B:$B,$D62)</f>
        <v>0</v>
      </c>
      <c r="AN62" s="297"/>
      <c r="AO62" s="175">
        <f t="shared" si="123"/>
        <v>0</v>
      </c>
      <c r="AP62" s="175">
        <f>SUMIFS('1-2 人员岗位信息'!J:J,'1-2 人员岗位信息'!$C:$C,"自有人员",'1-2 人员岗位信息'!$B:$B,$D62)</f>
        <v>0</v>
      </c>
      <c r="AQ62" s="297"/>
      <c r="AR62" s="175">
        <f t="shared" si="124"/>
        <v>0</v>
      </c>
      <c r="AS62" s="175">
        <f>SUMIFS('1-2 人员岗位信息'!K:K,'1-2 人员岗位信息'!$C:$C,"自有人员",'1-2 人员岗位信息'!$B:$B,$D62)</f>
        <v>0</v>
      </c>
      <c r="AT62" s="297"/>
      <c r="AU62" s="175">
        <f t="shared" si="125"/>
        <v>0</v>
      </c>
      <c r="AV62" s="175">
        <f>SUMIFS('1-2 人员岗位信息'!L:L,'1-2 人员岗位信息'!$C:$C,"自有人员",'1-2 人员岗位信息'!$B:$B,$D62)</f>
        <v>0</v>
      </c>
      <c r="AW62" s="297"/>
      <c r="AX62" s="175">
        <f t="shared" si="126"/>
        <v>0</v>
      </c>
      <c r="AY62" s="175">
        <f>SUMIFS('1-2 人员岗位信息'!M:M,'1-2 人员岗位信息'!$C:$C,"自有人员",'1-2 人员岗位信息'!$B:$B,$D62)</f>
        <v>0</v>
      </c>
      <c r="AZ62" s="297"/>
      <c r="BA62" s="175">
        <f t="shared" si="127"/>
        <v>0</v>
      </c>
      <c r="BB62" s="175">
        <f>SUMIFS('1-2 人员岗位信息'!N:N,'1-2 人员岗位信息'!$C:$C,"自有人员",'1-2 人员岗位信息'!$B:$B,$D62)</f>
        <v>0</v>
      </c>
      <c r="BC62" s="297"/>
      <c r="BD62" s="175">
        <f t="shared" si="128"/>
        <v>0</v>
      </c>
      <c r="BE62" s="175">
        <f>SUMIFS('1-2 人员岗位信息'!O:O,'1-2 人员岗位信息'!$C:$C,"自有人员",'1-2 人员岗位信息'!$B:$B,$D62)</f>
        <v>0</v>
      </c>
      <c r="BF62" s="297"/>
      <c r="BG62" s="175">
        <f t="shared" si="129"/>
        <v>0</v>
      </c>
      <c r="BH62" s="175">
        <f>SUMIFS('1-2 人员岗位信息'!P:P,'1-2 人员岗位信息'!$C:$C,"自有人员",'1-2 人员岗位信息'!$B:$B,$D62)</f>
        <v>0</v>
      </c>
      <c r="BI62" s="297"/>
      <c r="BJ62" s="175">
        <f t="shared" si="130"/>
        <v>0</v>
      </c>
      <c r="BK62" s="175">
        <f>SUMIFS('1-2 人员岗位信息'!Q:Q,'1-2 人员岗位信息'!$C:$C,"自有人员",'1-2 人员岗位信息'!$B:$B,$D62)</f>
        <v>0</v>
      </c>
      <c r="BL62" s="306"/>
      <c r="BM62" s="310"/>
      <c r="BN62" s="314"/>
    </row>
    <row r="63" s="262" customFormat="1" ht="33.95" hidden="1" customHeight="1" outlineLevel="5" spans="2:66">
      <c r="B63" s="175" t="s">
        <v>747</v>
      </c>
      <c r="C63" s="282" t="s">
        <v>844</v>
      </c>
      <c r="D63" s="262" t="s">
        <v>845</v>
      </c>
      <c r="E63" s="175" t="s">
        <v>846</v>
      </c>
      <c r="F63" s="175"/>
      <c r="G63" s="175" t="s">
        <v>751</v>
      </c>
      <c r="H63" s="175">
        <f t="shared" si="114"/>
        <v>0</v>
      </c>
      <c r="I63" s="175" t="s">
        <v>752</v>
      </c>
      <c r="J63" s="175" t="e">
        <f t="shared" si="115"/>
        <v>#DIV/0!</v>
      </c>
      <c r="K63" s="175" t="s">
        <v>753</v>
      </c>
      <c r="L63" s="175" t="e">
        <f t="shared" si="116"/>
        <v>#DIV/0!</v>
      </c>
      <c r="M63" s="175" t="s">
        <v>754</v>
      </c>
      <c r="N63" s="175">
        <f t="shared" si="117"/>
        <v>0</v>
      </c>
      <c r="O63" s="175"/>
      <c r="P63" s="289"/>
      <c r="Q63" s="289"/>
      <c r="R63" s="289"/>
      <c r="S63" s="289"/>
      <c r="T63" s="289"/>
      <c r="U63" s="289"/>
      <c r="V63" s="289"/>
      <c r="W63" s="289"/>
      <c r="X63" s="289"/>
      <c r="Y63" s="289"/>
      <c r="Z63" s="289"/>
      <c r="AA63" s="289"/>
      <c r="AB63" s="175">
        <f t="shared" si="118"/>
        <v>0</v>
      </c>
      <c r="AC63" s="175">
        <f t="shared" si="119"/>
        <v>0</v>
      </c>
      <c r="AD63" s="175">
        <f>SUMIFS('1-2 人员岗位信息'!F:F,'1-2 人员岗位信息'!$C:$C,"自有人员",'1-2 人员岗位信息'!$B:$B,$D63)</f>
        <v>0</v>
      </c>
      <c r="AE63" s="297"/>
      <c r="AF63" s="175">
        <f t="shared" si="120"/>
        <v>0</v>
      </c>
      <c r="AG63" s="175">
        <f>SUMIFS('1-2 人员岗位信息'!G:G,'1-2 人员岗位信息'!$C:$C,"自有人员",'1-2 人员岗位信息'!$B:$B,$D63)</f>
        <v>0</v>
      </c>
      <c r="AH63" s="297"/>
      <c r="AI63" s="175">
        <f t="shared" si="121"/>
        <v>0</v>
      </c>
      <c r="AJ63" s="175">
        <f>SUMIFS('1-2 人员岗位信息'!H:H,'1-2 人员岗位信息'!$C:$C,"自有人员",'1-2 人员岗位信息'!$B:$B,$D63)</f>
        <v>0</v>
      </c>
      <c r="AK63" s="297"/>
      <c r="AL63" s="175">
        <f t="shared" si="122"/>
        <v>0</v>
      </c>
      <c r="AM63" s="175">
        <f>SUMIFS('1-2 人员岗位信息'!I:I,'1-2 人员岗位信息'!$C:$C,"自有人员",'1-2 人员岗位信息'!$B:$B,$D63)</f>
        <v>0</v>
      </c>
      <c r="AN63" s="297"/>
      <c r="AO63" s="175">
        <f t="shared" si="123"/>
        <v>0</v>
      </c>
      <c r="AP63" s="175">
        <f>SUMIFS('1-2 人员岗位信息'!J:J,'1-2 人员岗位信息'!$C:$C,"自有人员",'1-2 人员岗位信息'!$B:$B,$D63)</f>
        <v>0</v>
      </c>
      <c r="AQ63" s="297"/>
      <c r="AR63" s="175">
        <f t="shared" si="124"/>
        <v>0</v>
      </c>
      <c r="AS63" s="175">
        <f>SUMIFS('1-2 人员岗位信息'!K:K,'1-2 人员岗位信息'!$C:$C,"自有人员",'1-2 人员岗位信息'!$B:$B,$D63)</f>
        <v>0</v>
      </c>
      <c r="AT63" s="297"/>
      <c r="AU63" s="175">
        <f t="shared" si="125"/>
        <v>0</v>
      </c>
      <c r="AV63" s="175">
        <f>SUMIFS('1-2 人员岗位信息'!L:L,'1-2 人员岗位信息'!$C:$C,"自有人员",'1-2 人员岗位信息'!$B:$B,$D63)</f>
        <v>0</v>
      </c>
      <c r="AW63" s="297"/>
      <c r="AX63" s="175">
        <f t="shared" si="126"/>
        <v>0</v>
      </c>
      <c r="AY63" s="175">
        <f>SUMIFS('1-2 人员岗位信息'!M:M,'1-2 人员岗位信息'!$C:$C,"自有人员",'1-2 人员岗位信息'!$B:$B,$D63)</f>
        <v>0</v>
      </c>
      <c r="AZ63" s="297"/>
      <c r="BA63" s="175">
        <f t="shared" si="127"/>
        <v>0</v>
      </c>
      <c r="BB63" s="175">
        <f>SUMIFS('1-2 人员岗位信息'!N:N,'1-2 人员岗位信息'!$C:$C,"自有人员",'1-2 人员岗位信息'!$B:$B,$D63)</f>
        <v>0</v>
      </c>
      <c r="BC63" s="297"/>
      <c r="BD63" s="175">
        <f t="shared" si="128"/>
        <v>0</v>
      </c>
      <c r="BE63" s="175">
        <f>SUMIFS('1-2 人员岗位信息'!O:O,'1-2 人员岗位信息'!$C:$C,"自有人员",'1-2 人员岗位信息'!$B:$B,$D63)</f>
        <v>0</v>
      </c>
      <c r="BF63" s="297"/>
      <c r="BG63" s="175">
        <f t="shared" si="129"/>
        <v>0</v>
      </c>
      <c r="BH63" s="175">
        <f>SUMIFS('1-2 人员岗位信息'!P:P,'1-2 人员岗位信息'!$C:$C,"自有人员",'1-2 人员岗位信息'!$B:$B,$D63)</f>
        <v>0</v>
      </c>
      <c r="BI63" s="297"/>
      <c r="BJ63" s="175">
        <f t="shared" si="130"/>
        <v>0</v>
      </c>
      <c r="BK63" s="175">
        <f>SUMIFS('1-2 人员岗位信息'!Q:Q,'1-2 人员岗位信息'!$C:$C,"自有人员",'1-2 人员岗位信息'!$B:$B,$D63)</f>
        <v>0</v>
      </c>
      <c r="BL63" s="306"/>
      <c r="BM63" s="310"/>
      <c r="BN63" s="314"/>
    </row>
    <row r="64" s="262" customFormat="1" ht="33.95" hidden="1" customHeight="1" outlineLevel="5" spans="2:66">
      <c r="B64" s="175" t="s">
        <v>747</v>
      </c>
      <c r="C64" s="282" t="s">
        <v>847</v>
      </c>
      <c r="D64" s="262" t="s">
        <v>848</v>
      </c>
      <c r="E64" s="175" t="s">
        <v>849</v>
      </c>
      <c r="F64" s="175"/>
      <c r="G64" s="175" t="s">
        <v>751</v>
      </c>
      <c r="H64" s="175">
        <f t="shared" si="114"/>
        <v>0</v>
      </c>
      <c r="I64" s="175" t="s">
        <v>752</v>
      </c>
      <c r="J64" s="175" t="e">
        <f t="shared" si="115"/>
        <v>#DIV/0!</v>
      </c>
      <c r="K64" s="175" t="s">
        <v>753</v>
      </c>
      <c r="L64" s="175" t="e">
        <f t="shared" si="116"/>
        <v>#DIV/0!</v>
      </c>
      <c r="M64" s="175" t="s">
        <v>754</v>
      </c>
      <c r="N64" s="175">
        <f t="shared" si="117"/>
        <v>0</v>
      </c>
      <c r="O64" s="175"/>
      <c r="P64" s="289"/>
      <c r="Q64" s="289"/>
      <c r="R64" s="289"/>
      <c r="S64" s="289"/>
      <c r="T64" s="289"/>
      <c r="U64" s="289"/>
      <c r="V64" s="289"/>
      <c r="W64" s="289"/>
      <c r="X64" s="289"/>
      <c r="Y64" s="289"/>
      <c r="Z64" s="289"/>
      <c r="AA64" s="289"/>
      <c r="AB64" s="175">
        <f t="shared" si="118"/>
        <v>0</v>
      </c>
      <c r="AC64" s="175">
        <f t="shared" si="119"/>
        <v>0</v>
      </c>
      <c r="AD64" s="175">
        <f>SUMIFS('1-2 人员岗位信息'!F:F,'1-2 人员岗位信息'!$C:$C,"自有人员",'1-2 人员岗位信息'!$B:$B,$D64)</f>
        <v>0</v>
      </c>
      <c r="AE64" s="297"/>
      <c r="AF64" s="175">
        <f t="shared" si="120"/>
        <v>0</v>
      </c>
      <c r="AG64" s="175">
        <f>SUMIFS('1-2 人员岗位信息'!G:G,'1-2 人员岗位信息'!$C:$C,"自有人员",'1-2 人员岗位信息'!$B:$B,$D64)</f>
        <v>0</v>
      </c>
      <c r="AH64" s="297"/>
      <c r="AI64" s="175">
        <f t="shared" si="121"/>
        <v>0</v>
      </c>
      <c r="AJ64" s="175">
        <f>SUMIFS('1-2 人员岗位信息'!H:H,'1-2 人员岗位信息'!$C:$C,"自有人员",'1-2 人员岗位信息'!$B:$B,$D64)</f>
        <v>0</v>
      </c>
      <c r="AK64" s="297"/>
      <c r="AL64" s="175">
        <f t="shared" si="122"/>
        <v>0</v>
      </c>
      <c r="AM64" s="175">
        <f>SUMIFS('1-2 人员岗位信息'!I:I,'1-2 人员岗位信息'!$C:$C,"自有人员",'1-2 人员岗位信息'!$B:$B,$D64)</f>
        <v>0</v>
      </c>
      <c r="AN64" s="297"/>
      <c r="AO64" s="175">
        <f t="shared" si="123"/>
        <v>0</v>
      </c>
      <c r="AP64" s="175">
        <f>SUMIFS('1-2 人员岗位信息'!J:J,'1-2 人员岗位信息'!$C:$C,"自有人员",'1-2 人员岗位信息'!$B:$B,$D64)</f>
        <v>0</v>
      </c>
      <c r="AQ64" s="297"/>
      <c r="AR64" s="175">
        <f t="shared" si="124"/>
        <v>0</v>
      </c>
      <c r="AS64" s="175">
        <f>SUMIFS('1-2 人员岗位信息'!K:K,'1-2 人员岗位信息'!$C:$C,"自有人员",'1-2 人员岗位信息'!$B:$B,$D64)</f>
        <v>0</v>
      </c>
      <c r="AT64" s="297"/>
      <c r="AU64" s="175">
        <f t="shared" si="125"/>
        <v>0</v>
      </c>
      <c r="AV64" s="175">
        <f>SUMIFS('1-2 人员岗位信息'!L:L,'1-2 人员岗位信息'!$C:$C,"自有人员",'1-2 人员岗位信息'!$B:$B,$D64)</f>
        <v>0</v>
      </c>
      <c r="AW64" s="297"/>
      <c r="AX64" s="175">
        <f t="shared" si="126"/>
        <v>0</v>
      </c>
      <c r="AY64" s="175">
        <f>SUMIFS('1-2 人员岗位信息'!M:M,'1-2 人员岗位信息'!$C:$C,"自有人员",'1-2 人员岗位信息'!$B:$B,$D64)</f>
        <v>0</v>
      </c>
      <c r="AZ64" s="297"/>
      <c r="BA64" s="175">
        <f t="shared" si="127"/>
        <v>0</v>
      </c>
      <c r="BB64" s="175">
        <f>SUMIFS('1-2 人员岗位信息'!N:N,'1-2 人员岗位信息'!$C:$C,"自有人员",'1-2 人员岗位信息'!$B:$B,$D64)</f>
        <v>0</v>
      </c>
      <c r="BC64" s="297"/>
      <c r="BD64" s="175">
        <f t="shared" si="128"/>
        <v>0</v>
      </c>
      <c r="BE64" s="175">
        <f>SUMIFS('1-2 人员岗位信息'!O:O,'1-2 人员岗位信息'!$C:$C,"自有人员",'1-2 人员岗位信息'!$B:$B,$D64)</f>
        <v>0</v>
      </c>
      <c r="BF64" s="297"/>
      <c r="BG64" s="175">
        <f t="shared" si="129"/>
        <v>0</v>
      </c>
      <c r="BH64" s="175">
        <f>SUMIFS('1-2 人员岗位信息'!P:P,'1-2 人员岗位信息'!$C:$C,"自有人员",'1-2 人员岗位信息'!$B:$B,$D64)</f>
        <v>0</v>
      </c>
      <c r="BI64" s="297"/>
      <c r="BJ64" s="175">
        <f t="shared" si="130"/>
        <v>0</v>
      </c>
      <c r="BK64" s="175">
        <f>SUMIFS('1-2 人员岗位信息'!Q:Q,'1-2 人员岗位信息'!$C:$C,"自有人员",'1-2 人员岗位信息'!$B:$B,$D64)</f>
        <v>0</v>
      </c>
      <c r="BL64" s="306"/>
      <c r="BM64" s="310"/>
      <c r="BN64" s="314"/>
    </row>
    <row r="65" s="262" customFormat="1" ht="33.95" hidden="1" customHeight="1" outlineLevel="5" spans="2:66">
      <c r="B65" s="175" t="s">
        <v>747</v>
      </c>
      <c r="C65" s="282" t="s">
        <v>850</v>
      </c>
      <c r="D65" s="262" t="s">
        <v>851</v>
      </c>
      <c r="E65" s="175" t="s">
        <v>852</v>
      </c>
      <c r="F65" s="175"/>
      <c r="G65" s="175" t="s">
        <v>751</v>
      </c>
      <c r="H65" s="175">
        <f t="shared" si="114"/>
        <v>0</v>
      </c>
      <c r="I65" s="175" t="s">
        <v>752</v>
      </c>
      <c r="J65" s="175" t="e">
        <f t="shared" si="115"/>
        <v>#DIV/0!</v>
      </c>
      <c r="K65" s="175" t="s">
        <v>753</v>
      </c>
      <c r="L65" s="175" t="e">
        <f t="shared" si="116"/>
        <v>#DIV/0!</v>
      </c>
      <c r="M65" s="175" t="s">
        <v>754</v>
      </c>
      <c r="N65" s="175">
        <f t="shared" si="117"/>
        <v>0</v>
      </c>
      <c r="O65" s="175"/>
      <c r="P65" s="289"/>
      <c r="Q65" s="289"/>
      <c r="R65" s="289"/>
      <c r="S65" s="289"/>
      <c r="T65" s="289"/>
      <c r="U65" s="289"/>
      <c r="V65" s="289"/>
      <c r="W65" s="289"/>
      <c r="X65" s="289"/>
      <c r="Y65" s="289"/>
      <c r="Z65" s="289"/>
      <c r="AA65" s="289"/>
      <c r="AB65" s="175">
        <f t="shared" si="118"/>
        <v>0</v>
      </c>
      <c r="AC65" s="175">
        <f t="shared" si="119"/>
        <v>0</v>
      </c>
      <c r="AD65" s="175">
        <f>SUMIFS('1-2 人员岗位信息'!F:F,'1-2 人员岗位信息'!$C:$C,"自有人员",'1-2 人员岗位信息'!$B:$B,$D65)</f>
        <v>0</v>
      </c>
      <c r="AE65" s="297"/>
      <c r="AF65" s="175">
        <f t="shared" si="120"/>
        <v>0</v>
      </c>
      <c r="AG65" s="175">
        <f>SUMIFS('1-2 人员岗位信息'!G:G,'1-2 人员岗位信息'!$C:$C,"自有人员",'1-2 人员岗位信息'!$B:$B,$D65)</f>
        <v>0</v>
      </c>
      <c r="AH65" s="297"/>
      <c r="AI65" s="175">
        <f t="shared" si="121"/>
        <v>0</v>
      </c>
      <c r="AJ65" s="175">
        <f>SUMIFS('1-2 人员岗位信息'!H:H,'1-2 人员岗位信息'!$C:$C,"自有人员",'1-2 人员岗位信息'!$B:$B,$D65)</f>
        <v>0</v>
      </c>
      <c r="AK65" s="297"/>
      <c r="AL65" s="175">
        <f t="shared" si="122"/>
        <v>0</v>
      </c>
      <c r="AM65" s="175">
        <f>SUMIFS('1-2 人员岗位信息'!I:I,'1-2 人员岗位信息'!$C:$C,"自有人员",'1-2 人员岗位信息'!$B:$B,$D65)</f>
        <v>0</v>
      </c>
      <c r="AN65" s="297"/>
      <c r="AO65" s="175">
        <f t="shared" si="123"/>
        <v>0</v>
      </c>
      <c r="AP65" s="175">
        <f>SUMIFS('1-2 人员岗位信息'!J:J,'1-2 人员岗位信息'!$C:$C,"自有人员",'1-2 人员岗位信息'!$B:$B,$D65)</f>
        <v>0</v>
      </c>
      <c r="AQ65" s="297"/>
      <c r="AR65" s="175">
        <f t="shared" si="124"/>
        <v>0</v>
      </c>
      <c r="AS65" s="175">
        <f>SUMIFS('1-2 人员岗位信息'!K:K,'1-2 人员岗位信息'!$C:$C,"自有人员",'1-2 人员岗位信息'!$B:$B,$D65)</f>
        <v>0</v>
      </c>
      <c r="AT65" s="297"/>
      <c r="AU65" s="175">
        <f t="shared" si="125"/>
        <v>0</v>
      </c>
      <c r="AV65" s="175">
        <f>SUMIFS('1-2 人员岗位信息'!L:L,'1-2 人员岗位信息'!$C:$C,"自有人员",'1-2 人员岗位信息'!$B:$B,$D65)</f>
        <v>0</v>
      </c>
      <c r="AW65" s="297"/>
      <c r="AX65" s="175">
        <f t="shared" si="126"/>
        <v>0</v>
      </c>
      <c r="AY65" s="175">
        <f>SUMIFS('1-2 人员岗位信息'!M:M,'1-2 人员岗位信息'!$C:$C,"自有人员",'1-2 人员岗位信息'!$B:$B,$D65)</f>
        <v>0</v>
      </c>
      <c r="AZ65" s="297"/>
      <c r="BA65" s="175">
        <f t="shared" si="127"/>
        <v>0</v>
      </c>
      <c r="BB65" s="175">
        <f>SUMIFS('1-2 人员岗位信息'!N:N,'1-2 人员岗位信息'!$C:$C,"自有人员",'1-2 人员岗位信息'!$B:$B,$D65)</f>
        <v>0</v>
      </c>
      <c r="BC65" s="297"/>
      <c r="BD65" s="175">
        <f t="shared" si="128"/>
        <v>0</v>
      </c>
      <c r="BE65" s="175">
        <f>SUMIFS('1-2 人员岗位信息'!O:O,'1-2 人员岗位信息'!$C:$C,"自有人员",'1-2 人员岗位信息'!$B:$B,$D65)</f>
        <v>0</v>
      </c>
      <c r="BF65" s="297"/>
      <c r="BG65" s="175">
        <f t="shared" si="129"/>
        <v>0</v>
      </c>
      <c r="BH65" s="175">
        <f>SUMIFS('1-2 人员岗位信息'!P:P,'1-2 人员岗位信息'!$C:$C,"自有人员",'1-2 人员岗位信息'!$B:$B,$D65)</f>
        <v>0</v>
      </c>
      <c r="BI65" s="297"/>
      <c r="BJ65" s="175">
        <f t="shared" si="130"/>
        <v>0</v>
      </c>
      <c r="BK65" s="175">
        <f>SUMIFS('1-2 人员岗位信息'!Q:Q,'1-2 人员岗位信息'!$C:$C,"自有人员",'1-2 人员岗位信息'!$B:$B,$D65)</f>
        <v>0</v>
      </c>
      <c r="BL65" s="306"/>
      <c r="BM65" s="310"/>
      <c r="BN65" s="314"/>
    </row>
    <row r="66" s="262" customFormat="1" ht="33.95" hidden="1" customHeight="1" outlineLevel="5" spans="2:66">
      <c r="B66" s="175" t="s">
        <v>747</v>
      </c>
      <c r="C66" s="282" t="s">
        <v>853</v>
      </c>
      <c r="D66" s="262" t="s">
        <v>854</v>
      </c>
      <c r="E66" s="175" t="s">
        <v>855</v>
      </c>
      <c r="F66" s="175"/>
      <c r="G66" s="175" t="s">
        <v>751</v>
      </c>
      <c r="H66" s="175">
        <f t="shared" si="114"/>
        <v>0</v>
      </c>
      <c r="I66" s="175" t="s">
        <v>752</v>
      </c>
      <c r="J66" s="175" t="e">
        <f t="shared" si="115"/>
        <v>#DIV/0!</v>
      </c>
      <c r="K66" s="175" t="s">
        <v>753</v>
      </c>
      <c r="L66" s="175" t="e">
        <f t="shared" si="116"/>
        <v>#DIV/0!</v>
      </c>
      <c r="M66" s="175" t="s">
        <v>754</v>
      </c>
      <c r="N66" s="175">
        <f t="shared" si="117"/>
        <v>0</v>
      </c>
      <c r="O66" s="175"/>
      <c r="P66" s="289"/>
      <c r="Q66" s="289"/>
      <c r="R66" s="289"/>
      <c r="S66" s="289"/>
      <c r="T66" s="289"/>
      <c r="U66" s="289"/>
      <c r="V66" s="289"/>
      <c r="W66" s="289"/>
      <c r="X66" s="289"/>
      <c r="Y66" s="289"/>
      <c r="Z66" s="289"/>
      <c r="AA66" s="289"/>
      <c r="AB66" s="175">
        <f t="shared" si="118"/>
        <v>0</v>
      </c>
      <c r="AC66" s="175">
        <f t="shared" si="119"/>
        <v>0</v>
      </c>
      <c r="AD66" s="175">
        <f>SUMIFS('1-2 人员岗位信息'!F:F,'1-2 人员岗位信息'!$C:$C,"自有人员",'1-2 人员岗位信息'!$B:$B,$D66)</f>
        <v>0</v>
      </c>
      <c r="AE66" s="297"/>
      <c r="AF66" s="175">
        <f t="shared" si="120"/>
        <v>0</v>
      </c>
      <c r="AG66" s="175">
        <f>SUMIFS('1-2 人员岗位信息'!G:G,'1-2 人员岗位信息'!$C:$C,"自有人员",'1-2 人员岗位信息'!$B:$B,$D66)</f>
        <v>0</v>
      </c>
      <c r="AH66" s="297"/>
      <c r="AI66" s="175">
        <f t="shared" si="121"/>
        <v>0</v>
      </c>
      <c r="AJ66" s="175">
        <f>SUMIFS('1-2 人员岗位信息'!H:H,'1-2 人员岗位信息'!$C:$C,"自有人员",'1-2 人员岗位信息'!$B:$B,$D66)</f>
        <v>0</v>
      </c>
      <c r="AK66" s="297"/>
      <c r="AL66" s="175">
        <f t="shared" si="122"/>
        <v>0</v>
      </c>
      <c r="AM66" s="175">
        <f>SUMIFS('1-2 人员岗位信息'!I:I,'1-2 人员岗位信息'!$C:$C,"自有人员",'1-2 人员岗位信息'!$B:$B,$D66)</f>
        <v>0</v>
      </c>
      <c r="AN66" s="297"/>
      <c r="AO66" s="175">
        <f t="shared" si="123"/>
        <v>0</v>
      </c>
      <c r="AP66" s="175">
        <f>SUMIFS('1-2 人员岗位信息'!J:J,'1-2 人员岗位信息'!$C:$C,"自有人员",'1-2 人员岗位信息'!$B:$B,$D66)</f>
        <v>0</v>
      </c>
      <c r="AQ66" s="297"/>
      <c r="AR66" s="175">
        <f t="shared" si="124"/>
        <v>0</v>
      </c>
      <c r="AS66" s="175">
        <f>SUMIFS('1-2 人员岗位信息'!K:K,'1-2 人员岗位信息'!$C:$C,"自有人员",'1-2 人员岗位信息'!$B:$B,$D66)</f>
        <v>0</v>
      </c>
      <c r="AT66" s="297"/>
      <c r="AU66" s="175">
        <f t="shared" si="125"/>
        <v>0</v>
      </c>
      <c r="AV66" s="175">
        <f>SUMIFS('1-2 人员岗位信息'!L:L,'1-2 人员岗位信息'!$C:$C,"自有人员",'1-2 人员岗位信息'!$B:$B,$D66)</f>
        <v>0</v>
      </c>
      <c r="AW66" s="297"/>
      <c r="AX66" s="175">
        <f t="shared" si="126"/>
        <v>0</v>
      </c>
      <c r="AY66" s="175">
        <f>SUMIFS('1-2 人员岗位信息'!M:M,'1-2 人员岗位信息'!$C:$C,"自有人员",'1-2 人员岗位信息'!$B:$B,$D66)</f>
        <v>0</v>
      </c>
      <c r="AZ66" s="297"/>
      <c r="BA66" s="175">
        <f t="shared" si="127"/>
        <v>0</v>
      </c>
      <c r="BB66" s="175">
        <f>SUMIFS('1-2 人员岗位信息'!N:N,'1-2 人员岗位信息'!$C:$C,"自有人员",'1-2 人员岗位信息'!$B:$B,$D66)</f>
        <v>0</v>
      </c>
      <c r="BC66" s="297"/>
      <c r="BD66" s="175">
        <f t="shared" si="128"/>
        <v>0</v>
      </c>
      <c r="BE66" s="175">
        <f>SUMIFS('1-2 人员岗位信息'!O:O,'1-2 人员岗位信息'!$C:$C,"自有人员",'1-2 人员岗位信息'!$B:$B,$D66)</f>
        <v>0</v>
      </c>
      <c r="BF66" s="297"/>
      <c r="BG66" s="175">
        <f t="shared" si="129"/>
        <v>0</v>
      </c>
      <c r="BH66" s="175">
        <f>SUMIFS('1-2 人员岗位信息'!P:P,'1-2 人员岗位信息'!$C:$C,"自有人员",'1-2 人员岗位信息'!$B:$B,$D66)</f>
        <v>0</v>
      </c>
      <c r="BI66" s="297"/>
      <c r="BJ66" s="175">
        <f t="shared" si="130"/>
        <v>0</v>
      </c>
      <c r="BK66" s="175">
        <f>SUMIFS('1-2 人员岗位信息'!Q:Q,'1-2 人员岗位信息'!$C:$C,"自有人员",'1-2 人员岗位信息'!$B:$B,$D66)</f>
        <v>0</v>
      </c>
      <c r="BL66" s="306"/>
      <c r="BM66" s="310"/>
      <c r="BN66" s="314"/>
    </row>
    <row r="67" s="262" customFormat="1" ht="33.95" hidden="1" customHeight="1" outlineLevel="5" spans="2:66">
      <c r="B67" s="175" t="s">
        <v>747</v>
      </c>
      <c r="C67" s="282" t="s">
        <v>856</v>
      </c>
      <c r="D67" s="262" t="s">
        <v>857</v>
      </c>
      <c r="E67" s="175" t="s">
        <v>858</v>
      </c>
      <c r="F67" s="175"/>
      <c r="G67" s="175" t="s">
        <v>751</v>
      </c>
      <c r="H67" s="175">
        <f t="shared" si="114"/>
        <v>0</v>
      </c>
      <c r="I67" s="175" t="s">
        <v>752</v>
      </c>
      <c r="J67" s="175" t="e">
        <f t="shared" si="115"/>
        <v>#DIV/0!</v>
      </c>
      <c r="K67" s="175" t="s">
        <v>753</v>
      </c>
      <c r="L67" s="175" t="e">
        <f t="shared" si="116"/>
        <v>#DIV/0!</v>
      </c>
      <c r="M67" s="175" t="s">
        <v>754</v>
      </c>
      <c r="N67" s="175">
        <f t="shared" si="117"/>
        <v>0</v>
      </c>
      <c r="O67" s="175"/>
      <c r="P67" s="289"/>
      <c r="Q67" s="289"/>
      <c r="R67" s="289"/>
      <c r="S67" s="289"/>
      <c r="T67" s="289"/>
      <c r="U67" s="289"/>
      <c r="V67" s="289"/>
      <c r="W67" s="289"/>
      <c r="X67" s="289"/>
      <c r="Y67" s="289"/>
      <c r="Z67" s="289"/>
      <c r="AA67" s="289"/>
      <c r="AB67" s="175">
        <f t="shared" si="118"/>
        <v>0</v>
      </c>
      <c r="AC67" s="175">
        <f t="shared" si="119"/>
        <v>0</v>
      </c>
      <c r="AD67" s="175">
        <f>SUMIFS('1-2 人员岗位信息'!F:F,'1-2 人员岗位信息'!$C:$C,"自有人员",'1-2 人员岗位信息'!$B:$B,$D67)</f>
        <v>0</v>
      </c>
      <c r="AE67" s="297"/>
      <c r="AF67" s="175">
        <f t="shared" si="120"/>
        <v>0</v>
      </c>
      <c r="AG67" s="175">
        <f>SUMIFS('1-2 人员岗位信息'!G:G,'1-2 人员岗位信息'!$C:$C,"自有人员",'1-2 人员岗位信息'!$B:$B,$D67)</f>
        <v>0</v>
      </c>
      <c r="AH67" s="297"/>
      <c r="AI67" s="175">
        <f t="shared" si="121"/>
        <v>0</v>
      </c>
      <c r="AJ67" s="175">
        <f>SUMIFS('1-2 人员岗位信息'!H:H,'1-2 人员岗位信息'!$C:$C,"自有人员",'1-2 人员岗位信息'!$B:$B,$D67)</f>
        <v>0</v>
      </c>
      <c r="AK67" s="297"/>
      <c r="AL67" s="175">
        <f t="shared" si="122"/>
        <v>0</v>
      </c>
      <c r="AM67" s="175">
        <f>SUMIFS('1-2 人员岗位信息'!I:I,'1-2 人员岗位信息'!$C:$C,"自有人员",'1-2 人员岗位信息'!$B:$B,$D67)</f>
        <v>0</v>
      </c>
      <c r="AN67" s="297"/>
      <c r="AO67" s="175">
        <f t="shared" si="123"/>
        <v>0</v>
      </c>
      <c r="AP67" s="175">
        <f>SUMIFS('1-2 人员岗位信息'!J:J,'1-2 人员岗位信息'!$C:$C,"自有人员",'1-2 人员岗位信息'!$B:$B,$D67)</f>
        <v>0</v>
      </c>
      <c r="AQ67" s="297"/>
      <c r="AR67" s="175">
        <f t="shared" si="124"/>
        <v>0</v>
      </c>
      <c r="AS67" s="175">
        <f>SUMIFS('1-2 人员岗位信息'!K:K,'1-2 人员岗位信息'!$C:$C,"自有人员",'1-2 人员岗位信息'!$B:$B,$D67)</f>
        <v>0</v>
      </c>
      <c r="AT67" s="297"/>
      <c r="AU67" s="175">
        <f t="shared" si="125"/>
        <v>0</v>
      </c>
      <c r="AV67" s="175">
        <f>SUMIFS('1-2 人员岗位信息'!L:L,'1-2 人员岗位信息'!$C:$C,"自有人员",'1-2 人员岗位信息'!$B:$B,$D67)</f>
        <v>0</v>
      </c>
      <c r="AW67" s="297"/>
      <c r="AX67" s="175">
        <f t="shared" si="126"/>
        <v>0</v>
      </c>
      <c r="AY67" s="175">
        <f>SUMIFS('1-2 人员岗位信息'!M:M,'1-2 人员岗位信息'!$C:$C,"自有人员",'1-2 人员岗位信息'!$B:$B,$D67)</f>
        <v>0</v>
      </c>
      <c r="AZ67" s="297"/>
      <c r="BA67" s="175">
        <f t="shared" si="127"/>
        <v>0</v>
      </c>
      <c r="BB67" s="175">
        <f>SUMIFS('1-2 人员岗位信息'!N:N,'1-2 人员岗位信息'!$C:$C,"自有人员",'1-2 人员岗位信息'!$B:$B,$D67)</f>
        <v>0</v>
      </c>
      <c r="BC67" s="297"/>
      <c r="BD67" s="175">
        <f t="shared" si="128"/>
        <v>0</v>
      </c>
      <c r="BE67" s="175">
        <f>SUMIFS('1-2 人员岗位信息'!O:O,'1-2 人员岗位信息'!$C:$C,"自有人员",'1-2 人员岗位信息'!$B:$B,$D67)</f>
        <v>0</v>
      </c>
      <c r="BF67" s="297"/>
      <c r="BG67" s="175">
        <f t="shared" si="129"/>
        <v>0</v>
      </c>
      <c r="BH67" s="175">
        <f>SUMIFS('1-2 人员岗位信息'!P:P,'1-2 人员岗位信息'!$C:$C,"自有人员",'1-2 人员岗位信息'!$B:$B,$D67)</f>
        <v>0</v>
      </c>
      <c r="BI67" s="297"/>
      <c r="BJ67" s="175">
        <f t="shared" si="130"/>
        <v>0</v>
      </c>
      <c r="BK67" s="175">
        <f>SUMIFS('1-2 人员岗位信息'!Q:Q,'1-2 人员岗位信息'!$C:$C,"自有人员",'1-2 人员岗位信息'!$B:$B,$D67)</f>
        <v>0</v>
      </c>
      <c r="BL67" s="306"/>
      <c r="BM67" s="310"/>
      <c r="BN67" s="314"/>
    </row>
    <row r="68" s="262" customFormat="1" ht="33.95" hidden="1" customHeight="1" outlineLevel="5" spans="2:66">
      <c r="B68" s="175" t="s">
        <v>747</v>
      </c>
      <c r="C68" s="282" t="s">
        <v>859</v>
      </c>
      <c r="D68" s="262" t="s">
        <v>860</v>
      </c>
      <c r="E68" s="175" t="s">
        <v>769</v>
      </c>
      <c r="F68" s="175"/>
      <c r="G68" s="175" t="s">
        <v>751</v>
      </c>
      <c r="H68" s="175">
        <f t="shared" si="114"/>
        <v>0</v>
      </c>
      <c r="I68" s="175" t="s">
        <v>752</v>
      </c>
      <c r="J68" s="175" t="e">
        <f t="shared" si="115"/>
        <v>#DIV/0!</v>
      </c>
      <c r="K68" s="175" t="s">
        <v>753</v>
      </c>
      <c r="L68" s="175" t="e">
        <f t="shared" si="116"/>
        <v>#DIV/0!</v>
      </c>
      <c r="M68" s="175" t="s">
        <v>754</v>
      </c>
      <c r="N68" s="175">
        <f t="shared" si="117"/>
        <v>0</v>
      </c>
      <c r="O68" s="175"/>
      <c r="P68" s="289"/>
      <c r="Q68" s="289"/>
      <c r="R68" s="289"/>
      <c r="S68" s="289"/>
      <c r="T68" s="289"/>
      <c r="U68" s="289"/>
      <c r="V68" s="289"/>
      <c r="W68" s="289"/>
      <c r="X68" s="289"/>
      <c r="Y68" s="289"/>
      <c r="Z68" s="289"/>
      <c r="AA68" s="289"/>
      <c r="AB68" s="175">
        <f t="shared" si="118"/>
        <v>0</v>
      </c>
      <c r="AC68" s="175">
        <f t="shared" si="119"/>
        <v>0</v>
      </c>
      <c r="AD68" s="175">
        <f>SUMIFS('1-2 人员岗位信息'!F:F,'1-2 人员岗位信息'!$C:$C,"自有人员",'1-2 人员岗位信息'!$B:$B,$D68)</f>
        <v>0</v>
      </c>
      <c r="AE68" s="297"/>
      <c r="AF68" s="175">
        <f t="shared" si="120"/>
        <v>0</v>
      </c>
      <c r="AG68" s="175">
        <f>SUMIFS('1-2 人员岗位信息'!G:G,'1-2 人员岗位信息'!$C:$C,"自有人员",'1-2 人员岗位信息'!$B:$B,$D68)</f>
        <v>0</v>
      </c>
      <c r="AH68" s="297"/>
      <c r="AI68" s="175">
        <f t="shared" si="121"/>
        <v>0</v>
      </c>
      <c r="AJ68" s="175">
        <f>SUMIFS('1-2 人员岗位信息'!H:H,'1-2 人员岗位信息'!$C:$C,"自有人员",'1-2 人员岗位信息'!$B:$B,$D68)</f>
        <v>0</v>
      </c>
      <c r="AK68" s="297"/>
      <c r="AL68" s="175">
        <f t="shared" si="122"/>
        <v>0</v>
      </c>
      <c r="AM68" s="175">
        <f>SUMIFS('1-2 人员岗位信息'!I:I,'1-2 人员岗位信息'!$C:$C,"自有人员",'1-2 人员岗位信息'!$B:$B,$D68)</f>
        <v>0</v>
      </c>
      <c r="AN68" s="297"/>
      <c r="AO68" s="175">
        <f t="shared" si="123"/>
        <v>0</v>
      </c>
      <c r="AP68" s="175">
        <f>SUMIFS('1-2 人员岗位信息'!J:J,'1-2 人员岗位信息'!$C:$C,"自有人员",'1-2 人员岗位信息'!$B:$B,$D68)</f>
        <v>0</v>
      </c>
      <c r="AQ68" s="297"/>
      <c r="AR68" s="175">
        <f t="shared" si="124"/>
        <v>0</v>
      </c>
      <c r="AS68" s="175">
        <f>SUMIFS('1-2 人员岗位信息'!K:K,'1-2 人员岗位信息'!$C:$C,"自有人员",'1-2 人员岗位信息'!$B:$B,$D68)</f>
        <v>0</v>
      </c>
      <c r="AT68" s="297"/>
      <c r="AU68" s="175">
        <f t="shared" si="125"/>
        <v>0</v>
      </c>
      <c r="AV68" s="175">
        <f>SUMIFS('1-2 人员岗位信息'!L:L,'1-2 人员岗位信息'!$C:$C,"自有人员",'1-2 人员岗位信息'!$B:$B,$D68)</f>
        <v>0</v>
      </c>
      <c r="AW68" s="297"/>
      <c r="AX68" s="175">
        <f t="shared" si="126"/>
        <v>0</v>
      </c>
      <c r="AY68" s="175">
        <f>SUMIFS('1-2 人员岗位信息'!M:M,'1-2 人员岗位信息'!$C:$C,"自有人员",'1-2 人员岗位信息'!$B:$B,$D68)</f>
        <v>0</v>
      </c>
      <c r="AZ68" s="297"/>
      <c r="BA68" s="175">
        <f t="shared" si="127"/>
        <v>0</v>
      </c>
      <c r="BB68" s="175">
        <f>SUMIFS('1-2 人员岗位信息'!N:N,'1-2 人员岗位信息'!$C:$C,"自有人员",'1-2 人员岗位信息'!$B:$B,$D68)</f>
        <v>0</v>
      </c>
      <c r="BC68" s="297"/>
      <c r="BD68" s="175">
        <f t="shared" si="128"/>
        <v>0</v>
      </c>
      <c r="BE68" s="175">
        <f>SUMIFS('1-2 人员岗位信息'!O:O,'1-2 人员岗位信息'!$C:$C,"自有人员",'1-2 人员岗位信息'!$B:$B,$D68)</f>
        <v>0</v>
      </c>
      <c r="BF68" s="297"/>
      <c r="BG68" s="175">
        <f t="shared" si="129"/>
        <v>0</v>
      </c>
      <c r="BH68" s="175">
        <f>SUMIFS('1-2 人员岗位信息'!P:P,'1-2 人员岗位信息'!$C:$C,"自有人员",'1-2 人员岗位信息'!$B:$B,$D68)</f>
        <v>0</v>
      </c>
      <c r="BI68" s="297"/>
      <c r="BJ68" s="175">
        <f t="shared" si="130"/>
        <v>0</v>
      </c>
      <c r="BK68" s="175">
        <f>SUMIFS('1-2 人员岗位信息'!Q:Q,'1-2 人员岗位信息'!$C:$C,"自有人员",'1-2 人员岗位信息'!$B:$B,$D68)</f>
        <v>0</v>
      </c>
      <c r="BL68" s="306"/>
      <c r="BM68" s="310"/>
      <c r="BN68" s="314"/>
    </row>
    <row r="69" s="118" customFormat="1" ht="33.95" hidden="1" customHeight="1" outlineLevel="4" collapsed="1" spans="2:66">
      <c r="B69" s="119" t="s">
        <v>742</v>
      </c>
      <c r="C69" s="120" t="s">
        <v>70</v>
      </c>
      <c r="D69" s="118" t="s">
        <v>68</v>
      </c>
      <c r="E69" s="119"/>
      <c r="F69" s="119"/>
      <c r="G69" s="119"/>
      <c r="H69" s="119">
        <f>SUM(H70:H79)</f>
        <v>0</v>
      </c>
      <c r="I69" s="119"/>
      <c r="J69" s="119"/>
      <c r="K69" s="119"/>
      <c r="L69" s="119"/>
      <c r="M69" s="119"/>
      <c r="N69" s="119"/>
      <c r="O69" s="119"/>
      <c r="P69" s="288"/>
      <c r="Q69" s="288"/>
      <c r="R69" s="288"/>
      <c r="S69" s="288"/>
      <c r="T69" s="288"/>
      <c r="U69" s="288"/>
      <c r="V69" s="288"/>
      <c r="W69" s="288"/>
      <c r="X69" s="288"/>
      <c r="Y69" s="288"/>
      <c r="Z69" s="288"/>
      <c r="AA69" s="288"/>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5"/>
      <c r="BM69" s="310"/>
      <c r="BN69" s="313"/>
    </row>
    <row r="70" s="262" customFormat="1" ht="33.95" hidden="1" customHeight="1" outlineLevel="5" spans="2:66">
      <c r="B70" s="175" t="s">
        <v>747</v>
      </c>
      <c r="C70" s="282" t="s">
        <v>861</v>
      </c>
      <c r="D70" s="262" t="s">
        <v>833</v>
      </c>
      <c r="E70" s="175" t="s">
        <v>862</v>
      </c>
      <c r="F70" s="175"/>
      <c r="G70" s="175" t="s">
        <v>751</v>
      </c>
      <c r="H70" s="175">
        <f t="shared" ref="H70:H79" si="132">AB70</f>
        <v>0</v>
      </c>
      <c r="I70" s="175" t="s">
        <v>752</v>
      </c>
      <c r="J70" s="175" t="e">
        <f t="shared" ref="J70:J79" si="133">SUM(AD70,AG70,AJ70,AM70,AP70,AS70,AV70,AY70,BB70,BE70,BH70,BK70)/N70</f>
        <v>#DIV/0!</v>
      </c>
      <c r="K70" s="175" t="s">
        <v>753</v>
      </c>
      <c r="L70" s="175" t="e">
        <f t="shared" ref="L70:L79" si="134">H70/N70/J70</f>
        <v>#DIV/0!</v>
      </c>
      <c r="M70" s="175" t="s">
        <v>754</v>
      </c>
      <c r="N70" s="175">
        <f t="shared" ref="N70:N79" si="135">COUNTIF(AD70,"&gt;0")+COUNTIF(AG70,"&gt;0")+COUNTIF(AJ70,"&gt;0")+COUNTIF(AM70,"&gt;0")+COUNTIF(AP70,"&gt;0")+COUNTIF(AS70,"&gt;0")+COUNTIF(AV70,"&gt;0")+COUNTIF(AY70,"&gt;0")+COUNTIF(BB70,"&gt;0")+COUNTIF(BE70,"&gt;0")+COUNTIF(BH70,"&gt;0")+COUNTIF(BK70,"&gt;0")</f>
        <v>0</v>
      </c>
      <c r="O70" s="175"/>
      <c r="P70" s="289"/>
      <c r="Q70" s="289"/>
      <c r="R70" s="289"/>
      <c r="S70" s="289"/>
      <c r="T70" s="289"/>
      <c r="U70" s="289"/>
      <c r="V70" s="289"/>
      <c r="W70" s="289"/>
      <c r="X70" s="289"/>
      <c r="Y70" s="289"/>
      <c r="Z70" s="289"/>
      <c r="AA70" s="289"/>
      <c r="AB70" s="175">
        <f t="shared" ref="AB70:AB79" si="136">SUM(AC70,AF70,AI70,AL70,AO70,AR70,AU70,AX70,BA70,BD70,BG70,BJ70)</f>
        <v>0</v>
      </c>
      <c r="AC70" s="175">
        <f t="shared" ref="AC70:AC79" si="137">AD70*AE70</f>
        <v>0</v>
      </c>
      <c r="AD70" s="175">
        <f>SUMIFS('1-2 人员岗位信息'!F:F,'1-2 人员岗位信息'!$C:$C,"劳务派遣",'1-2 人员岗位信息'!$B:$B,$D70)</f>
        <v>0</v>
      </c>
      <c r="AE70" s="297"/>
      <c r="AF70" s="175">
        <f t="shared" ref="AF70:AF79" si="138">AG70*AH70</f>
        <v>0</v>
      </c>
      <c r="AG70" s="175">
        <f>SUMIFS('1-2 人员岗位信息'!G:G,'1-2 人员岗位信息'!$C:$C,"劳务派遣",'1-2 人员岗位信息'!$B:$B,$D70)</f>
        <v>0</v>
      </c>
      <c r="AH70" s="297"/>
      <c r="AI70" s="175">
        <f t="shared" ref="AI70:AI79" si="139">AJ70*AK70</f>
        <v>0</v>
      </c>
      <c r="AJ70" s="175">
        <f>SUMIFS('1-2 人员岗位信息'!H:H,'1-2 人员岗位信息'!$C:$C,"劳务派遣",'1-2 人员岗位信息'!$B:$B,$D70)</f>
        <v>0</v>
      </c>
      <c r="AK70" s="297"/>
      <c r="AL70" s="175">
        <f t="shared" ref="AL70:AL79" si="140">AM70*AN70</f>
        <v>0</v>
      </c>
      <c r="AM70" s="175">
        <f>SUMIFS('1-2 人员岗位信息'!I:I,'1-2 人员岗位信息'!$C:$C,"劳务派遣",'1-2 人员岗位信息'!$B:$B,$D70)</f>
        <v>0</v>
      </c>
      <c r="AN70" s="297"/>
      <c r="AO70" s="175">
        <f t="shared" ref="AO70:AO79" si="141">AP70*AQ70</f>
        <v>0</v>
      </c>
      <c r="AP70" s="175">
        <f>SUMIFS('1-2 人员岗位信息'!J:J,'1-2 人员岗位信息'!$C:$C,"劳务派遣",'1-2 人员岗位信息'!$B:$B,$D70)</f>
        <v>0</v>
      </c>
      <c r="AQ70" s="297"/>
      <c r="AR70" s="175">
        <f t="shared" ref="AR70:AR79" si="142">AS70*AT70</f>
        <v>0</v>
      </c>
      <c r="AS70" s="175">
        <f>SUMIFS('1-2 人员岗位信息'!K:K,'1-2 人员岗位信息'!$C:$C,"劳务派遣",'1-2 人员岗位信息'!$B:$B,$D70)</f>
        <v>0</v>
      </c>
      <c r="AT70" s="297"/>
      <c r="AU70" s="175">
        <f t="shared" ref="AU70:AU79" si="143">AV70*AW70</f>
        <v>0</v>
      </c>
      <c r="AV70" s="175">
        <f>SUMIFS('1-2 人员岗位信息'!L:L,'1-2 人员岗位信息'!$C:$C,"劳务派遣",'1-2 人员岗位信息'!$B:$B,$D70)</f>
        <v>0</v>
      </c>
      <c r="AW70" s="297"/>
      <c r="AX70" s="175">
        <f t="shared" ref="AX70:AX79" si="144">AY70*AZ70</f>
        <v>0</v>
      </c>
      <c r="AY70" s="175">
        <f>SUMIFS('1-2 人员岗位信息'!M:M,'1-2 人员岗位信息'!$C:$C,"劳务派遣",'1-2 人员岗位信息'!$B:$B,$D70)</f>
        <v>0</v>
      </c>
      <c r="AZ70" s="297"/>
      <c r="BA70" s="175">
        <f t="shared" ref="BA70:BA79" si="145">BB70*BC70</f>
        <v>0</v>
      </c>
      <c r="BB70" s="175">
        <f>SUMIFS('1-2 人员岗位信息'!N:N,'1-2 人员岗位信息'!$C:$C,"劳务派遣",'1-2 人员岗位信息'!$B:$B,$D70)</f>
        <v>0</v>
      </c>
      <c r="BC70" s="297"/>
      <c r="BD70" s="175">
        <f t="shared" ref="BD70:BD79" si="146">BE70*BF70</f>
        <v>0</v>
      </c>
      <c r="BE70" s="175">
        <f>SUMIFS('1-2 人员岗位信息'!O:O,'1-2 人员岗位信息'!$C:$C,"劳务派遣",'1-2 人员岗位信息'!$B:$B,$D70)</f>
        <v>0</v>
      </c>
      <c r="BF70" s="297"/>
      <c r="BG70" s="175">
        <f t="shared" ref="BG70:BG79" si="147">BH70*BI70</f>
        <v>0</v>
      </c>
      <c r="BH70" s="175">
        <f>SUMIFS('1-2 人员岗位信息'!P:P,'1-2 人员岗位信息'!$C:$C,"劳务派遣",'1-2 人员岗位信息'!$B:$B,$D70)</f>
        <v>0</v>
      </c>
      <c r="BI70" s="297"/>
      <c r="BJ70" s="175">
        <f t="shared" ref="BJ70:BJ79" si="148">BK70*BL70</f>
        <v>0</v>
      </c>
      <c r="BK70" s="175">
        <f>SUMIFS('1-2 人员岗位信息'!Q:Q,'1-2 人员岗位信息'!$C:$C,"劳务派遣",'1-2 人员岗位信息'!$B:$B,$D70)</f>
        <v>0</v>
      </c>
      <c r="BL70" s="306"/>
      <c r="BM70" s="310"/>
      <c r="BN70" s="314"/>
    </row>
    <row r="71" s="262" customFormat="1" ht="33.95" hidden="1" customHeight="1" outlineLevel="5" spans="2:66">
      <c r="B71" s="175" t="s">
        <v>747</v>
      </c>
      <c r="C71" s="282" t="s">
        <v>863</v>
      </c>
      <c r="D71" s="262" t="s">
        <v>836</v>
      </c>
      <c r="E71" s="175" t="s">
        <v>864</v>
      </c>
      <c r="F71" s="175"/>
      <c r="G71" s="175" t="s">
        <v>751</v>
      </c>
      <c r="H71" s="175">
        <f t="shared" si="132"/>
        <v>0</v>
      </c>
      <c r="I71" s="175" t="s">
        <v>752</v>
      </c>
      <c r="J71" s="175" t="e">
        <f t="shared" si="133"/>
        <v>#DIV/0!</v>
      </c>
      <c r="K71" s="175" t="s">
        <v>753</v>
      </c>
      <c r="L71" s="175" t="e">
        <f t="shared" si="134"/>
        <v>#DIV/0!</v>
      </c>
      <c r="M71" s="175" t="s">
        <v>754</v>
      </c>
      <c r="N71" s="175">
        <f t="shared" si="135"/>
        <v>0</v>
      </c>
      <c r="O71" s="175"/>
      <c r="P71" s="289"/>
      <c r="Q71" s="289"/>
      <c r="R71" s="289"/>
      <c r="S71" s="289"/>
      <c r="T71" s="289"/>
      <c r="U71" s="289"/>
      <c r="V71" s="289"/>
      <c r="W71" s="289"/>
      <c r="X71" s="289"/>
      <c r="Y71" s="289"/>
      <c r="Z71" s="289"/>
      <c r="AA71" s="289"/>
      <c r="AB71" s="175">
        <f t="shared" si="136"/>
        <v>0</v>
      </c>
      <c r="AC71" s="175">
        <f t="shared" si="137"/>
        <v>0</v>
      </c>
      <c r="AD71" s="175">
        <f>SUMIFS('1-2 人员岗位信息'!F:F,'1-2 人员岗位信息'!$C:$C,"劳务派遣",'1-2 人员岗位信息'!$B:$B,$D71)</f>
        <v>0</v>
      </c>
      <c r="AE71" s="297"/>
      <c r="AF71" s="175">
        <f t="shared" si="138"/>
        <v>0</v>
      </c>
      <c r="AG71" s="175">
        <f>SUMIFS('1-2 人员岗位信息'!G:G,'1-2 人员岗位信息'!$C:$C,"劳务派遣",'1-2 人员岗位信息'!$B:$B,$D71)</f>
        <v>0</v>
      </c>
      <c r="AH71" s="297"/>
      <c r="AI71" s="175">
        <f t="shared" si="139"/>
        <v>0</v>
      </c>
      <c r="AJ71" s="175">
        <f>SUMIFS('1-2 人员岗位信息'!H:H,'1-2 人员岗位信息'!$C:$C,"劳务派遣",'1-2 人员岗位信息'!$B:$B,$D71)</f>
        <v>0</v>
      </c>
      <c r="AK71" s="297"/>
      <c r="AL71" s="175">
        <f t="shared" si="140"/>
        <v>0</v>
      </c>
      <c r="AM71" s="175">
        <f>SUMIFS('1-2 人员岗位信息'!I:I,'1-2 人员岗位信息'!$C:$C,"劳务派遣",'1-2 人员岗位信息'!$B:$B,$D71)</f>
        <v>0</v>
      </c>
      <c r="AN71" s="297"/>
      <c r="AO71" s="175">
        <f t="shared" si="141"/>
        <v>0</v>
      </c>
      <c r="AP71" s="175">
        <f>SUMIFS('1-2 人员岗位信息'!J:J,'1-2 人员岗位信息'!$C:$C,"劳务派遣",'1-2 人员岗位信息'!$B:$B,$D71)</f>
        <v>0</v>
      </c>
      <c r="AQ71" s="297"/>
      <c r="AR71" s="175">
        <f t="shared" si="142"/>
        <v>0</v>
      </c>
      <c r="AS71" s="175">
        <f>SUMIFS('1-2 人员岗位信息'!K:K,'1-2 人员岗位信息'!$C:$C,"劳务派遣",'1-2 人员岗位信息'!$B:$B,$D71)</f>
        <v>0</v>
      </c>
      <c r="AT71" s="297"/>
      <c r="AU71" s="175">
        <f t="shared" si="143"/>
        <v>0</v>
      </c>
      <c r="AV71" s="175">
        <f>SUMIFS('1-2 人员岗位信息'!L:L,'1-2 人员岗位信息'!$C:$C,"劳务派遣",'1-2 人员岗位信息'!$B:$B,$D71)</f>
        <v>0</v>
      </c>
      <c r="AW71" s="297"/>
      <c r="AX71" s="175">
        <f t="shared" si="144"/>
        <v>0</v>
      </c>
      <c r="AY71" s="175">
        <f>SUMIFS('1-2 人员岗位信息'!M:M,'1-2 人员岗位信息'!$C:$C,"劳务派遣",'1-2 人员岗位信息'!$B:$B,$D71)</f>
        <v>0</v>
      </c>
      <c r="AZ71" s="297"/>
      <c r="BA71" s="175">
        <f t="shared" si="145"/>
        <v>0</v>
      </c>
      <c r="BB71" s="175">
        <f>SUMIFS('1-2 人员岗位信息'!N:N,'1-2 人员岗位信息'!$C:$C,"劳务派遣",'1-2 人员岗位信息'!$B:$B,$D71)</f>
        <v>0</v>
      </c>
      <c r="BC71" s="297"/>
      <c r="BD71" s="175">
        <f t="shared" si="146"/>
        <v>0</v>
      </c>
      <c r="BE71" s="175">
        <f>SUMIFS('1-2 人员岗位信息'!O:O,'1-2 人员岗位信息'!$C:$C,"劳务派遣",'1-2 人员岗位信息'!$B:$B,$D71)</f>
        <v>0</v>
      </c>
      <c r="BF71" s="297"/>
      <c r="BG71" s="175">
        <f t="shared" si="147"/>
        <v>0</v>
      </c>
      <c r="BH71" s="175">
        <f>SUMIFS('1-2 人员岗位信息'!P:P,'1-2 人员岗位信息'!$C:$C,"劳务派遣",'1-2 人员岗位信息'!$B:$B,$D71)</f>
        <v>0</v>
      </c>
      <c r="BI71" s="297"/>
      <c r="BJ71" s="175">
        <f t="shared" si="148"/>
        <v>0</v>
      </c>
      <c r="BK71" s="175">
        <f>SUMIFS('1-2 人员岗位信息'!Q:Q,'1-2 人员岗位信息'!$C:$C,"劳务派遣",'1-2 人员岗位信息'!$B:$B,$D71)</f>
        <v>0</v>
      </c>
      <c r="BL71" s="306"/>
      <c r="BM71" s="310"/>
      <c r="BN71" s="314"/>
    </row>
    <row r="72" s="262" customFormat="1" ht="33.95" hidden="1" customHeight="1" outlineLevel="5" spans="2:66">
      <c r="B72" s="175" t="s">
        <v>747</v>
      </c>
      <c r="C72" s="282" t="s">
        <v>865</v>
      </c>
      <c r="D72" s="262" t="s">
        <v>839</v>
      </c>
      <c r="E72" s="175" t="s">
        <v>840</v>
      </c>
      <c r="F72" s="175"/>
      <c r="G72" s="175" t="s">
        <v>751</v>
      </c>
      <c r="H72" s="175">
        <f t="shared" si="132"/>
        <v>0</v>
      </c>
      <c r="I72" s="175" t="s">
        <v>752</v>
      </c>
      <c r="J72" s="175" t="e">
        <f t="shared" si="133"/>
        <v>#DIV/0!</v>
      </c>
      <c r="K72" s="175" t="s">
        <v>753</v>
      </c>
      <c r="L72" s="175" t="e">
        <f t="shared" si="134"/>
        <v>#DIV/0!</v>
      </c>
      <c r="M72" s="175" t="s">
        <v>754</v>
      </c>
      <c r="N72" s="175">
        <f t="shared" si="135"/>
        <v>0</v>
      </c>
      <c r="O72" s="175"/>
      <c r="P72" s="289"/>
      <c r="Q72" s="289"/>
      <c r="R72" s="289"/>
      <c r="S72" s="289"/>
      <c r="T72" s="289"/>
      <c r="U72" s="289"/>
      <c r="V72" s="289"/>
      <c r="W72" s="289"/>
      <c r="X72" s="289"/>
      <c r="Y72" s="289"/>
      <c r="Z72" s="289"/>
      <c r="AA72" s="289"/>
      <c r="AB72" s="175">
        <f t="shared" si="136"/>
        <v>0</v>
      </c>
      <c r="AC72" s="175">
        <f t="shared" si="137"/>
        <v>0</v>
      </c>
      <c r="AD72" s="175">
        <f>SUMIFS('1-2 人员岗位信息'!F:F,'1-2 人员岗位信息'!$C:$C,"劳务派遣",'1-2 人员岗位信息'!$B:$B,$D72)</f>
        <v>0</v>
      </c>
      <c r="AE72" s="297"/>
      <c r="AF72" s="175">
        <f t="shared" si="138"/>
        <v>0</v>
      </c>
      <c r="AG72" s="175">
        <f>SUMIFS('1-2 人员岗位信息'!G:G,'1-2 人员岗位信息'!$C:$C,"劳务派遣",'1-2 人员岗位信息'!$B:$B,$D72)</f>
        <v>0</v>
      </c>
      <c r="AH72" s="297"/>
      <c r="AI72" s="175">
        <f t="shared" si="139"/>
        <v>0</v>
      </c>
      <c r="AJ72" s="175">
        <f>SUMIFS('1-2 人员岗位信息'!H:H,'1-2 人员岗位信息'!$C:$C,"劳务派遣",'1-2 人员岗位信息'!$B:$B,$D72)</f>
        <v>0</v>
      </c>
      <c r="AK72" s="297"/>
      <c r="AL72" s="175">
        <f t="shared" si="140"/>
        <v>0</v>
      </c>
      <c r="AM72" s="175">
        <f>SUMIFS('1-2 人员岗位信息'!I:I,'1-2 人员岗位信息'!$C:$C,"劳务派遣",'1-2 人员岗位信息'!$B:$B,$D72)</f>
        <v>0</v>
      </c>
      <c r="AN72" s="297"/>
      <c r="AO72" s="175">
        <f t="shared" si="141"/>
        <v>0</v>
      </c>
      <c r="AP72" s="175">
        <f>SUMIFS('1-2 人员岗位信息'!J:J,'1-2 人员岗位信息'!$C:$C,"劳务派遣",'1-2 人员岗位信息'!$B:$B,$D72)</f>
        <v>0</v>
      </c>
      <c r="AQ72" s="297"/>
      <c r="AR72" s="175">
        <f t="shared" si="142"/>
        <v>0</v>
      </c>
      <c r="AS72" s="175">
        <f>SUMIFS('1-2 人员岗位信息'!K:K,'1-2 人员岗位信息'!$C:$C,"劳务派遣",'1-2 人员岗位信息'!$B:$B,$D72)</f>
        <v>0</v>
      </c>
      <c r="AT72" s="297"/>
      <c r="AU72" s="175">
        <f t="shared" si="143"/>
        <v>0</v>
      </c>
      <c r="AV72" s="175">
        <f>SUMIFS('1-2 人员岗位信息'!L:L,'1-2 人员岗位信息'!$C:$C,"劳务派遣",'1-2 人员岗位信息'!$B:$B,$D72)</f>
        <v>0</v>
      </c>
      <c r="AW72" s="297"/>
      <c r="AX72" s="175">
        <f t="shared" si="144"/>
        <v>0</v>
      </c>
      <c r="AY72" s="175">
        <f>SUMIFS('1-2 人员岗位信息'!M:M,'1-2 人员岗位信息'!$C:$C,"劳务派遣",'1-2 人员岗位信息'!$B:$B,$D72)</f>
        <v>0</v>
      </c>
      <c r="AZ72" s="297"/>
      <c r="BA72" s="175">
        <f t="shared" si="145"/>
        <v>0</v>
      </c>
      <c r="BB72" s="175">
        <f>SUMIFS('1-2 人员岗位信息'!N:N,'1-2 人员岗位信息'!$C:$C,"劳务派遣",'1-2 人员岗位信息'!$B:$B,$D72)</f>
        <v>0</v>
      </c>
      <c r="BC72" s="297"/>
      <c r="BD72" s="175">
        <f t="shared" si="146"/>
        <v>0</v>
      </c>
      <c r="BE72" s="175">
        <f>SUMIFS('1-2 人员岗位信息'!O:O,'1-2 人员岗位信息'!$C:$C,"劳务派遣",'1-2 人员岗位信息'!$B:$B,$D72)</f>
        <v>0</v>
      </c>
      <c r="BF72" s="297"/>
      <c r="BG72" s="175">
        <f t="shared" si="147"/>
        <v>0</v>
      </c>
      <c r="BH72" s="175">
        <f>SUMIFS('1-2 人员岗位信息'!P:P,'1-2 人员岗位信息'!$C:$C,"劳务派遣",'1-2 人员岗位信息'!$B:$B,$D72)</f>
        <v>0</v>
      </c>
      <c r="BI72" s="297"/>
      <c r="BJ72" s="175">
        <f t="shared" si="148"/>
        <v>0</v>
      </c>
      <c r="BK72" s="175">
        <f>SUMIFS('1-2 人员岗位信息'!Q:Q,'1-2 人员岗位信息'!$C:$C,"劳务派遣",'1-2 人员岗位信息'!$B:$B,$D72)</f>
        <v>0</v>
      </c>
      <c r="BL72" s="306"/>
      <c r="BM72" s="310"/>
      <c r="BN72" s="314"/>
    </row>
    <row r="73" s="262" customFormat="1" ht="33.95" hidden="1" customHeight="1" outlineLevel="5" spans="2:66">
      <c r="B73" s="175" t="s">
        <v>747</v>
      </c>
      <c r="C73" s="282" t="s">
        <v>866</v>
      </c>
      <c r="D73" s="262" t="s">
        <v>842</v>
      </c>
      <c r="E73" s="175" t="s">
        <v>843</v>
      </c>
      <c r="F73" s="175"/>
      <c r="G73" s="175" t="s">
        <v>751</v>
      </c>
      <c r="H73" s="175">
        <f t="shared" si="132"/>
        <v>0</v>
      </c>
      <c r="I73" s="175" t="s">
        <v>752</v>
      </c>
      <c r="J73" s="175" t="e">
        <f t="shared" si="133"/>
        <v>#DIV/0!</v>
      </c>
      <c r="K73" s="175" t="s">
        <v>753</v>
      </c>
      <c r="L73" s="175" t="e">
        <f t="shared" si="134"/>
        <v>#DIV/0!</v>
      </c>
      <c r="M73" s="175" t="s">
        <v>754</v>
      </c>
      <c r="N73" s="175">
        <f t="shared" si="135"/>
        <v>0</v>
      </c>
      <c r="O73" s="175"/>
      <c r="P73" s="289"/>
      <c r="Q73" s="289"/>
      <c r="R73" s="289"/>
      <c r="S73" s="289"/>
      <c r="T73" s="289"/>
      <c r="U73" s="289"/>
      <c r="V73" s="289"/>
      <c r="W73" s="289"/>
      <c r="X73" s="289"/>
      <c r="Y73" s="289"/>
      <c r="Z73" s="289"/>
      <c r="AA73" s="289"/>
      <c r="AB73" s="175">
        <f t="shared" si="136"/>
        <v>0</v>
      </c>
      <c r="AC73" s="175">
        <f t="shared" si="137"/>
        <v>0</v>
      </c>
      <c r="AD73" s="175">
        <f>SUMIFS('1-2 人员岗位信息'!F:F,'1-2 人员岗位信息'!$C:$C,"劳务派遣",'1-2 人员岗位信息'!$B:$B,$D73)</f>
        <v>0</v>
      </c>
      <c r="AE73" s="297"/>
      <c r="AF73" s="175">
        <f t="shared" si="138"/>
        <v>0</v>
      </c>
      <c r="AG73" s="175">
        <f>SUMIFS('1-2 人员岗位信息'!G:G,'1-2 人员岗位信息'!$C:$C,"劳务派遣",'1-2 人员岗位信息'!$B:$B,$D73)</f>
        <v>0</v>
      </c>
      <c r="AH73" s="297"/>
      <c r="AI73" s="175">
        <f t="shared" si="139"/>
        <v>0</v>
      </c>
      <c r="AJ73" s="175">
        <f>SUMIFS('1-2 人员岗位信息'!H:H,'1-2 人员岗位信息'!$C:$C,"劳务派遣",'1-2 人员岗位信息'!$B:$B,$D73)</f>
        <v>0</v>
      </c>
      <c r="AK73" s="297"/>
      <c r="AL73" s="175">
        <f t="shared" si="140"/>
        <v>0</v>
      </c>
      <c r="AM73" s="175">
        <f>SUMIFS('1-2 人员岗位信息'!I:I,'1-2 人员岗位信息'!$C:$C,"劳务派遣",'1-2 人员岗位信息'!$B:$B,$D73)</f>
        <v>0</v>
      </c>
      <c r="AN73" s="297"/>
      <c r="AO73" s="175">
        <f t="shared" si="141"/>
        <v>0</v>
      </c>
      <c r="AP73" s="175">
        <f>SUMIFS('1-2 人员岗位信息'!J:J,'1-2 人员岗位信息'!$C:$C,"劳务派遣",'1-2 人员岗位信息'!$B:$B,$D73)</f>
        <v>0</v>
      </c>
      <c r="AQ73" s="297"/>
      <c r="AR73" s="175">
        <f t="shared" si="142"/>
        <v>0</v>
      </c>
      <c r="AS73" s="175">
        <f>SUMIFS('1-2 人员岗位信息'!K:K,'1-2 人员岗位信息'!$C:$C,"劳务派遣",'1-2 人员岗位信息'!$B:$B,$D73)</f>
        <v>0</v>
      </c>
      <c r="AT73" s="297"/>
      <c r="AU73" s="175">
        <f t="shared" si="143"/>
        <v>0</v>
      </c>
      <c r="AV73" s="175">
        <f>SUMIFS('1-2 人员岗位信息'!L:L,'1-2 人员岗位信息'!$C:$C,"劳务派遣",'1-2 人员岗位信息'!$B:$B,$D73)</f>
        <v>0</v>
      </c>
      <c r="AW73" s="297"/>
      <c r="AX73" s="175">
        <f t="shared" si="144"/>
        <v>0</v>
      </c>
      <c r="AY73" s="175">
        <f>SUMIFS('1-2 人员岗位信息'!M:M,'1-2 人员岗位信息'!$C:$C,"劳务派遣",'1-2 人员岗位信息'!$B:$B,$D73)</f>
        <v>0</v>
      </c>
      <c r="AZ73" s="297"/>
      <c r="BA73" s="175">
        <f t="shared" si="145"/>
        <v>0</v>
      </c>
      <c r="BB73" s="175">
        <f>SUMIFS('1-2 人员岗位信息'!N:N,'1-2 人员岗位信息'!$C:$C,"劳务派遣",'1-2 人员岗位信息'!$B:$B,$D73)</f>
        <v>0</v>
      </c>
      <c r="BC73" s="297"/>
      <c r="BD73" s="175">
        <f t="shared" si="146"/>
        <v>0</v>
      </c>
      <c r="BE73" s="175">
        <f>SUMIFS('1-2 人员岗位信息'!O:O,'1-2 人员岗位信息'!$C:$C,"劳务派遣",'1-2 人员岗位信息'!$B:$B,$D73)</f>
        <v>0</v>
      </c>
      <c r="BF73" s="297"/>
      <c r="BG73" s="175">
        <f t="shared" si="147"/>
        <v>0</v>
      </c>
      <c r="BH73" s="175">
        <f>SUMIFS('1-2 人员岗位信息'!P:P,'1-2 人员岗位信息'!$C:$C,"劳务派遣",'1-2 人员岗位信息'!$B:$B,$D73)</f>
        <v>0</v>
      </c>
      <c r="BI73" s="297"/>
      <c r="BJ73" s="175">
        <f t="shared" si="148"/>
        <v>0</v>
      </c>
      <c r="BK73" s="175">
        <f>SUMIFS('1-2 人员岗位信息'!Q:Q,'1-2 人员岗位信息'!$C:$C,"劳务派遣",'1-2 人员岗位信息'!$B:$B,$D73)</f>
        <v>0</v>
      </c>
      <c r="BL73" s="306"/>
      <c r="BM73" s="310"/>
      <c r="BN73" s="314"/>
    </row>
    <row r="74" s="262" customFormat="1" ht="33.95" hidden="1" customHeight="1" outlineLevel="5" spans="2:66">
      <c r="B74" s="175" t="s">
        <v>747</v>
      </c>
      <c r="C74" s="282" t="s">
        <v>867</v>
      </c>
      <c r="D74" s="262" t="s">
        <v>845</v>
      </c>
      <c r="E74" s="175" t="s">
        <v>846</v>
      </c>
      <c r="F74" s="175"/>
      <c r="G74" s="175" t="s">
        <v>751</v>
      </c>
      <c r="H74" s="175">
        <f t="shared" si="132"/>
        <v>0</v>
      </c>
      <c r="I74" s="175" t="s">
        <v>752</v>
      </c>
      <c r="J74" s="175" t="e">
        <f t="shared" si="133"/>
        <v>#DIV/0!</v>
      </c>
      <c r="K74" s="175" t="s">
        <v>753</v>
      </c>
      <c r="L74" s="175" t="e">
        <f t="shared" si="134"/>
        <v>#DIV/0!</v>
      </c>
      <c r="M74" s="175" t="s">
        <v>754</v>
      </c>
      <c r="N74" s="175">
        <f t="shared" si="135"/>
        <v>0</v>
      </c>
      <c r="O74" s="175"/>
      <c r="P74" s="289"/>
      <c r="Q74" s="289"/>
      <c r="R74" s="289"/>
      <c r="S74" s="289"/>
      <c r="T74" s="289"/>
      <c r="U74" s="289"/>
      <c r="V74" s="289"/>
      <c r="W74" s="289"/>
      <c r="X74" s="289"/>
      <c r="Y74" s="289"/>
      <c r="Z74" s="289"/>
      <c r="AA74" s="289"/>
      <c r="AB74" s="175">
        <f t="shared" si="136"/>
        <v>0</v>
      </c>
      <c r="AC74" s="175">
        <f t="shared" si="137"/>
        <v>0</v>
      </c>
      <c r="AD74" s="175">
        <f>SUMIFS('1-2 人员岗位信息'!F:F,'1-2 人员岗位信息'!$C:$C,"劳务派遣",'1-2 人员岗位信息'!$B:$B,$D74)</f>
        <v>0</v>
      </c>
      <c r="AE74" s="297"/>
      <c r="AF74" s="175">
        <f t="shared" si="138"/>
        <v>0</v>
      </c>
      <c r="AG74" s="175">
        <f>SUMIFS('1-2 人员岗位信息'!G:G,'1-2 人员岗位信息'!$C:$C,"劳务派遣",'1-2 人员岗位信息'!$B:$B,$D74)</f>
        <v>0</v>
      </c>
      <c r="AH74" s="297"/>
      <c r="AI74" s="175">
        <f t="shared" si="139"/>
        <v>0</v>
      </c>
      <c r="AJ74" s="175">
        <f>SUMIFS('1-2 人员岗位信息'!H:H,'1-2 人员岗位信息'!$C:$C,"劳务派遣",'1-2 人员岗位信息'!$B:$B,$D74)</f>
        <v>0</v>
      </c>
      <c r="AK74" s="297"/>
      <c r="AL74" s="175">
        <f t="shared" si="140"/>
        <v>0</v>
      </c>
      <c r="AM74" s="175">
        <f>SUMIFS('1-2 人员岗位信息'!I:I,'1-2 人员岗位信息'!$C:$C,"劳务派遣",'1-2 人员岗位信息'!$B:$B,$D74)</f>
        <v>0</v>
      </c>
      <c r="AN74" s="297"/>
      <c r="AO74" s="175">
        <f t="shared" si="141"/>
        <v>0</v>
      </c>
      <c r="AP74" s="175">
        <f>SUMIFS('1-2 人员岗位信息'!J:J,'1-2 人员岗位信息'!$C:$C,"劳务派遣",'1-2 人员岗位信息'!$B:$B,$D74)</f>
        <v>0</v>
      </c>
      <c r="AQ74" s="297"/>
      <c r="AR74" s="175">
        <f t="shared" si="142"/>
        <v>0</v>
      </c>
      <c r="AS74" s="175">
        <f>SUMIFS('1-2 人员岗位信息'!K:K,'1-2 人员岗位信息'!$C:$C,"劳务派遣",'1-2 人员岗位信息'!$B:$B,$D74)</f>
        <v>0</v>
      </c>
      <c r="AT74" s="297"/>
      <c r="AU74" s="175">
        <f t="shared" si="143"/>
        <v>0</v>
      </c>
      <c r="AV74" s="175">
        <f>SUMIFS('1-2 人员岗位信息'!L:L,'1-2 人员岗位信息'!$C:$C,"劳务派遣",'1-2 人员岗位信息'!$B:$B,$D74)</f>
        <v>0</v>
      </c>
      <c r="AW74" s="297"/>
      <c r="AX74" s="175">
        <f t="shared" si="144"/>
        <v>0</v>
      </c>
      <c r="AY74" s="175">
        <f>SUMIFS('1-2 人员岗位信息'!M:M,'1-2 人员岗位信息'!$C:$C,"劳务派遣",'1-2 人员岗位信息'!$B:$B,$D74)</f>
        <v>0</v>
      </c>
      <c r="AZ74" s="297"/>
      <c r="BA74" s="175">
        <f t="shared" si="145"/>
        <v>0</v>
      </c>
      <c r="BB74" s="175">
        <f>SUMIFS('1-2 人员岗位信息'!N:N,'1-2 人员岗位信息'!$C:$C,"劳务派遣",'1-2 人员岗位信息'!$B:$B,$D74)</f>
        <v>0</v>
      </c>
      <c r="BC74" s="297"/>
      <c r="BD74" s="175">
        <f t="shared" si="146"/>
        <v>0</v>
      </c>
      <c r="BE74" s="175">
        <f>SUMIFS('1-2 人员岗位信息'!O:O,'1-2 人员岗位信息'!$C:$C,"劳务派遣",'1-2 人员岗位信息'!$B:$B,$D74)</f>
        <v>0</v>
      </c>
      <c r="BF74" s="297"/>
      <c r="BG74" s="175">
        <f t="shared" si="147"/>
        <v>0</v>
      </c>
      <c r="BH74" s="175">
        <f>SUMIFS('1-2 人员岗位信息'!P:P,'1-2 人员岗位信息'!$C:$C,"劳务派遣",'1-2 人员岗位信息'!$B:$B,$D74)</f>
        <v>0</v>
      </c>
      <c r="BI74" s="297"/>
      <c r="BJ74" s="175">
        <f t="shared" si="148"/>
        <v>0</v>
      </c>
      <c r="BK74" s="175">
        <f>SUMIFS('1-2 人员岗位信息'!Q:Q,'1-2 人员岗位信息'!$C:$C,"劳务派遣",'1-2 人员岗位信息'!$B:$B,$D74)</f>
        <v>0</v>
      </c>
      <c r="BL74" s="306"/>
      <c r="BM74" s="310"/>
      <c r="BN74" s="314"/>
    </row>
    <row r="75" s="262" customFormat="1" ht="33.95" hidden="1" customHeight="1" outlineLevel="5" spans="2:66">
      <c r="B75" s="175" t="s">
        <v>747</v>
      </c>
      <c r="C75" s="282" t="s">
        <v>868</v>
      </c>
      <c r="D75" s="262" t="s">
        <v>848</v>
      </c>
      <c r="E75" s="175" t="s">
        <v>849</v>
      </c>
      <c r="F75" s="175"/>
      <c r="G75" s="175" t="s">
        <v>751</v>
      </c>
      <c r="H75" s="175">
        <f t="shared" si="132"/>
        <v>0</v>
      </c>
      <c r="I75" s="175" t="s">
        <v>752</v>
      </c>
      <c r="J75" s="175" t="e">
        <f t="shared" si="133"/>
        <v>#DIV/0!</v>
      </c>
      <c r="K75" s="175" t="s">
        <v>753</v>
      </c>
      <c r="L75" s="175" t="e">
        <f t="shared" si="134"/>
        <v>#DIV/0!</v>
      </c>
      <c r="M75" s="175" t="s">
        <v>754</v>
      </c>
      <c r="N75" s="175">
        <f t="shared" si="135"/>
        <v>0</v>
      </c>
      <c r="O75" s="175"/>
      <c r="P75" s="289"/>
      <c r="Q75" s="289"/>
      <c r="R75" s="289"/>
      <c r="S75" s="289"/>
      <c r="T75" s="289"/>
      <c r="U75" s="289"/>
      <c r="V75" s="289"/>
      <c r="W75" s="289"/>
      <c r="X75" s="289"/>
      <c r="Y75" s="289"/>
      <c r="Z75" s="289"/>
      <c r="AA75" s="289"/>
      <c r="AB75" s="175">
        <f t="shared" si="136"/>
        <v>0</v>
      </c>
      <c r="AC75" s="175">
        <f t="shared" si="137"/>
        <v>0</v>
      </c>
      <c r="AD75" s="175">
        <f>SUMIFS('1-2 人员岗位信息'!F:F,'1-2 人员岗位信息'!$C:$C,"劳务派遣",'1-2 人员岗位信息'!$B:$B,$D75)</f>
        <v>0</v>
      </c>
      <c r="AE75" s="297"/>
      <c r="AF75" s="175">
        <f t="shared" si="138"/>
        <v>0</v>
      </c>
      <c r="AG75" s="175">
        <f>SUMIFS('1-2 人员岗位信息'!G:G,'1-2 人员岗位信息'!$C:$C,"劳务派遣",'1-2 人员岗位信息'!$B:$B,$D75)</f>
        <v>0</v>
      </c>
      <c r="AH75" s="297"/>
      <c r="AI75" s="175">
        <f t="shared" si="139"/>
        <v>0</v>
      </c>
      <c r="AJ75" s="175">
        <f>SUMIFS('1-2 人员岗位信息'!H:H,'1-2 人员岗位信息'!$C:$C,"劳务派遣",'1-2 人员岗位信息'!$B:$B,$D75)</f>
        <v>0</v>
      </c>
      <c r="AK75" s="297"/>
      <c r="AL75" s="175">
        <f t="shared" si="140"/>
        <v>0</v>
      </c>
      <c r="AM75" s="175">
        <f>SUMIFS('1-2 人员岗位信息'!I:I,'1-2 人员岗位信息'!$C:$C,"劳务派遣",'1-2 人员岗位信息'!$B:$B,$D75)</f>
        <v>0</v>
      </c>
      <c r="AN75" s="297"/>
      <c r="AO75" s="175">
        <f t="shared" si="141"/>
        <v>0</v>
      </c>
      <c r="AP75" s="175">
        <f>SUMIFS('1-2 人员岗位信息'!J:J,'1-2 人员岗位信息'!$C:$C,"劳务派遣",'1-2 人员岗位信息'!$B:$B,$D75)</f>
        <v>0</v>
      </c>
      <c r="AQ75" s="297"/>
      <c r="AR75" s="175">
        <f t="shared" si="142"/>
        <v>0</v>
      </c>
      <c r="AS75" s="175">
        <f>SUMIFS('1-2 人员岗位信息'!K:K,'1-2 人员岗位信息'!$C:$C,"劳务派遣",'1-2 人员岗位信息'!$B:$B,$D75)</f>
        <v>0</v>
      </c>
      <c r="AT75" s="297"/>
      <c r="AU75" s="175">
        <f t="shared" si="143"/>
        <v>0</v>
      </c>
      <c r="AV75" s="175">
        <f>SUMIFS('1-2 人员岗位信息'!L:L,'1-2 人员岗位信息'!$C:$C,"劳务派遣",'1-2 人员岗位信息'!$B:$B,$D75)</f>
        <v>0</v>
      </c>
      <c r="AW75" s="297"/>
      <c r="AX75" s="175">
        <f t="shared" si="144"/>
        <v>0</v>
      </c>
      <c r="AY75" s="175">
        <f>SUMIFS('1-2 人员岗位信息'!M:M,'1-2 人员岗位信息'!$C:$C,"劳务派遣",'1-2 人员岗位信息'!$B:$B,$D75)</f>
        <v>0</v>
      </c>
      <c r="AZ75" s="297"/>
      <c r="BA75" s="175">
        <f t="shared" si="145"/>
        <v>0</v>
      </c>
      <c r="BB75" s="175">
        <f>SUMIFS('1-2 人员岗位信息'!N:N,'1-2 人员岗位信息'!$C:$C,"劳务派遣",'1-2 人员岗位信息'!$B:$B,$D75)</f>
        <v>0</v>
      </c>
      <c r="BC75" s="297"/>
      <c r="BD75" s="175">
        <f t="shared" si="146"/>
        <v>0</v>
      </c>
      <c r="BE75" s="175">
        <f>SUMIFS('1-2 人员岗位信息'!O:O,'1-2 人员岗位信息'!$C:$C,"劳务派遣",'1-2 人员岗位信息'!$B:$B,$D75)</f>
        <v>0</v>
      </c>
      <c r="BF75" s="297"/>
      <c r="BG75" s="175">
        <f t="shared" si="147"/>
        <v>0</v>
      </c>
      <c r="BH75" s="175">
        <f>SUMIFS('1-2 人员岗位信息'!P:P,'1-2 人员岗位信息'!$C:$C,"劳务派遣",'1-2 人员岗位信息'!$B:$B,$D75)</f>
        <v>0</v>
      </c>
      <c r="BI75" s="297"/>
      <c r="BJ75" s="175">
        <f t="shared" si="148"/>
        <v>0</v>
      </c>
      <c r="BK75" s="175">
        <f>SUMIFS('1-2 人员岗位信息'!Q:Q,'1-2 人员岗位信息'!$C:$C,"劳务派遣",'1-2 人员岗位信息'!$B:$B,$D75)</f>
        <v>0</v>
      </c>
      <c r="BL75" s="306"/>
      <c r="BM75" s="310"/>
      <c r="BN75" s="314"/>
    </row>
    <row r="76" s="262" customFormat="1" ht="33.95" hidden="1" customHeight="1" outlineLevel="5" spans="2:66">
      <c r="B76" s="175" t="s">
        <v>747</v>
      </c>
      <c r="C76" s="282" t="s">
        <v>869</v>
      </c>
      <c r="D76" s="262" t="s">
        <v>851</v>
      </c>
      <c r="E76" s="175" t="s">
        <v>852</v>
      </c>
      <c r="F76" s="175"/>
      <c r="G76" s="175" t="s">
        <v>751</v>
      </c>
      <c r="H76" s="175">
        <f t="shared" si="132"/>
        <v>0</v>
      </c>
      <c r="I76" s="175" t="s">
        <v>752</v>
      </c>
      <c r="J76" s="175" t="e">
        <f t="shared" si="133"/>
        <v>#DIV/0!</v>
      </c>
      <c r="K76" s="175" t="s">
        <v>753</v>
      </c>
      <c r="L76" s="175" t="e">
        <f t="shared" si="134"/>
        <v>#DIV/0!</v>
      </c>
      <c r="M76" s="175" t="s">
        <v>754</v>
      </c>
      <c r="N76" s="175">
        <f t="shared" si="135"/>
        <v>0</v>
      </c>
      <c r="O76" s="175"/>
      <c r="P76" s="289"/>
      <c r="Q76" s="289"/>
      <c r="R76" s="289"/>
      <c r="S76" s="289"/>
      <c r="T76" s="289"/>
      <c r="U76" s="289"/>
      <c r="V76" s="289"/>
      <c r="W76" s="289"/>
      <c r="X76" s="289"/>
      <c r="Y76" s="289"/>
      <c r="Z76" s="289"/>
      <c r="AA76" s="289"/>
      <c r="AB76" s="175">
        <f t="shared" si="136"/>
        <v>0</v>
      </c>
      <c r="AC76" s="175">
        <f t="shared" si="137"/>
        <v>0</v>
      </c>
      <c r="AD76" s="175">
        <f>SUMIFS('1-2 人员岗位信息'!F:F,'1-2 人员岗位信息'!$C:$C,"劳务派遣",'1-2 人员岗位信息'!$B:$B,$D76)</f>
        <v>0</v>
      </c>
      <c r="AE76" s="297"/>
      <c r="AF76" s="175">
        <f t="shared" si="138"/>
        <v>0</v>
      </c>
      <c r="AG76" s="175">
        <f>SUMIFS('1-2 人员岗位信息'!G:G,'1-2 人员岗位信息'!$C:$C,"劳务派遣",'1-2 人员岗位信息'!$B:$B,$D76)</f>
        <v>0</v>
      </c>
      <c r="AH76" s="297"/>
      <c r="AI76" s="175">
        <f t="shared" si="139"/>
        <v>0</v>
      </c>
      <c r="AJ76" s="175">
        <f>SUMIFS('1-2 人员岗位信息'!H:H,'1-2 人员岗位信息'!$C:$C,"劳务派遣",'1-2 人员岗位信息'!$B:$B,$D76)</f>
        <v>0</v>
      </c>
      <c r="AK76" s="297"/>
      <c r="AL76" s="175">
        <f t="shared" si="140"/>
        <v>0</v>
      </c>
      <c r="AM76" s="175">
        <f>SUMIFS('1-2 人员岗位信息'!I:I,'1-2 人员岗位信息'!$C:$C,"劳务派遣",'1-2 人员岗位信息'!$B:$B,$D76)</f>
        <v>0</v>
      </c>
      <c r="AN76" s="297"/>
      <c r="AO76" s="175">
        <f t="shared" si="141"/>
        <v>0</v>
      </c>
      <c r="AP76" s="175">
        <f>SUMIFS('1-2 人员岗位信息'!J:J,'1-2 人员岗位信息'!$C:$C,"劳务派遣",'1-2 人员岗位信息'!$B:$B,$D76)</f>
        <v>0</v>
      </c>
      <c r="AQ76" s="297"/>
      <c r="AR76" s="175">
        <f t="shared" si="142"/>
        <v>0</v>
      </c>
      <c r="AS76" s="175">
        <f>SUMIFS('1-2 人员岗位信息'!K:K,'1-2 人员岗位信息'!$C:$C,"劳务派遣",'1-2 人员岗位信息'!$B:$B,$D76)</f>
        <v>0</v>
      </c>
      <c r="AT76" s="297"/>
      <c r="AU76" s="175">
        <f t="shared" si="143"/>
        <v>0</v>
      </c>
      <c r="AV76" s="175">
        <f>SUMIFS('1-2 人员岗位信息'!L:L,'1-2 人员岗位信息'!$C:$C,"劳务派遣",'1-2 人员岗位信息'!$B:$B,$D76)</f>
        <v>0</v>
      </c>
      <c r="AW76" s="297"/>
      <c r="AX76" s="175">
        <f t="shared" si="144"/>
        <v>0</v>
      </c>
      <c r="AY76" s="175">
        <f>SUMIFS('1-2 人员岗位信息'!M:M,'1-2 人员岗位信息'!$C:$C,"劳务派遣",'1-2 人员岗位信息'!$B:$B,$D76)</f>
        <v>0</v>
      </c>
      <c r="AZ76" s="297"/>
      <c r="BA76" s="175">
        <f t="shared" si="145"/>
        <v>0</v>
      </c>
      <c r="BB76" s="175">
        <f>SUMIFS('1-2 人员岗位信息'!N:N,'1-2 人员岗位信息'!$C:$C,"劳务派遣",'1-2 人员岗位信息'!$B:$B,$D76)</f>
        <v>0</v>
      </c>
      <c r="BC76" s="297"/>
      <c r="BD76" s="175">
        <f t="shared" si="146"/>
        <v>0</v>
      </c>
      <c r="BE76" s="175">
        <f>SUMIFS('1-2 人员岗位信息'!O:O,'1-2 人员岗位信息'!$C:$C,"劳务派遣",'1-2 人员岗位信息'!$B:$B,$D76)</f>
        <v>0</v>
      </c>
      <c r="BF76" s="297"/>
      <c r="BG76" s="175">
        <f t="shared" si="147"/>
        <v>0</v>
      </c>
      <c r="BH76" s="175">
        <f>SUMIFS('1-2 人员岗位信息'!P:P,'1-2 人员岗位信息'!$C:$C,"劳务派遣",'1-2 人员岗位信息'!$B:$B,$D76)</f>
        <v>0</v>
      </c>
      <c r="BI76" s="297"/>
      <c r="BJ76" s="175">
        <f t="shared" si="148"/>
        <v>0</v>
      </c>
      <c r="BK76" s="175">
        <f>SUMIFS('1-2 人员岗位信息'!Q:Q,'1-2 人员岗位信息'!$C:$C,"劳务派遣",'1-2 人员岗位信息'!$B:$B,$D76)</f>
        <v>0</v>
      </c>
      <c r="BL76" s="306"/>
      <c r="BM76" s="310"/>
      <c r="BN76" s="314"/>
    </row>
    <row r="77" s="262" customFormat="1" ht="33.95" hidden="1" customHeight="1" outlineLevel="5" spans="2:66">
      <c r="B77" s="175" t="s">
        <v>747</v>
      </c>
      <c r="C77" s="282" t="s">
        <v>870</v>
      </c>
      <c r="D77" s="262" t="s">
        <v>854</v>
      </c>
      <c r="E77" s="175" t="s">
        <v>855</v>
      </c>
      <c r="F77" s="175"/>
      <c r="G77" s="175" t="s">
        <v>751</v>
      </c>
      <c r="H77" s="175">
        <f t="shared" si="132"/>
        <v>0</v>
      </c>
      <c r="I77" s="175" t="s">
        <v>752</v>
      </c>
      <c r="J77" s="175" t="e">
        <f t="shared" si="133"/>
        <v>#DIV/0!</v>
      </c>
      <c r="K77" s="175" t="s">
        <v>753</v>
      </c>
      <c r="L77" s="175" t="e">
        <f t="shared" si="134"/>
        <v>#DIV/0!</v>
      </c>
      <c r="M77" s="175" t="s">
        <v>754</v>
      </c>
      <c r="N77" s="175">
        <f t="shared" si="135"/>
        <v>0</v>
      </c>
      <c r="O77" s="175"/>
      <c r="P77" s="289"/>
      <c r="Q77" s="289"/>
      <c r="R77" s="289"/>
      <c r="S77" s="289"/>
      <c r="T77" s="289"/>
      <c r="U77" s="289"/>
      <c r="V77" s="289"/>
      <c r="W77" s="289"/>
      <c r="X77" s="289"/>
      <c r="Y77" s="289"/>
      <c r="Z77" s="289"/>
      <c r="AA77" s="289"/>
      <c r="AB77" s="175">
        <f t="shared" si="136"/>
        <v>0</v>
      </c>
      <c r="AC77" s="175">
        <f t="shared" si="137"/>
        <v>0</v>
      </c>
      <c r="AD77" s="175">
        <f>SUMIFS('1-2 人员岗位信息'!F:F,'1-2 人员岗位信息'!$C:$C,"劳务派遣",'1-2 人员岗位信息'!$B:$B,$D77)</f>
        <v>0</v>
      </c>
      <c r="AE77" s="297"/>
      <c r="AF77" s="175">
        <f t="shared" si="138"/>
        <v>0</v>
      </c>
      <c r="AG77" s="175">
        <f>SUMIFS('1-2 人员岗位信息'!G:G,'1-2 人员岗位信息'!$C:$C,"劳务派遣",'1-2 人员岗位信息'!$B:$B,$D77)</f>
        <v>0</v>
      </c>
      <c r="AH77" s="297"/>
      <c r="AI77" s="175">
        <f t="shared" si="139"/>
        <v>0</v>
      </c>
      <c r="AJ77" s="175">
        <f>SUMIFS('1-2 人员岗位信息'!H:H,'1-2 人员岗位信息'!$C:$C,"劳务派遣",'1-2 人员岗位信息'!$B:$B,$D77)</f>
        <v>0</v>
      </c>
      <c r="AK77" s="297"/>
      <c r="AL77" s="175">
        <f t="shared" si="140"/>
        <v>0</v>
      </c>
      <c r="AM77" s="175">
        <f>SUMIFS('1-2 人员岗位信息'!I:I,'1-2 人员岗位信息'!$C:$C,"劳务派遣",'1-2 人员岗位信息'!$B:$B,$D77)</f>
        <v>0</v>
      </c>
      <c r="AN77" s="297"/>
      <c r="AO77" s="175">
        <f t="shared" si="141"/>
        <v>0</v>
      </c>
      <c r="AP77" s="175">
        <f>SUMIFS('1-2 人员岗位信息'!J:J,'1-2 人员岗位信息'!$C:$C,"劳务派遣",'1-2 人员岗位信息'!$B:$B,$D77)</f>
        <v>0</v>
      </c>
      <c r="AQ77" s="297"/>
      <c r="AR77" s="175">
        <f t="shared" si="142"/>
        <v>0</v>
      </c>
      <c r="AS77" s="175">
        <f>SUMIFS('1-2 人员岗位信息'!K:K,'1-2 人员岗位信息'!$C:$C,"劳务派遣",'1-2 人员岗位信息'!$B:$B,$D77)</f>
        <v>0</v>
      </c>
      <c r="AT77" s="297"/>
      <c r="AU77" s="175">
        <f t="shared" si="143"/>
        <v>0</v>
      </c>
      <c r="AV77" s="175">
        <f>SUMIFS('1-2 人员岗位信息'!L:L,'1-2 人员岗位信息'!$C:$C,"劳务派遣",'1-2 人员岗位信息'!$B:$B,$D77)</f>
        <v>0</v>
      </c>
      <c r="AW77" s="297"/>
      <c r="AX77" s="175">
        <f t="shared" si="144"/>
        <v>0</v>
      </c>
      <c r="AY77" s="175">
        <f>SUMIFS('1-2 人员岗位信息'!M:M,'1-2 人员岗位信息'!$C:$C,"劳务派遣",'1-2 人员岗位信息'!$B:$B,$D77)</f>
        <v>0</v>
      </c>
      <c r="AZ77" s="297"/>
      <c r="BA77" s="175">
        <f t="shared" si="145"/>
        <v>0</v>
      </c>
      <c r="BB77" s="175">
        <f>SUMIFS('1-2 人员岗位信息'!N:N,'1-2 人员岗位信息'!$C:$C,"劳务派遣",'1-2 人员岗位信息'!$B:$B,$D77)</f>
        <v>0</v>
      </c>
      <c r="BC77" s="297"/>
      <c r="BD77" s="175">
        <f t="shared" si="146"/>
        <v>0</v>
      </c>
      <c r="BE77" s="175">
        <f>SUMIFS('1-2 人员岗位信息'!O:O,'1-2 人员岗位信息'!$C:$C,"劳务派遣",'1-2 人员岗位信息'!$B:$B,$D77)</f>
        <v>0</v>
      </c>
      <c r="BF77" s="297"/>
      <c r="BG77" s="175">
        <f t="shared" si="147"/>
        <v>0</v>
      </c>
      <c r="BH77" s="175">
        <f>SUMIFS('1-2 人员岗位信息'!P:P,'1-2 人员岗位信息'!$C:$C,"劳务派遣",'1-2 人员岗位信息'!$B:$B,$D77)</f>
        <v>0</v>
      </c>
      <c r="BI77" s="297"/>
      <c r="BJ77" s="175">
        <f t="shared" si="148"/>
        <v>0</v>
      </c>
      <c r="BK77" s="175">
        <f>SUMIFS('1-2 人员岗位信息'!Q:Q,'1-2 人员岗位信息'!$C:$C,"劳务派遣",'1-2 人员岗位信息'!$B:$B,$D77)</f>
        <v>0</v>
      </c>
      <c r="BL77" s="306"/>
      <c r="BM77" s="310"/>
      <c r="BN77" s="314"/>
    </row>
    <row r="78" s="262" customFormat="1" ht="33.95" hidden="1" customHeight="1" outlineLevel="5" spans="2:66">
      <c r="B78" s="175" t="s">
        <v>747</v>
      </c>
      <c r="C78" s="282" t="s">
        <v>871</v>
      </c>
      <c r="D78" s="262" t="s">
        <v>857</v>
      </c>
      <c r="E78" s="175" t="s">
        <v>858</v>
      </c>
      <c r="F78" s="175"/>
      <c r="G78" s="175" t="s">
        <v>751</v>
      </c>
      <c r="H78" s="175">
        <f t="shared" si="132"/>
        <v>0</v>
      </c>
      <c r="I78" s="175" t="s">
        <v>752</v>
      </c>
      <c r="J78" s="175" t="e">
        <f t="shared" si="133"/>
        <v>#DIV/0!</v>
      </c>
      <c r="K78" s="175" t="s">
        <v>753</v>
      </c>
      <c r="L78" s="175" t="e">
        <f t="shared" si="134"/>
        <v>#DIV/0!</v>
      </c>
      <c r="M78" s="175" t="s">
        <v>754</v>
      </c>
      <c r="N78" s="175">
        <f t="shared" si="135"/>
        <v>0</v>
      </c>
      <c r="O78" s="175"/>
      <c r="P78" s="289"/>
      <c r="Q78" s="289"/>
      <c r="R78" s="289"/>
      <c r="S78" s="289"/>
      <c r="T78" s="289"/>
      <c r="U78" s="289"/>
      <c r="V78" s="289"/>
      <c r="W78" s="289"/>
      <c r="X78" s="289"/>
      <c r="Y78" s="289"/>
      <c r="Z78" s="289"/>
      <c r="AA78" s="289"/>
      <c r="AB78" s="175">
        <f t="shared" si="136"/>
        <v>0</v>
      </c>
      <c r="AC78" s="175">
        <f t="shared" si="137"/>
        <v>0</v>
      </c>
      <c r="AD78" s="175">
        <f>SUMIFS('1-2 人员岗位信息'!F:F,'1-2 人员岗位信息'!$C:$C,"劳务派遣",'1-2 人员岗位信息'!$B:$B,$D78)</f>
        <v>0</v>
      </c>
      <c r="AE78" s="297"/>
      <c r="AF78" s="175">
        <f t="shared" si="138"/>
        <v>0</v>
      </c>
      <c r="AG78" s="175">
        <f>SUMIFS('1-2 人员岗位信息'!G:G,'1-2 人员岗位信息'!$C:$C,"劳务派遣",'1-2 人员岗位信息'!$B:$B,$D78)</f>
        <v>0</v>
      </c>
      <c r="AH78" s="297"/>
      <c r="AI78" s="175">
        <f t="shared" si="139"/>
        <v>0</v>
      </c>
      <c r="AJ78" s="175">
        <f>SUMIFS('1-2 人员岗位信息'!H:H,'1-2 人员岗位信息'!$C:$C,"劳务派遣",'1-2 人员岗位信息'!$B:$B,$D78)</f>
        <v>0</v>
      </c>
      <c r="AK78" s="297"/>
      <c r="AL78" s="175">
        <f t="shared" si="140"/>
        <v>0</v>
      </c>
      <c r="AM78" s="175">
        <f>SUMIFS('1-2 人员岗位信息'!I:I,'1-2 人员岗位信息'!$C:$C,"劳务派遣",'1-2 人员岗位信息'!$B:$B,$D78)</f>
        <v>0</v>
      </c>
      <c r="AN78" s="297"/>
      <c r="AO78" s="175">
        <f t="shared" si="141"/>
        <v>0</v>
      </c>
      <c r="AP78" s="175">
        <f>SUMIFS('1-2 人员岗位信息'!J:J,'1-2 人员岗位信息'!$C:$C,"劳务派遣",'1-2 人员岗位信息'!$B:$B,$D78)</f>
        <v>0</v>
      </c>
      <c r="AQ78" s="297"/>
      <c r="AR78" s="175">
        <f t="shared" si="142"/>
        <v>0</v>
      </c>
      <c r="AS78" s="175">
        <f>SUMIFS('1-2 人员岗位信息'!K:K,'1-2 人员岗位信息'!$C:$C,"劳务派遣",'1-2 人员岗位信息'!$B:$B,$D78)</f>
        <v>0</v>
      </c>
      <c r="AT78" s="297"/>
      <c r="AU78" s="175">
        <f t="shared" si="143"/>
        <v>0</v>
      </c>
      <c r="AV78" s="175">
        <f>SUMIFS('1-2 人员岗位信息'!L:L,'1-2 人员岗位信息'!$C:$C,"劳务派遣",'1-2 人员岗位信息'!$B:$B,$D78)</f>
        <v>0</v>
      </c>
      <c r="AW78" s="297"/>
      <c r="AX78" s="175">
        <f t="shared" si="144"/>
        <v>0</v>
      </c>
      <c r="AY78" s="175">
        <f>SUMIFS('1-2 人员岗位信息'!M:M,'1-2 人员岗位信息'!$C:$C,"劳务派遣",'1-2 人员岗位信息'!$B:$B,$D78)</f>
        <v>0</v>
      </c>
      <c r="AZ78" s="297"/>
      <c r="BA78" s="175">
        <f t="shared" si="145"/>
        <v>0</v>
      </c>
      <c r="BB78" s="175">
        <f>SUMIFS('1-2 人员岗位信息'!N:N,'1-2 人员岗位信息'!$C:$C,"劳务派遣",'1-2 人员岗位信息'!$B:$B,$D78)</f>
        <v>0</v>
      </c>
      <c r="BC78" s="297"/>
      <c r="BD78" s="175">
        <f t="shared" si="146"/>
        <v>0</v>
      </c>
      <c r="BE78" s="175">
        <f>SUMIFS('1-2 人员岗位信息'!O:O,'1-2 人员岗位信息'!$C:$C,"劳务派遣",'1-2 人员岗位信息'!$B:$B,$D78)</f>
        <v>0</v>
      </c>
      <c r="BF78" s="297"/>
      <c r="BG78" s="175">
        <f t="shared" si="147"/>
        <v>0</v>
      </c>
      <c r="BH78" s="175">
        <f>SUMIFS('1-2 人员岗位信息'!P:P,'1-2 人员岗位信息'!$C:$C,"劳务派遣",'1-2 人员岗位信息'!$B:$B,$D78)</f>
        <v>0</v>
      </c>
      <c r="BI78" s="297"/>
      <c r="BJ78" s="175">
        <f t="shared" si="148"/>
        <v>0</v>
      </c>
      <c r="BK78" s="175">
        <f>SUMIFS('1-2 人员岗位信息'!Q:Q,'1-2 人员岗位信息'!$C:$C,"劳务派遣",'1-2 人员岗位信息'!$B:$B,$D78)</f>
        <v>0</v>
      </c>
      <c r="BL78" s="306"/>
      <c r="BM78" s="310"/>
      <c r="BN78" s="314"/>
    </row>
    <row r="79" s="262" customFormat="1" ht="33.95" hidden="1" customHeight="1" outlineLevel="5" spans="2:66">
      <c r="B79" s="175" t="s">
        <v>747</v>
      </c>
      <c r="C79" s="282" t="s">
        <v>872</v>
      </c>
      <c r="D79" s="262" t="s">
        <v>860</v>
      </c>
      <c r="E79" s="175" t="s">
        <v>873</v>
      </c>
      <c r="F79" s="175"/>
      <c r="G79" s="175" t="s">
        <v>751</v>
      </c>
      <c r="H79" s="175">
        <f t="shared" si="132"/>
        <v>0</v>
      </c>
      <c r="I79" s="175" t="s">
        <v>752</v>
      </c>
      <c r="J79" s="175" t="e">
        <f t="shared" si="133"/>
        <v>#DIV/0!</v>
      </c>
      <c r="K79" s="175" t="s">
        <v>753</v>
      </c>
      <c r="L79" s="175" t="e">
        <f t="shared" si="134"/>
        <v>#DIV/0!</v>
      </c>
      <c r="M79" s="175" t="s">
        <v>754</v>
      </c>
      <c r="N79" s="175">
        <f t="shared" si="135"/>
        <v>0</v>
      </c>
      <c r="O79" s="175"/>
      <c r="P79" s="289"/>
      <c r="Q79" s="289"/>
      <c r="R79" s="289"/>
      <c r="S79" s="289"/>
      <c r="T79" s="289"/>
      <c r="U79" s="289"/>
      <c r="V79" s="289"/>
      <c r="W79" s="289"/>
      <c r="X79" s="289"/>
      <c r="Y79" s="289"/>
      <c r="Z79" s="289"/>
      <c r="AA79" s="289"/>
      <c r="AB79" s="175">
        <f t="shared" si="136"/>
        <v>0</v>
      </c>
      <c r="AC79" s="175">
        <f t="shared" si="137"/>
        <v>0</v>
      </c>
      <c r="AD79" s="175">
        <f>SUMIFS('1-2 人员岗位信息'!F:F,'1-2 人员岗位信息'!$C:$C,"劳务派遣",'1-2 人员岗位信息'!$B:$B,$D79)</f>
        <v>0</v>
      </c>
      <c r="AE79" s="297"/>
      <c r="AF79" s="175">
        <f t="shared" si="138"/>
        <v>0</v>
      </c>
      <c r="AG79" s="175">
        <f>SUMIFS('1-2 人员岗位信息'!G:G,'1-2 人员岗位信息'!$C:$C,"劳务派遣",'1-2 人员岗位信息'!$B:$B,$D79)</f>
        <v>0</v>
      </c>
      <c r="AH79" s="297"/>
      <c r="AI79" s="175">
        <f t="shared" si="139"/>
        <v>0</v>
      </c>
      <c r="AJ79" s="175">
        <f>SUMIFS('1-2 人员岗位信息'!H:H,'1-2 人员岗位信息'!$C:$C,"劳务派遣",'1-2 人员岗位信息'!$B:$B,$D79)</f>
        <v>0</v>
      </c>
      <c r="AK79" s="297"/>
      <c r="AL79" s="175">
        <f t="shared" si="140"/>
        <v>0</v>
      </c>
      <c r="AM79" s="175">
        <f>SUMIFS('1-2 人员岗位信息'!I:I,'1-2 人员岗位信息'!$C:$C,"劳务派遣",'1-2 人员岗位信息'!$B:$B,$D79)</f>
        <v>0</v>
      </c>
      <c r="AN79" s="297"/>
      <c r="AO79" s="175">
        <f t="shared" si="141"/>
        <v>0</v>
      </c>
      <c r="AP79" s="175">
        <f>SUMIFS('1-2 人员岗位信息'!J:J,'1-2 人员岗位信息'!$C:$C,"劳务派遣",'1-2 人员岗位信息'!$B:$B,$D79)</f>
        <v>0</v>
      </c>
      <c r="AQ79" s="297"/>
      <c r="AR79" s="175">
        <f t="shared" si="142"/>
        <v>0</v>
      </c>
      <c r="AS79" s="175">
        <f>SUMIFS('1-2 人员岗位信息'!K:K,'1-2 人员岗位信息'!$C:$C,"劳务派遣",'1-2 人员岗位信息'!$B:$B,$D79)</f>
        <v>0</v>
      </c>
      <c r="AT79" s="297"/>
      <c r="AU79" s="175">
        <f t="shared" si="143"/>
        <v>0</v>
      </c>
      <c r="AV79" s="175">
        <f>SUMIFS('1-2 人员岗位信息'!L:L,'1-2 人员岗位信息'!$C:$C,"劳务派遣",'1-2 人员岗位信息'!$B:$B,$D79)</f>
        <v>0</v>
      </c>
      <c r="AW79" s="297"/>
      <c r="AX79" s="175">
        <f t="shared" si="144"/>
        <v>0</v>
      </c>
      <c r="AY79" s="175">
        <f>SUMIFS('1-2 人员岗位信息'!M:M,'1-2 人员岗位信息'!$C:$C,"劳务派遣",'1-2 人员岗位信息'!$B:$B,$D79)</f>
        <v>0</v>
      </c>
      <c r="AZ79" s="297"/>
      <c r="BA79" s="175">
        <f t="shared" si="145"/>
        <v>0</v>
      </c>
      <c r="BB79" s="175">
        <f>SUMIFS('1-2 人员岗位信息'!N:N,'1-2 人员岗位信息'!$C:$C,"劳务派遣",'1-2 人员岗位信息'!$B:$B,$D79)</f>
        <v>0</v>
      </c>
      <c r="BC79" s="297"/>
      <c r="BD79" s="175">
        <f t="shared" si="146"/>
        <v>0</v>
      </c>
      <c r="BE79" s="175">
        <f>SUMIFS('1-2 人员岗位信息'!O:O,'1-2 人员岗位信息'!$C:$C,"劳务派遣",'1-2 人员岗位信息'!$B:$B,$D79)</f>
        <v>0</v>
      </c>
      <c r="BF79" s="297"/>
      <c r="BG79" s="175">
        <f t="shared" si="147"/>
        <v>0</v>
      </c>
      <c r="BH79" s="175">
        <f>SUMIFS('1-2 人员岗位信息'!P:P,'1-2 人员岗位信息'!$C:$C,"劳务派遣",'1-2 人员岗位信息'!$B:$B,$D79)</f>
        <v>0</v>
      </c>
      <c r="BI79" s="297"/>
      <c r="BJ79" s="175">
        <f t="shared" si="148"/>
        <v>0</v>
      </c>
      <c r="BK79" s="175">
        <f>SUMIFS('1-2 人员岗位信息'!Q:Q,'1-2 人员岗位信息'!$C:$C,"劳务派遣",'1-2 人员岗位信息'!$B:$B,$D79)</f>
        <v>0</v>
      </c>
      <c r="BL79" s="306"/>
      <c r="BM79" s="310"/>
      <c r="BN79" s="314"/>
    </row>
    <row r="80" s="118" customFormat="1" ht="33.95" hidden="1" customHeight="1" outlineLevel="4" collapsed="1" spans="2:66">
      <c r="B80" s="119" t="s">
        <v>742</v>
      </c>
      <c r="C80" s="120" t="s">
        <v>14</v>
      </c>
      <c r="D80" s="118" t="s">
        <v>15</v>
      </c>
      <c r="E80" s="119"/>
      <c r="F80" s="119"/>
      <c r="G80" s="119"/>
      <c r="H80" s="119">
        <f>SUM(H81:H90)</f>
        <v>226415.08992</v>
      </c>
      <c r="I80" s="119"/>
      <c r="J80" s="119"/>
      <c r="K80" s="119"/>
      <c r="L80" s="119"/>
      <c r="M80" s="119"/>
      <c r="N80" s="119"/>
      <c r="O80" s="119"/>
      <c r="P80" s="288"/>
      <c r="Q80" s="288"/>
      <c r="R80" s="288"/>
      <c r="S80" s="288"/>
      <c r="T80" s="288"/>
      <c r="U80" s="288"/>
      <c r="V80" s="288"/>
      <c r="W80" s="288"/>
      <c r="X80" s="288"/>
      <c r="Y80" s="288"/>
      <c r="Z80" s="288"/>
      <c r="AA80" s="288"/>
      <c r="AB80" s="119">
        <f t="shared" ref="AB80:AF80" si="149">SUM(AB81:AB90)</f>
        <v>226415.08992</v>
      </c>
      <c r="AC80" s="119">
        <f t="shared" si="149"/>
        <v>18867.92416</v>
      </c>
      <c r="AD80" s="119"/>
      <c r="AE80" s="119"/>
      <c r="AF80" s="119">
        <f t="shared" si="149"/>
        <v>18867.92416</v>
      </c>
      <c r="AG80" s="119"/>
      <c r="AH80" s="119"/>
      <c r="AI80" s="119">
        <f>SUM(AI81:AI90)</f>
        <v>18867.92416</v>
      </c>
      <c r="AJ80" s="119"/>
      <c r="AK80" s="119"/>
      <c r="AL80" s="119">
        <f>SUM(AL81:AL90)</f>
        <v>18867.92416</v>
      </c>
      <c r="AM80" s="119"/>
      <c r="AN80" s="119"/>
      <c r="AO80" s="119">
        <f>SUM(AO81:AO90)</f>
        <v>18867.92416</v>
      </c>
      <c r="AP80" s="119"/>
      <c r="AQ80" s="119"/>
      <c r="AR80" s="119">
        <f>SUM(AR81:AR90)</f>
        <v>18867.92416</v>
      </c>
      <c r="AS80" s="119"/>
      <c r="AT80" s="119"/>
      <c r="AU80" s="119">
        <f>SUM(AU81:AU90)</f>
        <v>18867.92416</v>
      </c>
      <c r="AV80" s="119"/>
      <c r="AW80" s="119"/>
      <c r="AX80" s="119">
        <f>SUM(AX81:AX90)</f>
        <v>18867.92416</v>
      </c>
      <c r="AY80" s="119"/>
      <c r="AZ80" s="119"/>
      <c r="BA80" s="119">
        <f>SUM(BA81:BA90)</f>
        <v>18867.92416</v>
      </c>
      <c r="BB80" s="119"/>
      <c r="BC80" s="119"/>
      <c r="BD80" s="119">
        <f>SUM(BD81:BD90)</f>
        <v>18867.92416</v>
      </c>
      <c r="BE80" s="119"/>
      <c r="BF80" s="119"/>
      <c r="BG80" s="119">
        <f>SUM(BG81:BG90)</f>
        <v>18867.92416</v>
      </c>
      <c r="BH80" s="119"/>
      <c r="BI80" s="119"/>
      <c r="BJ80" s="119">
        <f>SUM(BJ81:BJ90)</f>
        <v>18867.92416</v>
      </c>
      <c r="BK80" s="119"/>
      <c r="BL80" s="305"/>
      <c r="BM80" s="310"/>
      <c r="BN80" s="313"/>
    </row>
    <row r="81" s="262" customFormat="1" ht="33.95" hidden="1" customHeight="1" outlineLevel="5" spans="2:66">
      <c r="B81" s="175" t="s">
        <v>747</v>
      </c>
      <c r="C81" s="282" t="s">
        <v>874</v>
      </c>
      <c r="D81" s="262" t="s">
        <v>833</v>
      </c>
      <c r="E81" s="175" t="s">
        <v>875</v>
      </c>
      <c r="F81" s="175"/>
      <c r="G81" s="175" t="s">
        <v>751</v>
      </c>
      <c r="H81" s="175">
        <f t="shared" ref="H81:H90" si="150">AB81</f>
        <v>226415.08992</v>
      </c>
      <c r="I81" s="175" t="s">
        <v>752</v>
      </c>
      <c r="J81" s="175">
        <f t="shared" ref="J81:J90" si="151">SUM(AD81,AG81,AJ81,AM81,AP81,AS81,AV81,AY81,BB81,BE81,BH81,BK81)/N81</f>
        <v>4</v>
      </c>
      <c r="K81" s="175" t="s">
        <v>753</v>
      </c>
      <c r="L81" s="175">
        <f t="shared" ref="L81:L90" si="152">H81/N81/J81</f>
        <v>4716.98104</v>
      </c>
      <c r="M81" s="175" t="s">
        <v>754</v>
      </c>
      <c r="N81" s="175">
        <f t="shared" ref="N81:N90" si="153">COUNTIF(AD81,"&gt;0")+COUNTIF(AG81,"&gt;0")+COUNTIF(AJ81,"&gt;0")+COUNTIF(AM81,"&gt;0")+COUNTIF(AP81,"&gt;0")+COUNTIF(AS81,"&gt;0")+COUNTIF(AV81,"&gt;0")+COUNTIF(AY81,"&gt;0")+COUNTIF(BB81,"&gt;0")+COUNTIF(BE81,"&gt;0")+COUNTIF(BH81,"&gt;0")+COUNTIF(BK81,"&gt;0")</f>
        <v>12</v>
      </c>
      <c r="O81" s="175"/>
      <c r="P81" s="289"/>
      <c r="Q81" s="289"/>
      <c r="R81" s="289"/>
      <c r="S81" s="289"/>
      <c r="T81" s="289"/>
      <c r="U81" s="289"/>
      <c r="V81" s="289"/>
      <c r="W81" s="289"/>
      <c r="X81" s="289"/>
      <c r="Y81" s="289"/>
      <c r="Z81" s="289"/>
      <c r="AA81" s="289"/>
      <c r="AB81" s="175">
        <f>SUM(AC81,AF81,AI81,AL81,AO81,AR81,AU81,AX81,BA81,BD81,BG81,BJ81)</f>
        <v>226415.08992</v>
      </c>
      <c r="AC81" s="175">
        <f t="shared" ref="AC81:AC90" si="154">AD81*AE81</f>
        <v>18867.92416</v>
      </c>
      <c r="AD81" s="175">
        <f>SUMIFS('1-2 人员岗位信息'!F:F,'1-2 人员岗位信息'!$C:$C,"专业外包",'1-2 人员岗位信息'!$B:$B,$D81)</f>
        <v>4</v>
      </c>
      <c r="AE81" s="297">
        <v>4716.98104</v>
      </c>
      <c r="AF81" s="175">
        <f t="shared" ref="AF81:AF90" si="155">AG81*AH81</f>
        <v>18867.92416</v>
      </c>
      <c r="AG81" s="175">
        <f>SUMIFS('1-2 人员岗位信息'!G:G,'1-2 人员岗位信息'!$C:$C,"专业外包",'1-2 人员岗位信息'!$B:$B,$D81)</f>
        <v>4</v>
      </c>
      <c r="AH81" s="297">
        <v>4716.98104</v>
      </c>
      <c r="AI81" s="175">
        <f t="shared" ref="AI81:AI90" si="156">AJ81*AK81</f>
        <v>18867.92416</v>
      </c>
      <c r="AJ81" s="175">
        <f>SUMIFS('1-2 人员岗位信息'!H:H,'1-2 人员岗位信息'!$C:$C,"专业外包",'1-2 人员岗位信息'!$B:$B,$D81)</f>
        <v>4</v>
      </c>
      <c r="AK81" s="297">
        <v>4716.98104</v>
      </c>
      <c r="AL81" s="175">
        <f t="shared" ref="AL81:AL90" si="157">AM81*AN81</f>
        <v>18867.92416</v>
      </c>
      <c r="AM81" s="175">
        <f>SUMIFS('1-2 人员岗位信息'!I:I,'1-2 人员岗位信息'!$C:$C,"专业外包",'1-2 人员岗位信息'!$B:$B,$D81)</f>
        <v>4</v>
      </c>
      <c r="AN81" s="297">
        <v>4716.98104</v>
      </c>
      <c r="AO81" s="175">
        <f t="shared" ref="AO81:AO90" si="158">AP81*AQ81</f>
        <v>18867.92416</v>
      </c>
      <c r="AP81" s="175">
        <f>SUMIFS('1-2 人员岗位信息'!J:J,'1-2 人员岗位信息'!$C:$C,"专业外包",'1-2 人员岗位信息'!$B:$B,$D81)</f>
        <v>4</v>
      </c>
      <c r="AQ81" s="297">
        <v>4716.98104</v>
      </c>
      <c r="AR81" s="175">
        <f t="shared" ref="AR81:AR90" si="159">AS81*AT81</f>
        <v>18867.92416</v>
      </c>
      <c r="AS81" s="175">
        <f>SUMIFS('1-2 人员岗位信息'!K:K,'1-2 人员岗位信息'!$C:$C,"专业外包",'1-2 人员岗位信息'!$B:$B,$D81)</f>
        <v>4</v>
      </c>
      <c r="AT81" s="297">
        <v>4716.98104</v>
      </c>
      <c r="AU81" s="175">
        <f t="shared" ref="AU81:AU90" si="160">AV81*AW81</f>
        <v>18867.92416</v>
      </c>
      <c r="AV81" s="175">
        <f>SUMIFS('1-2 人员岗位信息'!L:L,'1-2 人员岗位信息'!$C:$C,"专业外包",'1-2 人员岗位信息'!$B:$B,$D81)</f>
        <v>4</v>
      </c>
      <c r="AW81" s="297">
        <v>4716.98104</v>
      </c>
      <c r="AX81" s="175">
        <f t="shared" ref="AX81:AX90" si="161">AY81*AZ81</f>
        <v>18867.92416</v>
      </c>
      <c r="AY81" s="175">
        <f>SUMIFS('1-2 人员岗位信息'!M:M,'1-2 人员岗位信息'!$C:$C,"专业外包",'1-2 人员岗位信息'!$B:$B,$D81)</f>
        <v>4</v>
      </c>
      <c r="AZ81" s="297">
        <v>4716.98104</v>
      </c>
      <c r="BA81" s="175">
        <f t="shared" ref="BA81:BA90" si="162">BB81*BC81</f>
        <v>18867.92416</v>
      </c>
      <c r="BB81" s="175">
        <f>SUMIFS('1-2 人员岗位信息'!N:N,'1-2 人员岗位信息'!$C:$C,"专业外包",'1-2 人员岗位信息'!$B:$B,$D81)</f>
        <v>4</v>
      </c>
      <c r="BC81" s="297">
        <v>4716.98104</v>
      </c>
      <c r="BD81" s="175">
        <f t="shared" ref="BD81:BD90" si="163">BE81*BF81</f>
        <v>18867.92416</v>
      </c>
      <c r="BE81" s="175">
        <f>SUMIFS('1-2 人员岗位信息'!O:O,'1-2 人员岗位信息'!$C:$C,"专业外包",'1-2 人员岗位信息'!$B:$B,$D81)</f>
        <v>4</v>
      </c>
      <c r="BF81" s="297">
        <v>4716.98104</v>
      </c>
      <c r="BG81" s="175">
        <f t="shared" ref="BG81:BG90" si="164">BH81*BI81</f>
        <v>18867.92416</v>
      </c>
      <c r="BH81" s="175">
        <f>SUMIFS('1-2 人员岗位信息'!P:P,'1-2 人员岗位信息'!$C:$C,"专业外包",'1-2 人员岗位信息'!$B:$B,$D81)</f>
        <v>4</v>
      </c>
      <c r="BI81" s="297">
        <v>4716.98104</v>
      </c>
      <c r="BJ81" s="175">
        <f t="shared" ref="BJ81:BJ90" si="165">BK81*BL81</f>
        <v>18867.92416</v>
      </c>
      <c r="BK81" s="175">
        <f>SUMIFS('1-2 人员岗位信息'!Q:Q,'1-2 人员岗位信息'!$C:$C,"专业外包",'1-2 人员岗位信息'!$B:$B,$D81)</f>
        <v>4</v>
      </c>
      <c r="BL81" s="297">
        <v>4716.98104</v>
      </c>
      <c r="BM81" s="310"/>
      <c r="BN81" s="314"/>
    </row>
    <row r="82" s="262" customFormat="1" ht="33.95" hidden="1" customHeight="1" outlineLevel="5" spans="2:66">
      <c r="B82" s="175" t="s">
        <v>747</v>
      </c>
      <c r="C82" s="282" t="s">
        <v>876</v>
      </c>
      <c r="D82" s="262" t="s">
        <v>836</v>
      </c>
      <c r="E82" s="175" t="s">
        <v>877</v>
      </c>
      <c r="F82" s="175"/>
      <c r="G82" s="175" t="s">
        <v>751</v>
      </c>
      <c r="H82" s="175">
        <f t="shared" si="150"/>
        <v>0</v>
      </c>
      <c r="I82" s="175" t="s">
        <v>752</v>
      </c>
      <c r="J82" s="175" t="e">
        <f t="shared" si="151"/>
        <v>#DIV/0!</v>
      </c>
      <c r="K82" s="175" t="s">
        <v>753</v>
      </c>
      <c r="L82" s="175" t="e">
        <f t="shared" si="152"/>
        <v>#DIV/0!</v>
      </c>
      <c r="M82" s="175" t="s">
        <v>754</v>
      </c>
      <c r="N82" s="175">
        <f t="shared" si="153"/>
        <v>0</v>
      </c>
      <c r="O82" s="175"/>
      <c r="P82" s="289"/>
      <c r="Q82" s="289"/>
      <c r="R82" s="289"/>
      <c r="S82" s="289"/>
      <c r="T82" s="289"/>
      <c r="U82" s="289"/>
      <c r="V82" s="289"/>
      <c r="W82" s="289"/>
      <c r="X82" s="289"/>
      <c r="Y82" s="289"/>
      <c r="Z82" s="289"/>
      <c r="AA82" s="289"/>
      <c r="AB82" s="175">
        <f t="shared" ref="AB82:AB90" si="166">SUM(AC82,AF82,AI82,AL82,AO82,AR82,AU82,AX82,BA82,BD82,BG82,BJ82)</f>
        <v>0</v>
      </c>
      <c r="AC82" s="175">
        <f t="shared" si="154"/>
        <v>0</v>
      </c>
      <c r="AD82" s="175">
        <f>SUMIFS('1-2 人员岗位信息'!F:F,'1-2 人员岗位信息'!$C:$C,"专业外包",'1-2 人员岗位信息'!$B:$B,$D82)</f>
        <v>0</v>
      </c>
      <c r="AE82" s="297"/>
      <c r="AF82" s="175">
        <f t="shared" si="155"/>
        <v>0</v>
      </c>
      <c r="AG82" s="175">
        <f>SUMIFS('1-2 人员岗位信息'!G:G,'1-2 人员岗位信息'!$C:$C,"专业外包",'1-2 人员岗位信息'!$B:$B,$D82)</f>
        <v>0</v>
      </c>
      <c r="AH82" s="297"/>
      <c r="AI82" s="175">
        <f t="shared" si="156"/>
        <v>0</v>
      </c>
      <c r="AJ82" s="175">
        <f>SUMIFS('1-2 人员岗位信息'!H:H,'1-2 人员岗位信息'!$C:$C,"专业外包",'1-2 人员岗位信息'!$B:$B,$D82)</f>
        <v>0</v>
      </c>
      <c r="AK82" s="297"/>
      <c r="AL82" s="175">
        <f t="shared" si="157"/>
        <v>0</v>
      </c>
      <c r="AM82" s="175">
        <f>SUMIFS('1-2 人员岗位信息'!I:I,'1-2 人员岗位信息'!$C:$C,"专业外包",'1-2 人员岗位信息'!$B:$B,$D82)</f>
        <v>0</v>
      </c>
      <c r="AN82" s="297"/>
      <c r="AO82" s="175">
        <f t="shared" si="158"/>
        <v>0</v>
      </c>
      <c r="AP82" s="175">
        <f>SUMIFS('1-2 人员岗位信息'!J:J,'1-2 人员岗位信息'!$C:$C,"专业外包",'1-2 人员岗位信息'!$B:$B,$D82)</f>
        <v>0</v>
      </c>
      <c r="AQ82" s="297"/>
      <c r="AR82" s="175">
        <f t="shared" si="159"/>
        <v>0</v>
      </c>
      <c r="AS82" s="175">
        <f>SUMIFS('1-2 人员岗位信息'!K:K,'1-2 人员岗位信息'!$C:$C,"专业外包",'1-2 人员岗位信息'!$B:$B,$D82)</f>
        <v>0</v>
      </c>
      <c r="AT82" s="297"/>
      <c r="AU82" s="175">
        <f t="shared" si="160"/>
        <v>0</v>
      </c>
      <c r="AV82" s="175">
        <f>SUMIFS('1-2 人员岗位信息'!L:L,'1-2 人员岗位信息'!$C:$C,"专业外包",'1-2 人员岗位信息'!$B:$B,$D82)</f>
        <v>0</v>
      </c>
      <c r="AW82" s="297"/>
      <c r="AX82" s="175">
        <f t="shared" si="161"/>
        <v>0</v>
      </c>
      <c r="AY82" s="175">
        <f>SUMIFS('1-2 人员岗位信息'!M:M,'1-2 人员岗位信息'!$C:$C,"专业外包",'1-2 人员岗位信息'!$B:$B,$D82)</f>
        <v>0</v>
      </c>
      <c r="AZ82" s="297"/>
      <c r="BA82" s="175">
        <f t="shared" si="162"/>
        <v>0</v>
      </c>
      <c r="BB82" s="175">
        <f>SUMIFS('1-2 人员岗位信息'!N:N,'1-2 人员岗位信息'!$C:$C,"专业外包",'1-2 人员岗位信息'!$B:$B,$D82)</f>
        <v>0</v>
      </c>
      <c r="BC82" s="297"/>
      <c r="BD82" s="175">
        <f t="shared" si="163"/>
        <v>0</v>
      </c>
      <c r="BE82" s="175">
        <f>SUMIFS('1-2 人员岗位信息'!O:O,'1-2 人员岗位信息'!$C:$C,"专业外包",'1-2 人员岗位信息'!$B:$B,$D82)</f>
        <v>0</v>
      </c>
      <c r="BF82" s="297"/>
      <c r="BG82" s="175">
        <f t="shared" si="164"/>
        <v>0</v>
      </c>
      <c r="BH82" s="175">
        <f>SUMIFS('1-2 人员岗位信息'!P:P,'1-2 人员岗位信息'!$C:$C,"专业外包",'1-2 人员岗位信息'!$B:$B,$D82)</f>
        <v>0</v>
      </c>
      <c r="BI82" s="297"/>
      <c r="BJ82" s="175">
        <f t="shared" si="165"/>
        <v>0</v>
      </c>
      <c r="BK82" s="175">
        <f>SUMIFS('1-2 人员岗位信息'!Q:Q,'1-2 人员岗位信息'!$C:$C,"专业外包",'1-2 人员岗位信息'!$B:$B,$D82)</f>
        <v>0</v>
      </c>
      <c r="BL82" s="306"/>
      <c r="BM82" s="310"/>
      <c r="BN82" s="314"/>
    </row>
    <row r="83" s="262" customFormat="1" ht="33.95" hidden="1" customHeight="1" outlineLevel="5" spans="2:66">
      <c r="B83" s="175" t="s">
        <v>747</v>
      </c>
      <c r="C83" s="282" t="s">
        <v>878</v>
      </c>
      <c r="D83" s="262" t="s">
        <v>839</v>
      </c>
      <c r="E83" s="175" t="s">
        <v>840</v>
      </c>
      <c r="F83" s="175"/>
      <c r="G83" s="175" t="s">
        <v>751</v>
      </c>
      <c r="H83" s="175">
        <f t="shared" si="150"/>
        <v>0</v>
      </c>
      <c r="I83" s="175" t="s">
        <v>752</v>
      </c>
      <c r="J83" s="175" t="e">
        <f t="shared" si="151"/>
        <v>#DIV/0!</v>
      </c>
      <c r="K83" s="175" t="s">
        <v>753</v>
      </c>
      <c r="L83" s="175" t="e">
        <f t="shared" si="152"/>
        <v>#DIV/0!</v>
      </c>
      <c r="M83" s="175" t="s">
        <v>754</v>
      </c>
      <c r="N83" s="175">
        <f t="shared" si="153"/>
        <v>0</v>
      </c>
      <c r="O83" s="175"/>
      <c r="P83" s="289"/>
      <c r="Q83" s="289"/>
      <c r="R83" s="289"/>
      <c r="S83" s="289"/>
      <c r="T83" s="289"/>
      <c r="U83" s="289"/>
      <c r="V83" s="289"/>
      <c r="W83" s="289"/>
      <c r="X83" s="289"/>
      <c r="Y83" s="289"/>
      <c r="Z83" s="289"/>
      <c r="AA83" s="289"/>
      <c r="AB83" s="175">
        <f t="shared" si="166"/>
        <v>0</v>
      </c>
      <c r="AC83" s="175">
        <f t="shared" si="154"/>
        <v>0</v>
      </c>
      <c r="AD83" s="175">
        <f>SUMIFS('1-2 人员岗位信息'!F:F,'1-2 人员岗位信息'!$C:$C,"专业外包",'1-2 人员岗位信息'!$B:$B,$D83)</f>
        <v>0</v>
      </c>
      <c r="AE83" s="297"/>
      <c r="AF83" s="175">
        <f t="shared" si="155"/>
        <v>0</v>
      </c>
      <c r="AG83" s="175">
        <f>SUMIFS('1-2 人员岗位信息'!G:G,'1-2 人员岗位信息'!$C:$C,"专业外包",'1-2 人员岗位信息'!$B:$B,$D83)</f>
        <v>0</v>
      </c>
      <c r="AH83" s="297"/>
      <c r="AI83" s="175">
        <f t="shared" si="156"/>
        <v>0</v>
      </c>
      <c r="AJ83" s="175">
        <f>SUMIFS('1-2 人员岗位信息'!H:H,'1-2 人员岗位信息'!$C:$C,"专业外包",'1-2 人员岗位信息'!$B:$B,$D83)</f>
        <v>0</v>
      </c>
      <c r="AK83" s="297"/>
      <c r="AL83" s="175">
        <f t="shared" si="157"/>
        <v>0</v>
      </c>
      <c r="AM83" s="175">
        <f>SUMIFS('1-2 人员岗位信息'!I:I,'1-2 人员岗位信息'!$C:$C,"专业外包",'1-2 人员岗位信息'!$B:$B,$D83)</f>
        <v>0</v>
      </c>
      <c r="AN83" s="297"/>
      <c r="AO83" s="175">
        <f t="shared" si="158"/>
        <v>0</v>
      </c>
      <c r="AP83" s="175">
        <f>SUMIFS('1-2 人员岗位信息'!J:J,'1-2 人员岗位信息'!$C:$C,"专业外包",'1-2 人员岗位信息'!$B:$B,$D83)</f>
        <v>0</v>
      </c>
      <c r="AQ83" s="297"/>
      <c r="AR83" s="175">
        <f t="shared" si="159"/>
        <v>0</v>
      </c>
      <c r="AS83" s="175">
        <f>SUMIFS('1-2 人员岗位信息'!K:K,'1-2 人员岗位信息'!$C:$C,"专业外包",'1-2 人员岗位信息'!$B:$B,$D83)</f>
        <v>0</v>
      </c>
      <c r="AT83" s="297"/>
      <c r="AU83" s="175">
        <f t="shared" si="160"/>
        <v>0</v>
      </c>
      <c r="AV83" s="175">
        <f>SUMIFS('1-2 人员岗位信息'!L:L,'1-2 人员岗位信息'!$C:$C,"专业外包",'1-2 人员岗位信息'!$B:$B,$D83)</f>
        <v>0</v>
      </c>
      <c r="AW83" s="297"/>
      <c r="AX83" s="175">
        <f t="shared" si="161"/>
        <v>0</v>
      </c>
      <c r="AY83" s="175">
        <f>SUMIFS('1-2 人员岗位信息'!M:M,'1-2 人员岗位信息'!$C:$C,"专业外包",'1-2 人员岗位信息'!$B:$B,$D83)</f>
        <v>0</v>
      </c>
      <c r="AZ83" s="297"/>
      <c r="BA83" s="175">
        <f t="shared" si="162"/>
        <v>0</v>
      </c>
      <c r="BB83" s="175">
        <f>SUMIFS('1-2 人员岗位信息'!N:N,'1-2 人员岗位信息'!$C:$C,"专业外包",'1-2 人员岗位信息'!$B:$B,$D83)</f>
        <v>0</v>
      </c>
      <c r="BC83" s="297"/>
      <c r="BD83" s="175">
        <f t="shared" si="163"/>
        <v>0</v>
      </c>
      <c r="BE83" s="175">
        <f>SUMIFS('1-2 人员岗位信息'!O:O,'1-2 人员岗位信息'!$C:$C,"专业外包",'1-2 人员岗位信息'!$B:$B,$D83)</f>
        <v>0</v>
      </c>
      <c r="BF83" s="297"/>
      <c r="BG83" s="175">
        <f t="shared" si="164"/>
        <v>0</v>
      </c>
      <c r="BH83" s="175">
        <f>SUMIFS('1-2 人员岗位信息'!P:P,'1-2 人员岗位信息'!$C:$C,"专业外包",'1-2 人员岗位信息'!$B:$B,$D83)</f>
        <v>0</v>
      </c>
      <c r="BI83" s="297"/>
      <c r="BJ83" s="175">
        <f t="shared" si="165"/>
        <v>0</v>
      </c>
      <c r="BK83" s="175">
        <f>SUMIFS('1-2 人员岗位信息'!Q:Q,'1-2 人员岗位信息'!$C:$C,"专业外包",'1-2 人员岗位信息'!$B:$B,$D83)</f>
        <v>0</v>
      </c>
      <c r="BL83" s="306"/>
      <c r="BM83" s="310"/>
      <c r="BN83" s="314"/>
    </row>
    <row r="84" s="262" customFormat="1" ht="33.95" hidden="1" customHeight="1" outlineLevel="5" spans="2:66">
      <c r="B84" s="175" t="s">
        <v>747</v>
      </c>
      <c r="C84" s="282" t="s">
        <v>879</v>
      </c>
      <c r="D84" s="262" t="s">
        <v>842</v>
      </c>
      <c r="E84" s="175" t="s">
        <v>843</v>
      </c>
      <c r="F84" s="175"/>
      <c r="G84" s="175" t="s">
        <v>751</v>
      </c>
      <c r="H84" s="175">
        <f t="shared" si="150"/>
        <v>0</v>
      </c>
      <c r="I84" s="175" t="s">
        <v>752</v>
      </c>
      <c r="J84" s="175" t="e">
        <f t="shared" si="151"/>
        <v>#DIV/0!</v>
      </c>
      <c r="K84" s="175" t="s">
        <v>753</v>
      </c>
      <c r="L84" s="175" t="e">
        <f t="shared" si="152"/>
        <v>#DIV/0!</v>
      </c>
      <c r="M84" s="175" t="s">
        <v>754</v>
      </c>
      <c r="N84" s="175">
        <f t="shared" si="153"/>
        <v>0</v>
      </c>
      <c r="O84" s="175"/>
      <c r="P84" s="289"/>
      <c r="Q84" s="289"/>
      <c r="R84" s="289"/>
      <c r="S84" s="289"/>
      <c r="T84" s="289"/>
      <c r="U84" s="289"/>
      <c r="V84" s="289"/>
      <c r="W84" s="289"/>
      <c r="X84" s="289"/>
      <c r="Y84" s="289"/>
      <c r="Z84" s="289"/>
      <c r="AA84" s="289"/>
      <c r="AB84" s="175">
        <f t="shared" si="166"/>
        <v>0</v>
      </c>
      <c r="AC84" s="175">
        <f t="shared" si="154"/>
        <v>0</v>
      </c>
      <c r="AD84" s="175">
        <f>SUMIFS('1-2 人员岗位信息'!F:F,'1-2 人员岗位信息'!$C:$C,"专业外包",'1-2 人员岗位信息'!$B:$B,$D84)</f>
        <v>0</v>
      </c>
      <c r="AE84" s="297"/>
      <c r="AF84" s="175">
        <f t="shared" si="155"/>
        <v>0</v>
      </c>
      <c r="AG84" s="175">
        <f>SUMIFS('1-2 人员岗位信息'!G:G,'1-2 人员岗位信息'!$C:$C,"专业外包",'1-2 人员岗位信息'!$B:$B,$D84)</f>
        <v>0</v>
      </c>
      <c r="AH84" s="297"/>
      <c r="AI84" s="175">
        <f t="shared" si="156"/>
        <v>0</v>
      </c>
      <c r="AJ84" s="175">
        <f>SUMIFS('1-2 人员岗位信息'!H:H,'1-2 人员岗位信息'!$C:$C,"专业外包",'1-2 人员岗位信息'!$B:$B,$D84)</f>
        <v>0</v>
      </c>
      <c r="AK84" s="297"/>
      <c r="AL84" s="175">
        <f t="shared" si="157"/>
        <v>0</v>
      </c>
      <c r="AM84" s="175">
        <f>SUMIFS('1-2 人员岗位信息'!I:I,'1-2 人员岗位信息'!$C:$C,"专业外包",'1-2 人员岗位信息'!$B:$B,$D84)</f>
        <v>0</v>
      </c>
      <c r="AN84" s="297"/>
      <c r="AO84" s="175">
        <f t="shared" si="158"/>
        <v>0</v>
      </c>
      <c r="AP84" s="175">
        <f>SUMIFS('1-2 人员岗位信息'!J:J,'1-2 人员岗位信息'!$C:$C,"专业外包",'1-2 人员岗位信息'!$B:$B,$D84)</f>
        <v>0</v>
      </c>
      <c r="AQ84" s="297"/>
      <c r="AR84" s="175">
        <f t="shared" si="159"/>
        <v>0</v>
      </c>
      <c r="AS84" s="175">
        <f>SUMIFS('1-2 人员岗位信息'!K:K,'1-2 人员岗位信息'!$C:$C,"专业外包",'1-2 人员岗位信息'!$B:$B,$D84)</f>
        <v>0</v>
      </c>
      <c r="AT84" s="297"/>
      <c r="AU84" s="175">
        <f t="shared" si="160"/>
        <v>0</v>
      </c>
      <c r="AV84" s="175">
        <f>SUMIFS('1-2 人员岗位信息'!L:L,'1-2 人员岗位信息'!$C:$C,"专业外包",'1-2 人员岗位信息'!$B:$B,$D84)</f>
        <v>0</v>
      </c>
      <c r="AW84" s="297"/>
      <c r="AX84" s="175">
        <f t="shared" si="161"/>
        <v>0</v>
      </c>
      <c r="AY84" s="175">
        <f>SUMIFS('1-2 人员岗位信息'!M:M,'1-2 人员岗位信息'!$C:$C,"专业外包",'1-2 人员岗位信息'!$B:$B,$D84)</f>
        <v>0</v>
      </c>
      <c r="AZ84" s="297"/>
      <c r="BA84" s="175">
        <f t="shared" si="162"/>
        <v>0</v>
      </c>
      <c r="BB84" s="175">
        <f>SUMIFS('1-2 人员岗位信息'!N:N,'1-2 人员岗位信息'!$C:$C,"专业外包",'1-2 人员岗位信息'!$B:$B,$D84)</f>
        <v>0</v>
      </c>
      <c r="BC84" s="297"/>
      <c r="BD84" s="175">
        <f t="shared" si="163"/>
        <v>0</v>
      </c>
      <c r="BE84" s="175">
        <f>SUMIFS('1-2 人员岗位信息'!O:O,'1-2 人员岗位信息'!$C:$C,"专业外包",'1-2 人员岗位信息'!$B:$B,$D84)</f>
        <v>0</v>
      </c>
      <c r="BF84" s="297"/>
      <c r="BG84" s="175">
        <f t="shared" si="164"/>
        <v>0</v>
      </c>
      <c r="BH84" s="175">
        <f>SUMIFS('1-2 人员岗位信息'!P:P,'1-2 人员岗位信息'!$C:$C,"专业外包",'1-2 人员岗位信息'!$B:$B,$D84)</f>
        <v>0</v>
      </c>
      <c r="BI84" s="297"/>
      <c r="BJ84" s="175">
        <f t="shared" si="165"/>
        <v>0</v>
      </c>
      <c r="BK84" s="175">
        <f>SUMIFS('1-2 人员岗位信息'!Q:Q,'1-2 人员岗位信息'!$C:$C,"专业外包",'1-2 人员岗位信息'!$B:$B,$D84)</f>
        <v>0</v>
      </c>
      <c r="BL84" s="306"/>
      <c r="BM84" s="310"/>
      <c r="BN84" s="314"/>
    </row>
    <row r="85" s="262" customFormat="1" ht="33.95" hidden="1" customHeight="1" outlineLevel="5" spans="2:66">
      <c r="B85" s="175" t="s">
        <v>747</v>
      </c>
      <c r="C85" s="282" t="s">
        <v>880</v>
      </c>
      <c r="D85" s="262" t="s">
        <v>845</v>
      </c>
      <c r="E85" s="175" t="s">
        <v>846</v>
      </c>
      <c r="F85" s="175"/>
      <c r="G85" s="175" t="s">
        <v>751</v>
      </c>
      <c r="H85" s="175">
        <f t="shared" si="150"/>
        <v>0</v>
      </c>
      <c r="I85" s="175" t="s">
        <v>752</v>
      </c>
      <c r="J85" s="175" t="e">
        <f t="shared" si="151"/>
        <v>#DIV/0!</v>
      </c>
      <c r="K85" s="175" t="s">
        <v>753</v>
      </c>
      <c r="L85" s="175" t="e">
        <f t="shared" si="152"/>
        <v>#DIV/0!</v>
      </c>
      <c r="M85" s="175" t="s">
        <v>754</v>
      </c>
      <c r="N85" s="175">
        <f t="shared" si="153"/>
        <v>0</v>
      </c>
      <c r="O85" s="175"/>
      <c r="P85" s="289"/>
      <c r="Q85" s="289"/>
      <c r="R85" s="289"/>
      <c r="S85" s="289"/>
      <c r="T85" s="289"/>
      <c r="U85" s="289"/>
      <c r="V85" s="289"/>
      <c r="W85" s="289"/>
      <c r="X85" s="289"/>
      <c r="Y85" s="289"/>
      <c r="Z85" s="289"/>
      <c r="AA85" s="289"/>
      <c r="AB85" s="175">
        <f t="shared" si="166"/>
        <v>0</v>
      </c>
      <c r="AC85" s="175">
        <f t="shared" si="154"/>
        <v>0</v>
      </c>
      <c r="AD85" s="175">
        <f>SUMIFS('1-2 人员岗位信息'!F:F,'1-2 人员岗位信息'!$C:$C,"专业外包",'1-2 人员岗位信息'!$B:$B,$D85)</f>
        <v>0</v>
      </c>
      <c r="AE85" s="297"/>
      <c r="AF85" s="175">
        <f t="shared" si="155"/>
        <v>0</v>
      </c>
      <c r="AG85" s="175">
        <f>SUMIFS('1-2 人员岗位信息'!G:G,'1-2 人员岗位信息'!$C:$C,"专业外包",'1-2 人员岗位信息'!$B:$B,$D85)</f>
        <v>0</v>
      </c>
      <c r="AH85" s="297"/>
      <c r="AI85" s="175">
        <f t="shared" si="156"/>
        <v>0</v>
      </c>
      <c r="AJ85" s="175">
        <f>SUMIFS('1-2 人员岗位信息'!H:H,'1-2 人员岗位信息'!$C:$C,"专业外包",'1-2 人员岗位信息'!$B:$B,$D85)</f>
        <v>0</v>
      </c>
      <c r="AK85" s="297"/>
      <c r="AL85" s="175">
        <f t="shared" si="157"/>
        <v>0</v>
      </c>
      <c r="AM85" s="175">
        <f>SUMIFS('1-2 人员岗位信息'!I:I,'1-2 人员岗位信息'!$C:$C,"专业外包",'1-2 人员岗位信息'!$B:$B,$D85)</f>
        <v>0</v>
      </c>
      <c r="AN85" s="297"/>
      <c r="AO85" s="175">
        <f t="shared" si="158"/>
        <v>0</v>
      </c>
      <c r="AP85" s="175">
        <f>SUMIFS('1-2 人员岗位信息'!J:J,'1-2 人员岗位信息'!$C:$C,"专业外包",'1-2 人员岗位信息'!$B:$B,$D85)</f>
        <v>0</v>
      </c>
      <c r="AQ85" s="297"/>
      <c r="AR85" s="175">
        <f t="shared" si="159"/>
        <v>0</v>
      </c>
      <c r="AS85" s="175">
        <f>SUMIFS('1-2 人员岗位信息'!K:K,'1-2 人员岗位信息'!$C:$C,"专业外包",'1-2 人员岗位信息'!$B:$B,$D85)</f>
        <v>0</v>
      </c>
      <c r="AT85" s="297"/>
      <c r="AU85" s="175">
        <f t="shared" si="160"/>
        <v>0</v>
      </c>
      <c r="AV85" s="175">
        <f>SUMIFS('1-2 人员岗位信息'!L:L,'1-2 人员岗位信息'!$C:$C,"专业外包",'1-2 人员岗位信息'!$B:$B,$D85)</f>
        <v>0</v>
      </c>
      <c r="AW85" s="297"/>
      <c r="AX85" s="175">
        <f t="shared" si="161"/>
        <v>0</v>
      </c>
      <c r="AY85" s="175">
        <f>SUMIFS('1-2 人员岗位信息'!M:M,'1-2 人员岗位信息'!$C:$C,"专业外包",'1-2 人员岗位信息'!$B:$B,$D85)</f>
        <v>0</v>
      </c>
      <c r="AZ85" s="297"/>
      <c r="BA85" s="175">
        <f t="shared" si="162"/>
        <v>0</v>
      </c>
      <c r="BB85" s="175">
        <f>SUMIFS('1-2 人员岗位信息'!N:N,'1-2 人员岗位信息'!$C:$C,"专业外包",'1-2 人员岗位信息'!$B:$B,$D85)</f>
        <v>0</v>
      </c>
      <c r="BC85" s="297"/>
      <c r="BD85" s="175">
        <f t="shared" si="163"/>
        <v>0</v>
      </c>
      <c r="BE85" s="175">
        <f>SUMIFS('1-2 人员岗位信息'!O:O,'1-2 人员岗位信息'!$C:$C,"专业外包",'1-2 人员岗位信息'!$B:$B,$D85)</f>
        <v>0</v>
      </c>
      <c r="BF85" s="297"/>
      <c r="BG85" s="175">
        <f t="shared" si="164"/>
        <v>0</v>
      </c>
      <c r="BH85" s="175">
        <f>SUMIFS('1-2 人员岗位信息'!P:P,'1-2 人员岗位信息'!$C:$C,"专业外包",'1-2 人员岗位信息'!$B:$B,$D85)</f>
        <v>0</v>
      </c>
      <c r="BI85" s="297"/>
      <c r="BJ85" s="175">
        <f t="shared" si="165"/>
        <v>0</v>
      </c>
      <c r="BK85" s="175">
        <f>SUMIFS('1-2 人员岗位信息'!Q:Q,'1-2 人员岗位信息'!$C:$C,"专业外包",'1-2 人员岗位信息'!$B:$B,$D85)</f>
        <v>0</v>
      </c>
      <c r="BL85" s="306"/>
      <c r="BM85" s="310"/>
      <c r="BN85" s="314"/>
    </row>
    <row r="86" s="262" customFormat="1" ht="33.95" hidden="1" customHeight="1" outlineLevel="5" spans="2:66">
      <c r="B86" s="175" t="s">
        <v>747</v>
      </c>
      <c r="C86" s="282" t="s">
        <v>881</v>
      </c>
      <c r="D86" s="262" t="s">
        <v>848</v>
      </c>
      <c r="E86" s="175" t="s">
        <v>849</v>
      </c>
      <c r="F86" s="175"/>
      <c r="G86" s="175" t="s">
        <v>751</v>
      </c>
      <c r="H86" s="175">
        <f t="shared" si="150"/>
        <v>0</v>
      </c>
      <c r="I86" s="175" t="s">
        <v>752</v>
      </c>
      <c r="J86" s="175" t="e">
        <f t="shared" si="151"/>
        <v>#DIV/0!</v>
      </c>
      <c r="K86" s="175" t="s">
        <v>753</v>
      </c>
      <c r="L86" s="175" t="e">
        <f t="shared" si="152"/>
        <v>#DIV/0!</v>
      </c>
      <c r="M86" s="175" t="s">
        <v>754</v>
      </c>
      <c r="N86" s="175">
        <f t="shared" si="153"/>
        <v>0</v>
      </c>
      <c r="O86" s="175"/>
      <c r="P86" s="289"/>
      <c r="Q86" s="289"/>
      <c r="R86" s="289"/>
      <c r="S86" s="289"/>
      <c r="T86" s="289"/>
      <c r="U86" s="289"/>
      <c r="V86" s="289"/>
      <c r="W86" s="289"/>
      <c r="X86" s="289"/>
      <c r="Y86" s="289"/>
      <c r="Z86" s="289"/>
      <c r="AA86" s="289"/>
      <c r="AB86" s="175">
        <f t="shared" si="166"/>
        <v>0</v>
      </c>
      <c r="AC86" s="175">
        <f t="shared" si="154"/>
        <v>0</v>
      </c>
      <c r="AD86" s="175">
        <f>SUMIFS('1-2 人员岗位信息'!F:F,'1-2 人员岗位信息'!$C:$C,"专业外包",'1-2 人员岗位信息'!$B:$B,$D86)</f>
        <v>0</v>
      </c>
      <c r="AE86" s="297"/>
      <c r="AF86" s="175">
        <f t="shared" si="155"/>
        <v>0</v>
      </c>
      <c r="AG86" s="175">
        <f>SUMIFS('1-2 人员岗位信息'!G:G,'1-2 人员岗位信息'!$C:$C,"专业外包",'1-2 人员岗位信息'!$B:$B,$D86)</f>
        <v>0</v>
      </c>
      <c r="AH86" s="297"/>
      <c r="AI86" s="175">
        <f t="shared" si="156"/>
        <v>0</v>
      </c>
      <c r="AJ86" s="175">
        <f>SUMIFS('1-2 人员岗位信息'!H:H,'1-2 人员岗位信息'!$C:$C,"专业外包",'1-2 人员岗位信息'!$B:$B,$D86)</f>
        <v>0</v>
      </c>
      <c r="AK86" s="297"/>
      <c r="AL86" s="175">
        <f t="shared" si="157"/>
        <v>0</v>
      </c>
      <c r="AM86" s="175">
        <f>SUMIFS('1-2 人员岗位信息'!I:I,'1-2 人员岗位信息'!$C:$C,"专业外包",'1-2 人员岗位信息'!$B:$B,$D86)</f>
        <v>0</v>
      </c>
      <c r="AN86" s="297"/>
      <c r="AO86" s="175">
        <f t="shared" si="158"/>
        <v>0</v>
      </c>
      <c r="AP86" s="175">
        <f>SUMIFS('1-2 人员岗位信息'!J:J,'1-2 人员岗位信息'!$C:$C,"专业外包",'1-2 人员岗位信息'!$B:$B,$D86)</f>
        <v>0</v>
      </c>
      <c r="AQ86" s="297"/>
      <c r="AR86" s="175">
        <f t="shared" si="159"/>
        <v>0</v>
      </c>
      <c r="AS86" s="175">
        <f>SUMIFS('1-2 人员岗位信息'!K:K,'1-2 人员岗位信息'!$C:$C,"专业外包",'1-2 人员岗位信息'!$B:$B,$D86)</f>
        <v>0</v>
      </c>
      <c r="AT86" s="297"/>
      <c r="AU86" s="175">
        <f t="shared" si="160"/>
        <v>0</v>
      </c>
      <c r="AV86" s="175">
        <f>SUMIFS('1-2 人员岗位信息'!L:L,'1-2 人员岗位信息'!$C:$C,"专业外包",'1-2 人员岗位信息'!$B:$B,$D86)</f>
        <v>0</v>
      </c>
      <c r="AW86" s="297"/>
      <c r="AX86" s="175">
        <f t="shared" si="161"/>
        <v>0</v>
      </c>
      <c r="AY86" s="175">
        <f>SUMIFS('1-2 人员岗位信息'!M:M,'1-2 人员岗位信息'!$C:$C,"专业外包",'1-2 人员岗位信息'!$B:$B,$D86)</f>
        <v>0</v>
      </c>
      <c r="AZ86" s="297"/>
      <c r="BA86" s="175">
        <f t="shared" si="162"/>
        <v>0</v>
      </c>
      <c r="BB86" s="175">
        <f>SUMIFS('1-2 人员岗位信息'!N:N,'1-2 人员岗位信息'!$C:$C,"专业外包",'1-2 人员岗位信息'!$B:$B,$D86)</f>
        <v>0</v>
      </c>
      <c r="BC86" s="297"/>
      <c r="BD86" s="175">
        <f t="shared" si="163"/>
        <v>0</v>
      </c>
      <c r="BE86" s="175">
        <f>SUMIFS('1-2 人员岗位信息'!O:O,'1-2 人员岗位信息'!$C:$C,"专业外包",'1-2 人员岗位信息'!$B:$B,$D86)</f>
        <v>0</v>
      </c>
      <c r="BF86" s="297"/>
      <c r="BG86" s="175">
        <f t="shared" si="164"/>
        <v>0</v>
      </c>
      <c r="BH86" s="175">
        <f>SUMIFS('1-2 人员岗位信息'!P:P,'1-2 人员岗位信息'!$C:$C,"专业外包",'1-2 人员岗位信息'!$B:$B,$D86)</f>
        <v>0</v>
      </c>
      <c r="BI86" s="297"/>
      <c r="BJ86" s="175">
        <f t="shared" si="165"/>
        <v>0</v>
      </c>
      <c r="BK86" s="175">
        <f>SUMIFS('1-2 人员岗位信息'!Q:Q,'1-2 人员岗位信息'!$C:$C,"专业外包",'1-2 人员岗位信息'!$B:$B,$D86)</f>
        <v>0</v>
      </c>
      <c r="BL86" s="306"/>
      <c r="BM86" s="310"/>
      <c r="BN86" s="314"/>
    </row>
    <row r="87" s="262" customFormat="1" ht="33.95" hidden="1" customHeight="1" outlineLevel="5" spans="2:66">
      <c r="B87" s="175" t="s">
        <v>747</v>
      </c>
      <c r="C87" s="282" t="s">
        <v>882</v>
      </c>
      <c r="D87" s="262" t="s">
        <v>851</v>
      </c>
      <c r="E87" s="175" t="s">
        <v>852</v>
      </c>
      <c r="F87" s="175"/>
      <c r="G87" s="175" t="s">
        <v>751</v>
      </c>
      <c r="H87" s="175">
        <f t="shared" si="150"/>
        <v>0</v>
      </c>
      <c r="I87" s="175" t="s">
        <v>752</v>
      </c>
      <c r="J87" s="175" t="e">
        <f t="shared" si="151"/>
        <v>#DIV/0!</v>
      </c>
      <c r="K87" s="175" t="s">
        <v>753</v>
      </c>
      <c r="L87" s="175" t="e">
        <f t="shared" si="152"/>
        <v>#DIV/0!</v>
      </c>
      <c r="M87" s="175" t="s">
        <v>754</v>
      </c>
      <c r="N87" s="175">
        <f t="shared" si="153"/>
        <v>0</v>
      </c>
      <c r="O87" s="175"/>
      <c r="P87" s="289"/>
      <c r="Q87" s="289"/>
      <c r="R87" s="289"/>
      <c r="S87" s="289"/>
      <c r="T87" s="289"/>
      <c r="U87" s="289"/>
      <c r="V87" s="289"/>
      <c r="W87" s="289"/>
      <c r="X87" s="289"/>
      <c r="Y87" s="289"/>
      <c r="Z87" s="289"/>
      <c r="AA87" s="289"/>
      <c r="AB87" s="175">
        <f t="shared" si="166"/>
        <v>0</v>
      </c>
      <c r="AC87" s="175">
        <f t="shared" si="154"/>
        <v>0</v>
      </c>
      <c r="AD87" s="175">
        <f>SUMIFS('1-2 人员岗位信息'!F:F,'1-2 人员岗位信息'!$C:$C,"专业外包",'1-2 人员岗位信息'!$B:$B,$D87)</f>
        <v>0</v>
      </c>
      <c r="AE87" s="297"/>
      <c r="AF87" s="175">
        <f t="shared" si="155"/>
        <v>0</v>
      </c>
      <c r="AG87" s="175">
        <f>SUMIFS('1-2 人员岗位信息'!G:G,'1-2 人员岗位信息'!$C:$C,"专业外包",'1-2 人员岗位信息'!$B:$B,$D87)</f>
        <v>0</v>
      </c>
      <c r="AH87" s="297"/>
      <c r="AI87" s="175">
        <f t="shared" si="156"/>
        <v>0</v>
      </c>
      <c r="AJ87" s="175">
        <f>SUMIFS('1-2 人员岗位信息'!H:H,'1-2 人员岗位信息'!$C:$C,"专业外包",'1-2 人员岗位信息'!$B:$B,$D87)</f>
        <v>0</v>
      </c>
      <c r="AK87" s="297"/>
      <c r="AL87" s="175">
        <f t="shared" si="157"/>
        <v>0</v>
      </c>
      <c r="AM87" s="175">
        <f>SUMIFS('1-2 人员岗位信息'!I:I,'1-2 人员岗位信息'!$C:$C,"专业外包",'1-2 人员岗位信息'!$B:$B,$D87)</f>
        <v>0</v>
      </c>
      <c r="AN87" s="297"/>
      <c r="AO87" s="175">
        <f t="shared" si="158"/>
        <v>0</v>
      </c>
      <c r="AP87" s="175">
        <f>SUMIFS('1-2 人员岗位信息'!J:J,'1-2 人员岗位信息'!$C:$C,"专业外包",'1-2 人员岗位信息'!$B:$B,$D87)</f>
        <v>0</v>
      </c>
      <c r="AQ87" s="297"/>
      <c r="AR87" s="175">
        <f t="shared" si="159"/>
        <v>0</v>
      </c>
      <c r="AS87" s="175">
        <f>SUMIFS('1-2 人员岗位信息'!K:K,'1-2 人员岗位信息'!$C:$C,"专业外包",'1-2 人员岗位信息'!$B:$B,$D87)</f>
        <v>0</v>
      </c>
      <c r="AT87" s="297"/>
      <c r="AU87" s="175">
        <f t="shared" si="160"/>
        <v>0</v>
      </c>
      <c r="AV87" s="175">
        <f>SUMIFS('1-2 人员岗位信息'!L:L,'1-2 人员岗位信息'!$C:$C,"专业外包",'1-2 人员岗位信息'!$B:$B,$D87)</f>
        <v>0</v>
      </c>
      <c r="AW87" s="297"/>
      <c r="AX87" s="175">
        <f t="shared" si="161"/>
        <v>0</v>
      </c>
      <c r="AY87" s="175">
        <f>SUMIFS('1-2 人员岗位信息'!M:M,'1-2 人员岗位信息'!$C:$C,"专业外包",'1-2 人员岗位信息'!$B:$B,$D87)</f>
        <v>0</v>
      </c>
      <c r="AZ87" s="297"/>
      <c r="BA87" s="175">
        <f t="shared" si="162"/>
        <v>0</v>
      </c>
      <c r="BB87" s="175">
        <f>SUMIFS('1-2 人员岗位信息'!N:N,'1-2 人员岗位信息'!$C:$C,"专业外包",'1-2 人员岗位信息'!$B:$B,$D87)</f>
        <v>0</v>
      </c>
      <c r="BC87" s="297"/>
      <c r="BD87" s="175">
        <f t="shared" si="163"/>
        <v>0</v>
      </c>
      <c r="BE87" s="175">
        <f>SUMIFS('1-2 人员岗位信息'!O:O,'1-2 人员岗位信息'!$C:$C,"专业外包",'1-2 人员岗位信息'!$B:$B,$D87)</f>
        <v>0</v>
      </c>
      <c r="BF87" s="297"/>
      <c r="BG87" s="175">
        <f t="shared" si="164"/>
        <v>0</v>
      </c>
      <c r="BH87" s="175">
        <f>SUMIFS('1-2 人员岗位信息'!P:P,'1-2 人员岗位信息'!$C:$C,"专业外包",'1-2 人员岗位信息'!$B:$B,$D87)</f>
        <v>0</v>
      </c>
      <c r="BI87" s="297"/>
      <c r="BJ87" s="175">
        <f t="shared" si="165"/>
        <v>0</v>
      </c>
      <c r="BK87" s="175">
        <f>SUMIFS('1-2 人员岗位信息'!Q:Q,'1-2 人员岗位信息'!$C:$C,"专业外包",'1-2 人员岗位信息'!$B:$B,$D87)</f>
        <v>0</v>
      </c>
      <c r="BL87" s="306"/>
      <c r="BM87" s="310"/>
      <c r="BN87" s="314"/>
    </row>
    <row r="88" s="262" customFormat="1" ht="33.95" hidden="1" customHeight="1" outlineLevel="5" spans="2:66">
      <c r="B88" s="175" t="s">
        <v>747</v>
      </c>
      <c r="C88" s="282" t="s">
        <v>883</v>
      </c>
      <c r="D88" s="262" t="s">
        <v>854</v>
      </c>
      <c r="E88" s="175" t="s">
        <v>855</v>
      </c>
      <c r="F88" s="175"/>
      <c r="G88" s="175" t="s">
        <v>751</v>
      </c>
      <c r="H88" s="175">
        <f t="shared" si="150"/>
        <v>0</v>
      </c>
      <c r="I88" s="175" t="s">
        <v>752</v>
      </c>
      <c r="J88" s="175" t="e">
        <f t="shared" si="151"/>
        <v>#DIV/0!</v>
      </c>
      <c r="K88" s="175" t="s">
        <v>753</v>
      </c>
      <c r="L88" s="175" t="e">
        <f t="shared" si="152"/>
        <v>#DIV/0!</v>
      </c>
      <c r="M88" s="175" t="s">
        <v>754</v>
      </c>
      <c r="N88" s="175">
        <f t="shared" si="153"/>
        <v>0</v>
      </c>
      <c r="O88" s="175"/>
      <c r="P88" s="289"/>
      <c r="Q88" s="289"/>
      <c r="R88" s="289"/>
      <c r="S88" s="289"/>
      <c r="T88" s="289"/>
      <c r="U88" s="289"/>
      <c r="V88" s="289"/>
      <c r="W88" s="289"/>
      <c r="X88" s="289"/>
      <c r="Y88" s="289"/>
      <c r="Z88" s="289"/>
      <c r="AA88" s="289"/>
      <c r="AB88" s="175">
        <f t="shared" si="166"/>
        <v>0</v>
      </c>
      <c r="AC88" s="175">
        <f t="shared" si="154"/>
        <v>0</v>
      </c>
      <c r="AD88" s="175">
        <f>SUMIFS('1-2 人员岗位信息'!F:F,'1-2 人员岗位信息'!$C:$C,"专业外包",'1-2 人员岗位信息'!$B:$B,$D88)</f>
        <v>0</v>
      </c>
      <c r="AE88" s="297"/>
      <c r="AF88" s="175">
        <f t="shared" si="155"/>
        <v>0</v>
      </c>
      <c r="AG88" s="175">
        <f>SUMIFS('1-2 人员岗位信息'!G:G,'1-2 人员岗位信息'!$C:$C,"专业外包",'1-2 人员岗位信息'!$B:$B,$D88)</f>
        <v>0</v>
      </c>
      <c r="AH88" s="297"/>
      <c r="AI88" s="175">
        <f t="shared" si="156"/>
        <v>0</v>
      </c>
      <c r="AJ88" s="175">
        <f>SUMIFS('1-2 人员岗位信息'!H:H,'1-2 人员岗位信息'!$C:$C,"专业外包",'1-2 人员岗位信息'!$B:$B,$D88)</f>
        <v>0</v>
      </c>
      <c r="AK88" s="297"/>
      <c r="AL88" s="175">
        <f t="shared" si="157"/>
        <v>0</v>
      </c>
      <c r="AM88" s="175">
        <f>SUMIFS('1-2 人员岗位信息'!I:I,'1-2 人员岗位信息'!$C:$C,"专业外包",'1-2 人员岗位信息'!$B:$B,$D88)</f>
        <v>0</v>
      </c>
      <c r="AN88" s="297"/>
      <c r="AO88" s="175">
        <f t="shared" si="158"/>
        <v>0</v>
      </c>
      <c r="AP88" s="175">
        <f>SUMIFS('1-2 人员岗位信息'!J:J,'1-2 人员岗位信息'!$C:$C,"专业外包",'1-2 人员岗位信息'!$B:$B,$D88)</f>
        <v>0</v>
      </c>
      <c r="AQ88" s="297"/>
      <c r="AR88" s="175">
        <f t="shared" si="159"/>
        <v>0</v>
      </c>
      <c r="AS88" s="175">
        <f>SUMIFS('1-2 人员岗位信息'!K:K,'1-2 人员岗位信息'!$C:$C,"专业外包",'1-2 人员岗位信息'!$B:$B,$D88)</f>
        <v>0</v>
      </c>
      <c r="AT88" s="297"/>
      <c r="AU88" s="175">
        <f t="shared" si="160"/>
        <v>0</v>
      </c>
      <c r="AV88" s="175">
        <f>SUMIFS('1-2 人员岗位信息'!L:L,'1-2 人员岗位信息'!$C:$C,"专业外包",'1-2 人员岗位信息'!$B:$B,$D88)</f>
        <v>0</v>
      </c>
      <c r="AW88" s="297"/>
      <c r="AX88" s="175">
        <f t="shared" si="161"/>
        <v>0</v>
      </c>
      <c r="AY88" s="175">
        <f>SUMIFS('1-2 人员岗位信息'!M:M,'1-2 人员岗位信息'!$C:$C,"专业外包",'1-2 人员岗位信息'!$B:$B,$D88)</f>
        <v>0</v>
      </c>
      <c r="AZ88" s="297"/>
      <c r="BA88" s="175">
        <f t="shared" si="162"/>
        <v>0</v>
      </c>
      <c r="BB88" s="175">
        <f>SUMIFS('1-2 人员岗位信息'!N:N,'1-2 人员岗位信息'!$C:$C,"专业外包",'1-2 人员岗位信息'!$B:$B,$D88)</f>
        <v>0</v>
      </c>
      <c r="BC88" s="297"/>
      <c r="BD88" s="175">
        <f t="shared" si="163"/>
        <v>0</v>
      </c>
      <c r="BE88" s="175">
        <f>SUMIFS('1-2 人员岗位信息'!O:O,'1-2 人员岗位信息'!$C:$C,"专业外包",'1-2 人员岗位信息'!$B:$B,$D88)</f>
        <v>0</v>
      </c>
      <c r="BF88" s="297"/>
      <c r="BG88" s="175">
        <f t="shared" si="164"/>
        <v>0</v>
      </c>
      <c r="BH88" s="175">
        <f>SUMIFS('1-2 人员岗位信息'!P:P,'1-2 人员岗位信息'!$C:$C,"专业外包",'1-2 人员岗位信息'!$B:$B,$D88)</f>
        <v>0</v>
      </c>
      <c r="BI88" s="297"/>
      <c r="BJ88" s="175">
        <f t="shared" si="165"/>
        <v>0</v>
      </c>
      <c r="BK88" s="175">
        <f>SUMIFS('1-2 人员岗位信息'!Q:Q,'1-2 人员岗位信息'!$C:$C,"专业外包",'1-2 人员岗位信息'!$B:$B,$D88)</f>
        <v>0</v>
      </c>
      <c r="BL88" s="306"/>
      <c r="BM88" s="310"/>
      <c r="BN88" s="314"/>
    </row>
    <row r="89" s="262" customFormat="1" ht="33.95" hidden="1" customHeight="1" outlineLevel="5" spans="2:66">
      <c r="B89" s="175" t="s">
        <v>747</v>
      </c>
      <c r="C89" s="282" t="s">
        <v>884</v>
      </c>
      <c r="D89" s="262" t="s">
        <v>857</v>
      </c>
      <c r="E89" s="175" t="s">
        <v>858</v>
      </c>
      <c r="F89" s="175"/>
      <c r="G89" s="175" t="s">
        <v>751</v>
      </c>
      <c r="H89" s="175">
        <f t="shared" si="150"/>
        <v>0</v>
      </c>
      <c r="I89" s="175" t="s">
        <v>752</v>
      </c>
      <c r="J89" s="175" t="e">
        <f t="shared" si="151"/>
        <v>#DIV/0!</v>
      </c>
      <c r="K89" s="175" t="s">
        <v>753</v>
      </c>
      <c r="L89" s="175" t="e">
        <f t="shared" si="152"/>
        <v>#DIV/0!</v>
      </c>
      <c r="M89" s="175" t="s">
        <v>754</v>
      </c>
      <c r="N89" s="175">
        <f t="shared" si="153"/>
        <v>0</v>
      </c>
      <c r="O89" s="175"/>
      <c r="P89" s="289"/>
      <c r="Q89" s="289"/>
      <c r="R89" s="289"/>
      <c r="S89" s="289"/>
      <c r="T89" s="289"/>
      <c r="U89" s="289"/>
      <c r="V89" s="289"/>
      <c r="W89" s="289"/>
      <c r="X89" s="289"/>
      <c r="Y89" s="289"/>
      <c r="Z89" s="289"/>
      <c r="AA89" s="289"/>
      <c r="AB89" s="175">
        <f t="shared" si="166"/>
        <v>0</v>
      </c>
      <c r="AC89" s="175">
        <f t="shared" si="154"/>
        <v>0</v>
      </c>
      <c r="AD89" s="175">
        <f>SUMIFS('1-2 人员岗位信息'!F:F,'1-2 人员岗位信息'!$C:$C,"专业外包",'1-2 人员岗位信息'!$B:$B,$D89)</f>
        <v>0</v>
      </c>
      <c r="AE89" s="297"/>
      <c r="AF89" s="175">
        <f t="shared" si="155"/>
        <v>0</v>
      </c>
      <c r="AG89" s="175">
        <f>SUMIFS('1-2 人员岗位信息'!G:G,'1-2 人员岗位信息'!$C:$C,"专业外包",'1-2 人员岗位信息'!$B:$B,$D89)</f>
        <v>0</v>
      </c>
      <c r="AH89" s="297"/>
      <c r="AI89" s="175">
        <f t="shared" si="156"/>
        <v>0</v>
      </c>
      <c r="AJ89" s="175">
        <f>SUMIFS('1-2 人员岗位信息'!H:H,'1-2 人员岗位信息'!$C:$C,"专业外包",'1-2 人员岗位信息'!$B:$B,$D89)</f>
        <v>0</v>
      </c>
      <c r="AK89" s="297"/>
      <c r="AL89" s="175">
        <f t="shared" si="157"/>
        <v>0</v>
      </c>
      <c r="AM89" s="175">
        <f>SUMIFS('1-2 人员岗位信息'!I:I,'1-2 人员岗位信息'!$C:$C,"专业外包",'1-2 人员岗位信息'!$B:$B,$D89)</f>
        <v>0</v>
      </c>
      <c r="AN89" s="297"/>
      <c r="AO89" s="175">
        <f t="shared" si="158"/>
        <v>0</v>
      </c>
      <c r="AP89" s="175">
        <f>SUMIFS('1-2 人员岗位信息'!J:J,'1-2 人员岗位信息'!$C:$C,"专业外包",'1-2 人员岗位信息'!$B:$B,$D89)</f>
        <v>0</v>
      </c>
      <c r="AQ89" s="297"/>
      <c r="AR89" s="175">
        <f t="shared" si="159"/>
        <v>0</v>
      </c>
      <c r="AS89" s="175">
        <f>SUMIFS('1-2 人员岗位信息'!K:K,'1-2 人员岗位信息'!$C:$C,"专业外包",'1-2 人员岗位信息'!$B:$B,$D89)</f>
        <v>0</v>
      </c>
      <c r="AT89" s="297"/>
      <c r="AU89" s="175">
        <f t="shared" si="160"/>
        <v>0</v>
      </c>
      <c r="AV89" s="175">
        <f>SUMIFS('1-2 人员岗位信息'!L:L,'1-2 人员岗位信息'!$C:$C,"专业外包",'1-2 人员岗位信息'!$B:$B,$D89)</f>
        <v>0</v>
      </c>
      <c r="AW89" s="297"/>
      <c r="AX89" s="175">
        <f t="shared" si="161"/>
        <v>0</v>
      </c>
      <c r="AY89" s="175">
        <f>SUMIFS('1-2 人员岗位信息'!M:M,'1-2 人员岗位信息'!$C:$C,"专业外包",'1-2 人员岗位信息'!$B:$B,$D89)</f>
        <v>0</v>
      </c>
      <c r="AZ89" s="297"/>
      <c r="BA89" s="175">
        <f t="shared" si="162"/>
        <v>0</v>
      </c>
      <c r="BB89" s="175">
        <f>SUMIFS('1-2 人员岗位信息'!N:N,'1-2 人员岗位信息'!$C:$C,"专业外包",'1-2 人员岗位信息'!$B:$B,$D89)</f>
        <v>0</v>
      </c>
      <c r="BC89" s="297"/>
      <c r="BD89" s="175">
        <f t="shared" si="163"/>
        <v>0</v>
      </c>
      <c r="BE89" s="175">
        <f>SUMIFS('1-2 人员岗位信息'!O:O,'1-2 人员岗位信息'!$C:$C,"专业外包",'1-2 人员岗位信息'!$B:$B,$D89)</f>
        <v>0</v>
      </c>
      <c r="BF89" s="297"/>
      <c r="BG89" s="175">
        <f t="shared" si="164"/>
        <v>0</v>
      </c>
      <c r="BH89" s="175">
        <f>SUMIFS('1-2 人员岗位信息'!P:P,'1-2 人员岗位信息'!$C:$C,"专业外包",'1-2 人员岗位信息'!$B:$B,$D89)</f>
        <v>0</v>
      </c>
      <c r="BI89" s="297"/>
      <c r="BJ89" s="175">
        <f t="shared" si="165"/>
        <v>0</v>
      </c>
      <c r="BK89" s="175">
        <f>SUMIFS('1-2 人员岗位信息'!Q:Q,'1-2 人员岗位信息'!$C:$C,"专业外包",'1-2 人员岗位信息'!$B:$B,$D89)</f>
        <v>0</v>
      </c>
      <c r="BL89" s="306"/>
      <c r="BM89" s="310"/>
      <c r="BN89" s="314"/>
    </row>
    <row r="90" s="262" customFormat="1" ht="33.95" hidden="1" customHeight="1" outlineLevel="5" spans="2:66">
      <c r="B90" s="175" t="s">
        <v>747</v>
      </c>
      <c r="C90" s="282" t="s">
        <v>885</v>
      </c>
      <c r="D90" s="262" t="s">
        <v>860</v>
      </c>
      <c r="E90" s="175" t="s">
        <v>873</v>
      </c>
      <c r="F90" s="175"/>
      <c r="G90" s="175" t="s">
        <v>751</v>
      </c>
      <c r="H90" s="175">
        <f t="shared" si="150"/>
        <v>0</v>
      </c>
      <c r="I90" s="175" t="s">
        <v>752</v>
      </c>
      <c r="J90" s="175" t="e">
        <f t="shared" si="151"/>
        <v>#DIV/0!</v>
      </c>
      <c r="K90" s="175" t="s">
        <v>753</v>
      </c>
      <c r="L90" s="175" t="e">
        <f t="shared" si="152"/>
        <v>#DIV/0!</v>
      </c>
      <c r="M90" s="175" t="s">
        <v>754</v>
      </c>
      <c r="N90" s="175">
        <f t="shared" si="153"/>
        <v>0</v>
      </c>
      <c r="O90" s="175"/>
      <c r="P90" s="289"/>
      <c r="Q90" s="289"/>
      <c r="R90" s="289"/>
      <c r="S90" s="289"/>
      <c r="T90" s="289"/>
      <c r="U90" s="289"/>
      <c r="V90" s="289"/>
      <c r="W90" s="289"/>
      <c r="X90" s="289"/>
      <c r="Y90" s="289"/>
      <c r="Z90" s="289"/>
      <c r="AA90" s="289"/>
      <c r="AB90" s="175">
        <f t="shared" si="166"/>
        <v>0</v>
      </c>
      <c r="AC90" s="175">
        <f t="shared" si="154"/>
        <v>0</v>
      </c>
      <c r="AD90" s="175">
        <f>SUMIFS('1-2 人员岗位信息'!F:F,'1-2 人员岗位信息'!$C:$C,"专业外包",'1-2 人员岗位信息'!$B:$B,$D90)</f>
        <v>0</v>
      </c>
      <c r="AE90" s="297"/>
      <c r="AF90" s="175">
        <f t="shared" si="155"/>
        <v>0</v>
      </c>
      <c r="AG90" s="175">
        <f>SUMIFS('1-2 人员岗位信息'!G:G,'1-2 人员岗位信息'!$C:$C,"专业外包",'1-2 人员岗位信息'!$B:$B,$D90)</f>
        <v>0</v>
      </c>
      <c r="AH90" s="297"/>
      <c r="AI90" s="175">
        <f t="shared" si="156"/>
        <v>0</v>
      </c>
      <c r="AJ90" s="175">
        <f>SUMIFS('1-2 人员岗位信息'!H:H,'1-2 人员岗位信息'!$C:$C,"专业外包",'1-2 人员岗位信息'!$B:$B,$D90)</f>
        <v>0</v>
      </c>
      <c r="AK90" s="297"/>
      <c r="AL90" s="175">
        <f t="shared" si="157"/>
        <v>0</v>
      </c>
      <c r="AM90" s="175">
        <f>SUMIFS('1-2 人员岗位信息'!I:I,'1-2 人员岗位信息'!$C:$C,"专业外包",'1-2 人员岗位信息'!$B:$B,$D90)</f>
        <v>0</v>
      </c>
      <c r="AN90" s="297"/>
      <c r="AO90" s="175">
        <f t="shared" si="158"/>
        <v>0</v>
      </c>
      <c r="AP90" s="175">
        <f>SUMIFS('1-2 人员岗位信息'!J:J,'1-2 人员岗位信息'!$C:$C,"专业外包",'1-2 人员岗位信息'!$B:$B,$D90)</f>
        <v>0</v>
      </c>
      <c r="AQ90" s="297"/>
      <c r="AR90" s="175">
        <f t="shared" si="159"/>
        <v>0</v>
      </c>
      <c r="AS90" s="175">
        <f>SUMIFS('1-2 人员岗位信息'!K:K,'1-2 人员岗位信息'!$C:$C,"专业外包",'1-2 人员岗位信息'!$B:$B,$D90)</f>
        <v>0</v>
      </c>
      <c r="AT90" s="297"/>
      <c r="AU90" s="175">
        <f t="shared" si="160"/>
        <v>0</v>
      </c>
      <c r="AV90" s="175">
        <f>SUMIFS('1-2 人员岗位信息'!L:L,'1-2 人员岗位信息'!$C:$C,"专业外包",'1-2 人员岗位信息'!$B:$B,$D90)</f>
        <v>0</v>
      </c>
      <c r="AW90" s="297"/>
      <c r="AX90" s="175">
        <f t="shared" si="161"/>
        <v>0</v>
      </c>
      <c r="AY90" s="175">
        <f>SUMIFS('1-2 人员岗位信息'!M:M,'1-2 人员岗位信息'!$C:$C,"专业外包",'1-2 人员岗位信息'!$B:$B,$D90)</f>
        <v>0</v>
      </c>
      <c r="AZ90" s="297"/>
      <c r="BA90" s="175">
        <f t="shared" si="162"/>
        <v>0</v>
      </c>
      <c r="BB90" s="175">
        <f>SUMIFS('1-2 人员岗位信息'!N:N,'1-2 人员岗位信息'!$C:$C,"专业外包",'1-2 人员岗位信息'!$B:$B,$D90)</f>
        <v>0</v>
      </c>
      <c r="BC90" s="297"/>
      <c r="BD90" s="175">
        <f t="shared" si="163"/>
        <v>0</v>
      </c>
      <c r="BE90" s="175">
        <f>SUMIFS('1-2 人员岗位信息'!O:O,'1-2 人员岗位信息'!$C:$C,"专业外包",'1-2 人员岗位信息'!$B:$B,$D90)</f>
        <v>0</v>
      </c>
      <c r="BF90" s="297"/>
      <c r="BG90" s="175">
        <f t="shared" si="164"/>
        <v>0</v>
      </c>
      <c r="BH90" s="175">
        <f>SUMIFS('1-2 人员岗位信息'!P:P,'1-2 人员岗位信息'!$C:$C,"专业外包",'1-2 人员岗位信息'!$B:$B,$D90)</f>
        <v>0</v>
      </c>
      <c r="BI90" s="297"/>
      <c r="BJ90" s="175">
        <f t="shared" si="165"/>
        <v>0</v>
      </c>
      <c r="BK90" s="175">
        <f>SUMIFS('1-2 人员岗位信息'!Q:Q,'1-2 人员岗位信息'!$C:$C,"专业外包",'1-2 人员岗位信息'!$B:$B,$D90)</f>
        <v>0</v>
      </c>
      <c r="BL90" s="306"/>
      <c r="BM90" s="310"/>
      <c r="BN90" s="314"/>
    </row>
    <row r="91" s="118" customFormat="1" ht="33.95" hidden="1" customHeight="1" outlineLevel="4" collapsed="1" spans="2:66">
      <c r="B91" s="119" t="s">
        <v>742</v>
      </c>
      <c r="C91" s="120" t="s">
        <v>886</v>
      </c>
      <c r="D91" s="118" t="s">
        <v>887</v>
      </c>
      <c r="E91" s="119"/>
      <c r="F91" s="119"/>
      <c r="G91" s="119"/>
      <c r="H91" s="119">
        <f>SUM(H92:H110)</f>
        <v>0</v>
      </c>
      <c r="I91" s="119"/>
      <c r="J91" s="119"/>
      <c r="K91" s="119"/>
      <c r="L91" s="119"/>
      <c r="M91" s="119"/>
      <c r="N91" s="119"/>
      <c r="O91" s="119"/>
      <c r="P91" s="288"/>
      <c r="Q91" s="288"/>
      <c r="R91" s="288"/>
      <c r="S91" s="288"/>
      <c r="T91" s="288"/>
      <c r="U91" s="288"/>
      <c r="V91" s="288"/>
      <c r="W91" s="288"/>
      <c r="X91" s="288"/>
      <c r="Y91" s="288"/>
      <c r="Z91" s="288"/>
      <c r="AA91" s="288"/>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5"/>
      <c r="BM91" s="310"/>
      <c r="BN91" s="313"/>
    </row>
    <row r="92" s="262" customFormat="1" ht="33.95" hidden="1" customHeight="1" outlineLevel="5" spans="2:66">
      <c r="B92" s="175" t="s">
        <v>747</v>
      </c>
      <c r="C92" s="282" t="s">
        <v>888</v>
      </c>
      <c r="D92" s="262" t="s">
        <v>889</v>
      </c>
      <c r="E92" s="175" t="s">
        <v>890</v>
      </c>
      <c r="F92" s="175"/>
      <c r="G92" s="175" t="s">
        <v>891</v>
      </c>
      <c r="H92" s="175">
        <f t="shared" ref="H92:H110" si="168">AB92</f>
        <v>0</v>
      </c>
      <c r="I92" s="175" t="s">
        <v>752</v>
      </c>
      <c r="J92" s="175" t="e">
        <f t="shared" ref="J92:J110" si="169">SUM(AD92,AG92,AJ92,AM92,AP92,AS92,AV92,AY92,BB92,BE92,BH92,BK92)/N92</f>
        <v>#DIV/0!</v>
      </c>
      <c r="K92" s="175" t="s">
        <v>753</v>
      </c>
      <c r="L92" s="175" t="e">
        <f t="shared" ref="L92:L110" si="170">H92/N92/J92</f>
        <v>#DIV/0!</v>
      </c>
      <c r="M92" s="175" t="s">
        <v>754</v>
      </c>
      <c r="N92" s="175">
        <f t="shared" ref="N92:N110" si="171">COUNTIF(AD92,"&gt;0")+COUNTIF(AG92,"&gt;0")+COUNTIF(AJ92,"&gt;0")+COUNTIF(AM92,"&gt;0")+COUNTIF(AP92,"&gt;0")+COUNTIF(AS92,"&gt;0")+COUNTIF(AV92,"&gt;0")+COUNTIF(AY92,"&gt;0")+COUNTIF(BB92,"&gt;0")+COUNTIF(BE92,"&gt;0")+COUNTIF(BH92,"&gt;0")+COUNTIF(BK92,"&gt;0")</f>
        <v>0</v>
      </c>
      <c r="O92" s="175"/>
      <c r="P92" s="289"/>
      <c r="Q92" s="289"/>
      <c r="R92" s="289"/>
      <c r="S92" s="289"/>
      <c r="T92" s="289"/>
      <c r="U92" s="289"/>
      <c r="V92" s="289"/>
      <c r="W92" s="289"/>
      <c r="X92" s="289"/>
      <c r="Y92" s="289"/>
      <c r="Z92" s="289"/>
      <c r="AA92" s="289"/>
      <c r="AB92" s="175">
        <f t="shared" ref="AB92:AB110" si="172">SUM(AC92,AF92,AI92,AL92,AO92,AR92,AU92,AX92,BA92,BD92,BG92,BJ92)</f>
        <v>0</v>
      </c>
      <c r="AC92" s="175">
        <f t="shared" ref="AC92:AC110" si="173">AD92*AE92</f>
        <v>0</v>
      </c>
      <c r="AD92" s="297"/>
      <c r="AE92" s="297"/>
      <c r="AF92" s="175">
        <f t="shared" ref="AF92:AF110" si="174">AG92*AH92</f>
        <v>0</v>
      </c>
      <c r="AG92" s="297"/>
      <c r="AH92" s="297"/>
      <c r="AI92" s="175">
        <f t="shared" ref="AI92:AI110" si="175">AJ92*AK92</f>
        <v>0</v>
      </c>
      <c r="AJ92" s="297"/>
      <c r="AK92" s="297"/>
      <c r="AL92" s="175">
        <f t="shared" ref="AL92:AL110" si="176">AM92*AN92</f>
        <v>0</v>
      </c>
      <c r="AM92" s="297"/>
      <c r="AN92" s="297"/>
      <c r="AO92" s="175">
        <f t="shared" ref="AO92:AO110" si="177">AP92*AQ92</f>
        <v>0</v>
      </c>
      <c r="AP92" s="297"/>
      <c r="AQ92" s="297"/>
      <c r="AR92" s="175">
        <f t="shared" ref="AR92:AR110" si="178">AS92*AT92</f>
        <v>0</v>
      </c>
      <c r="AS92" s="297"/>
      <c r="AT92" s="297"/>
      <c r="AU92" s="175">
        <f t="shared" ref="AU92:AU110" si="179">AV92*AW92</f>
        <v>0</v>
      </c>
      <c r="AV92" s="297"/>
      <c r="AW92" s="297"/>
      <c r="AX92" s="175">
        <f t="shared" ref="AX92:AX110" si="180">AY92*AZ92</f>
        <v>0</v>
      </c>
      <c r="AY92" s="297"/>
      <c r="AZ92" s="297"/>
      <c r="BA92" s="175">
        <f t="shared" ref="BA92:BA110" si="181">BB92*BC92</f>
        <v>0</v>
      </c>
      <c r="BB92" s="297"/>
      <c r="BC92" s="297"/>
      <c r="BD92" s="175">
        <f t="shared" ref="BD92:BD110" si="182">BE92*BF92</f>
        <v>0</v>
      </c>
      <c r="BE92" s="297"/>
      <c r="BF92" s="297"/>
      <c r="BG92" s="175">
        <f t="shared" ref="BG92:BG110" si="183">BH92*BI92</f>
        <v>0</v>
      </c>
      <c r="BH92" s="297"/>
      <c r="BI92" s="297"/>
      <c r="BJ92" s="175">
        <f t="shared" ref="BJ92:BJ110" si="184">BK92*BL92</f>
        <v>0</v>
      </c>
      <c r="BK92" s="297"/>
      <c r="BL92" s="306"/>
      <c r="BM92" s="310"/>
      <c r="BN92" s="314"/>
    </row>
    <row r="93" s="262" customFormat="1" ht="33.95" hidden="1" customHeight="1" outlineLevel="5" spans="2:66">
      <c r="B93" s="175" t="s">
        <v>747</v>
      </c>
      <c r="C93" s="282" t="s">
        <v>892</v>
      </c>
      <c r="D93" s="262" t="s">
        <v>893</v>
      </c>
      <c r="E93" s="175" t="s">
        <v>890</v>
      </c>
      <c r="F93" s="175"/>
      <c r="G93" s="175" t="s">
        <v>891</v>
      </c>
      <c r="H93" s="175">
        <f t="shared" si="168"/>
        <v>0</v>
      </c>
      <c r="I93" s="175" t="s">
        <v>752</v>
      </c>
      <c r="J93" s="175" t="e">
        <f t="shared" si="169"/>
        <v>#DIV/0!</v>
      </c>
      <c r="K93" s="175" t="s">
        <v>753</v>
      </c>
      <c r="L93" s="175" t="e">
        <f t="shared" si="170"/>
        <v>#DIV/0!</v>
      </c>
      <c r="M93" s="175" t="s">
        <v>754</v>
      </c>
      <c r="N93" s="175">
        <f t="shared" si="171"/>
        <v>0</v>
      </c>
      <c r="O93" s="175"/>
      <c r="P93" s="289"/>
      <c r="Q93" s="289"/>
      <c r="R93" s="289"/>
      <c r="S93" s="289"/>
      <c r="T93" s="289"/>
      <c r="U93" s="289"/>
      <c r="V93" s="289"/>
      <c r="W93" s="289"/>
      <c r="X93" s="289"/>
      <c r="Y93" s="289"/>
      <c r="Z93" s="289"/>
      <c r="AA93" s="289"/>
      <c r="AB93" s="175">
        <f t="shared" si="172"/>
        <v>0</v>
      </c>
      <c r="AC93" s="175">
        <f t="shared" si="173"/>
        <v>0</v>
      </c>
      <c r="AD93" s="297"/>
      <c r="AE93" s="297"/>
      <c r="AF93" s="175">
        <f t="shared" si="174"/>
        <v>0</v>
      </c>
      <c r="AG93" s="297"/>
      <c r="AH93" s="297"/>
      <c r="AI93" s="175">
        <f t="shared" si="175"/>
        <v>0</v>
      </c>
      <c r="AJ93" s="297"/>
      <c r="AK93" s="297"/>
      <c r="AL93" s="175">
        <f t="shared" si="176"/>
        <v>0</v>
      </c>
      <c r="AM93" s="297"/>
      <c r="AN93" s="297"/>
      <c r="AO93" s="175">
        <f t="shared" si="177"/>
        <v>0</v>
      </c>
      <c r="AP93" s="297"/>
      <c r="AQ93" s="297"/>
      <c r="AR93" s="175">
        <f t="shared" si="178"/>
        <v>0</v>
      </c>
      <c r="AS93" s="297"/>
      <c r="AT93" s="297"/>
      <c r="AU93" s="175">
        <f t="shared" si="179"/>
        <v>0</v>
      </c>
      <c r="AV93" s="297"/>
      <c r="AW93" s="297"/>
      <c r="AX93" s="175">
        <f t="shared" si="180"/>
        <v>0</v>
      </c>
      <c r="AY93" s="297"/>
      <c r="AZ93" s="297"/>
      <c r="BA93" s="175">
        <f t="shared" si="181"/>
        <v>0</v>
      </c>
      <c r="BB93" s="297"/>
      <c r="BC93" s="297"/>
      <c r="BD93" s="175">
        <f t="shared" si="182"/>
        <v>0</v>
      </c>
      <c r="BE93" s="297"/>
      <c r="BF93" s="297"/>
      <c r="BG93" s="175">
        <f t="shared" si="183"/>
        <v>0</v>
      </c>
      <c r="BH93" s="297"/>
      <c r="BI93" s="297"/>
      <c r="BJ93" s="175">
        <f t="shared" si="184"/>
        <v>0</v>
      </c>
      <c r="BK93" s="297"/>
      <c r="BL93" s="306"/>
      <c r="BM93" s="310"/>
      <c r="BN93" s="314"/>
    </row>
    <row r="94" s="262" customFormat="1" ht="33.95" hidden="1" customHeight="1" outlineLevel="5" spans="2:66">
      <c r="B94" s="175" t="s">
        <v>747</v>
      </c>
      <c r="C94" s="282" t="s">
        <v>894</v>
      </c>
      <c r="D94" s="262" t="s">
        <v>895</v>
      </c>
      <c r="E94" s="175" t="s">
        <v>890</v>
      </c>
      <c r="F94" s="175"/>
      <c r="G94" s="175" t="s">
        <v>891</v>
      </c>
      <c r="H94" s="175">
        <f t="shared" si="168"/>
        <v>0</v>
      </c>
      <c r="I94" s="175" t="s">
        <v>752</v>
      </c>
      <c r="J94" s="175" t="e">
        <f t="shared" si="169"/>
        <v>#DIV/0!</v>
      </c>
      <c r="K94" s="175" t="s">
        <v>753</v>
      </c>
      <c r="L94" s="175" t="e">
        <f t="shared" si="170"/>
        <v>#DIV/0!</v>
      </c>
      <c r="M94" s="175" t="s">
        <v>754</v>
      </c>
      <c r="N94" s="175">
        <f t="shared" si="171"/>
        <v>0</v>
      </c>
      <c r="O94" s="175"/>
      <c r="P94" s="289"/>
      <c r="Q94" s="289"/>
      <c r="R94" s="289"/>
      <c r="S94" s="289"/>
      <c r="T94" s="289"/>
      <c r="U94" s="289"/>
      <c r="V94" s="289"/>
      <c r="W94" s="289"/>
      <c r="X94" s="289"/>
      <c r="Y94" s="289"/>
      <c r="Z94" s="289"/>
      <c r="AA94" s="289"/>
      <c r="AB94" s="175">
        <f t="shared" si="172"/>
        <v>0</v>
      </c>
      <c r="AC94" s="175">
        <f t="shared" si="173"/>
        <v>0</v>
      </c>
      <c r="AD94" s="297"/>
      <c r="AE94" s="297"/>
      <c r="AF94" s="175">
        <f t="shared" si="174"/>
        <v>0</v>
      </c>
      <c r="AG94" s="297"/>
      <c r="AH94" s="297"/>
      <c r="AI94" s="175">
        <f t="shared" si="175"/>
        <v>0</v>
      </c>
      <c r="AJ94" s="297"/>
      <c r="AK94" s="297"/>
      <c r="AL94" s="175">
        <f t="shared" si="176"/>
        <v>0</v>
      </c>
      <c r="AM94" s="297"/>
      <c r="AN94" s="297"/>
      <c r="AO94" s="175">
        <f t="shared" si="177"/>
        <v>0</v>
      </c>
      <c r="AP94" s="297"/>
      <c r="AQ94" s="297"/>
      <c r="AR94" s="175">
        <f t="shared" si="178"/>
        <v>0</v>
      </c>
      <c r="AS94" s="297"/>
      <c r="AT94" s="297"/>
      <c r="AU94" s="175">
        <f t="shared" si="179"/>
        <v>0</v>
      </c>
      <c r="AV94" s="297"/>
      <c r="AW94" s="297"/>
      <c r="AX94" s="175">
        <f t="shared" si="180"/>
        <v>0</v>
      </c>
      <c r="AY94" s="297"/>
      <c r="AZ94" s="297"/>
      <c r="BA94" s="175">
        <f t="shared" si="181"/>
        <v>0</v>
      </c>
      <c r="BB94" s="297"/>
      <c r="BC94" s="297"/>
      <c r="BD94" s="175">
        <f t="shared" si="182"/>
        <v>0</v>
      </c>
      <c r="BE94" s="297"/>
      <c r="BF94" s="297"/>
      <c r="BG94" s="175">
        <f t="shared" si="183"/>
        <v>0</v>
      </c>
      <c r="BH94" s="297"/>
      <c r="BI94" s="297"/>
      <c r="BJ94" s="175">
        <f t="shared" si="184"/>
        <v>0</v>
      </c>
      <c r="BK94" s="297"/>
      <c r="BL94" s="306"/>
      <c r="BM94" s="310"/>
      <c r="BN94" s="314"/>
    </row>
    <row r="95" s="262" customFormat="1" ht="33.95" hidden="1" customHeight="1" outlineLevel="5" spans="2:66">
      <c r="B95" s="175" t="s">
        <v>747</v>
      </c>
      <c r="C95" s="282" t="s">
        <v>896</v>
      </c>
      <c r="D95" s="262" t="s">
        <v>897</v>
      </c>
      <c r="E95" s="175" t="s">
        <v>890</v>
      </c>
      <c r="F95" s="175"/>
      <c r="G95" s="175" t="s">
        <v>891</v>
      </c>
      <c r="H95" s="175">
        <f t="shared" si="168"/>
        <v>0</v>
      </c>
      <c r="I95" s="175" t="s">
        <v>752</v>
      </c>
      <c r="J95" s="175" t="e">
        <f t="shared" si="169"/>
        <v>#DIV/0!</v>
      </c>
      <c r="K95" s="175" t="s">
        <v>753</v>
      </c>
      <c r="L95" s="175" t="e">
        <f t="shared" si="170"/>
        <v>#DIV/0!</v>
      </c>
      <c r="M95" s="175" t="s">
        <v>754</v>
      </c>
      <c r="N95" s="175">
        <f t="shared" si="171"/>
        <v>0</v>
      </c>
      <c r="O95" s="175"/>
      <c r="P95" s="289"/>
      <c r="Q95" s="289"/>
      <c r="R95" s="289"/>
      <c r="S95" s="289"/>
      <c r="T95" s="289"/>
      <c r="U95" s="289"/>
      <c r="V95" s="289"/>
      <c r="W95" s="289"/>
      <c r="X95" s="289"/>
      <c r="Y95" s="289"/>
      <c r="Z95" s="289"/>
      <c r="AA95" s="289"/>
      <c r="AB95" s="175">
        <f t="shared" si="172"/>
        <v>0</v>
      </c>
      <c r="AC95" s="175">
        <f t="shared" si="173"/>
        <v>0</v>
      </c>
      <c r="AD95" s="297"/>
      <c r="AE95" s="297"/>
      <c r="AF95" s="175">
        <f t="shared" si="174"/>
        <v>0</v>
      </c>
      <c r="AG95" s="297"/>
      <c r="AH95" s="297"/>
      <c r="AI95" s="175">
        <f t="shared" si="175"/>
        <v>0</v>
      </c>
      <c r="AJ95" s="297"/>
      <c r="AK95" s="297"/>
      <c r="AL95" s="175">
        <f t="shared" si="176"/>
        <v>0</v>
      </c>
      <c r="AM95" s="297"/>
      <c r="AN95" s="297"/>
      <c r="AO95" s="175">
        <f t="shared" si="177"/>
        <v>0</v>
      </c>
      <c r="AP95" s="297"/>
      <c r="AQ95" s="297"/>
      <c r="AR95" s="175">
        <f t="shared" si="178"/>
        <v>0</v>
      </c>
      <c r="AS95" s="297"/>
      <c r="AT95" s="297"/>
      <c r="AU95" s="175">
        <f t="shared" si="179"/>
        <v>0</v>
      </c>
      <c r="AV95" s="297"/>
      <c r="AW95" s="297"/>
      <c r="AX95" s="175">
        <f t="shared" si="180"/>
        <v>0</v>
      </c>
      <c r="AY95" s="297"/>
      <c r="AZ95" s="297"/>
      <c r="BA95" s="175">
        <f t="shared" si="181"/>
        <v>0</v>
      </c>
      <c r="BB95" s="297"/>
      <c r="BC95" s="297"/>
      <c r="BD95" s="175">
        <f t="shared" si="182"/>
        <v>0</v>
      </c>
      <c r="BE95" s="297"/>
      <c r="BF95" s="297"/>
      <c r="BG95" s="175">
        <f t="shared" si="183"/>
        <v>0</v>
      </c>
      <c r="BH95" s="297"/>
      <c r="BI95" s="297"/>
      <c r="BJ95" s="175">
        <f t="shared" si="184"/>
        <v>0</v>
      </c>
      <c r="BK95" s="297"/>
      <c r="BL95" s="306"/>
      <c r="BM95" s="310"/>
      <c r="BN95" s="314"/>
    </row>
    <row r="96" s="262" customFormat="1" ht="33.95" hidden="1" customHeight="1" outlineLevel="5" spans="2:66">
      <c r="B96" s="175" t="s">
        <v>747</v>
      </c>
      <c r="C96" s="282" t="s">
        <v>898</v>
      </c>
      <c r="D96" s="262" t="s">
        <v>899</v>
      </c>
      <c r="E96" s="175" t="s">
        <v>890</v>
      </c>
      <c r="F96" s="175"/>
      <c r="G96" s="175" t="s">
        <v>891</v>
      </c>
      <c r="H96" s="175">
        <f t="shared" si="168"/>
        <v>0</v>
      </c>
      <c r="I96" s="175" t="s">
        <v>752</v>
      </c>
      <c r="J96" s="175" t="e">
        <f t="shared" si="169"/>
        <v>#DIV/0!</v>
      </c>
      <c r="K96" s="175" t="s">
        <v>753</v>
      </c>
      <c r="L96" s="175" t="e">
        <f t="shared" si="170"/>
        <v>#DIV/0!</v>
      </c>
      <c r="M96" s="175" t="s">
        <v>754</v>
      </c>
      <c r="N96" s="175">
        <f t="shared" si="171"/>
        <v>0</v>
      </c>
      <c r="O96" s="175"/>
      <c r="P96" s="289"/>
      <c r="Q96" s="289"/>
      <c r="R96" s="289"/>
      <c r="S96" s="289"/>
      <c r="T96" s="289"/>
      <c r="U96" s="289"/>
      <c r="V96" s="289"/>
      <c r="W96" s="289"/>
      <c r="X96" s="289"/>
      <c r="Y96" s="289"/>
      <c r="Z96" s="289"/>
      <c r="AA96" s="289"/>
      <c r="AB96" s="175">
        <f t="shared" si="172"/>
        <v>0</v>
      </c>
      <c r="AC96" s="175">
        <f t="shared" si="173"/>
        <v>0</v>
      </c>
      <c r="AD96" s="297"/>
      <c r="AE96" s="297"/>
      <c r="AF96" s="175">
        <f t="shared" si="174"/>
        <v>0</v>
      </c>
      <c r="AG96" s="297"/>
      <c r="AH96" s="297"/>
      <c r="AI96" s="175">
        <f t="shared" si="175"/>
        <v>0</v>
      </c>
      <c r="AJ96" s="297"/>
      <c r="AK96" s="297"/>
      <c r="AL96" s="175">
        <f t="shared" si="176"/>
        <v>0</v>
      </c>
      <c r="AM96" s="297"/>
      <c r="AN96" s="297"/>
      <c r="AO96" s="175">
        <f t="shared" si="177"/>
        <v>0</v>
      </c>
      <c r="AP96" s="297"/>
      <c r="AQ96" s="297"/>
      <c r="AR96" s="175">
        <f t="shared" si="178"/>
        <v>0</v>
      </c>
      <c r="AS96" s="297"/>
      <c r="AT96" s="297"/>
      <c r="AU96" s="175">
        <f t="shared" si="179"/>
        <v>0</v>
      </c>
      <c r="AV96" s="297"/>
      <c r="AW96" s="297"/>
      <c r="AX96" s="175">
        <f t="shared" si="180"/>
        <v>0</v>
      </c>
      <c r="AY96" s="297"/>
      <c r="AZ96" s="297"/>
      <c r="BA96" s="175">
        <f t="shared" si="181"/>
        <v>0</v>
      </c>
      <c r="BB96" s="297"/>
      <c r="BC96" s="297"/>
      <c r="BD96" s="175">
        <f t="shared" si="182"/>
        <v>0</v>
      </c>
      <c r="BE96" s="297"/>
      <c r="BF96" s="297"/>
      <c r="BG96" s="175">
        <f t="shared" si="183"/>
        <v>0</v>
      </c>
      <c r="BH96" s="297"/>
      <c r="BI96" s="297"/>
      <c r="BJ96" s="175">
        <f t="shared" si="184"/>
        <v>0</v>
      </c>
      <c r="BK96" s="297"/>
      <c r="BL96" s="306"/>
      <c r="BM96" s="310"/>
      <c r="BN96" s="314"/>
    </row>
    <row r="97" s="262" customFormat="1" ht="33.95" hidden="1" customHeight="1" outlineLevel="5" spans="2:66">
      <c r="B97" s="175" t="s">
        <v>747</v>
      </c>
      <c r="C97" s="282" t="s">
        <v>900</v>
      </c>
      <c r="D97" s="262" t="s">
        <v>901</v>
      </c>
      <c r="E97" s="175" t="s">
        <v>902</v>
      </c>
      <c r="F97" s="175"/>
      <c r="G97" s="175" t="s">
        <v>891</v>
      </c>
      <c r="H97" s="175">
        <f t="shared" si="168"/>
        <v>0</v>
      </c>
      <c r="I97" s="175" t="s">
        <v>752</v>
      </c>
      <c r="J97" s="175" t="e">
        <f t="shared" si="169"/>
        <v>#DIV/0!</v>
      </c>
      <c r="K97" s="175" t="s">
        <v>753</v>
      </c>
      <c r="L97" s="175" t="e">
        <f t="shared" si="170"/>
        <v>#DIV/0!</v>
      </c>
      <c r="M97" s="175" t="s">
        <v>754</v>
      </c>
      <c r="N97" s="175">
        <f t="shared" si="171"/>
        <v>0</v>
      </c>
      <c r="O97" s="175"/>
      <c r="P97" s="289"/>
      <c r="Q97" s="289"/>
      <c r="R97" s="289"/>
      <c r="S97" s="289"/>
      <c r="T97" s="289"/>
      <c r="U97" s="289"/>
      <c r="V97" s="289"/>
      <c r="W97" s="289"/>
      <c r="X97" s="289"/>
      <c r="Y97" s="289"/>
      <c r="Z97" s="289"/>
      <c r="AA97" s="289"/>
      <c r="AB97" s="175">
        <f t="shared" si="172"/>
        <v>0</v>
      </c>
      <c r="AC97" s="175">
        <f t="shared" si="173"/>
        <v>0</v>
      </c>
      <c r="AD97" s="297"/>
      <c r="AE97" s="297"/>
      <c r="AF97" s="175">
        <f t="shared" si="174"/>
        <v>0</v>
      </c>
      <c r="AG97" s="297"/>
      <c r="AH97" s="297"/>
      <c r="AI97" s="175">
        <f t="shared" si="175"/>
        <v>0</v>
      </c>
      <c r="AJ97" s="297"/>
      <c r="AK97" s="297"/>
      <c r="AL97" s="175">
        <f t="shared" si="176"/>
        <v>0</v>
      </c>
      <c r="AM97" s="297"/>
      <c r="AN97" s="297"/>
      <c r="AO97" s="175">
        <f t="shared" si="177"/>
        <v>0</v>
      </c>
      <c r="AP97" s="297"/>
      <c r="AQ97" s="297"/>
      <c r="AR97" s="175">
        <f t="shared" si="178"/>
        <v>0</v>
      </c>
      <c r="AS97" s="297"/>
      <c r="AT97" s="297"/>
      <c r="AU97" s="175">
        <f t="shared" si="179"/>
        <v>0</v>
      </c>
      <c r="AV97" s="297"/>
      <c r="AW97" s="297"/>
      <c r="AX97" s="175">
        <f t="shared" si="180"/>
        <v>0</v>
      </c>
      <c r="AY97" s="297"/>
      <c r="AZ97" s="297"/>
      <c r="BA97" s="175">
        <f t="shared" si="181"/>
        <v>0</v>
      </c>
      <c r="BB97" s="297"/>
      <c r="BC97" s="297"/>
      <c r="BD97" s="175">
        <f t="shared" si="182"/>
        <v>0</v>
      </c>
      <c r="BE97" s="297"/>
      <c r="BF97" s="297"/>
      <c r="BG97" s="175">
        <f t="shared" si="183"/>
        <v>0</v>
      </c>
      <c r="BH97" s="297"/>
      <c r="BI97" s="297"/>
      <c r="BJ97" s="175">
        <f t="shared" si="184"/>
        <v>0</v>
      </c>
      <c r="BK97" s="297"/>
      <c r="BL97" s="306"/>
      <c r="BM97" s="310"/>
      <c r="BN97" s="314"/>
    </row>
    <row r="98" s="262" customFormat="1" ht="33.95" hidden="1" customHeight="1" outlineLevel="5" spans="2:66">
      <c r="B98" s="175" t="s">
        <v>747</v>
      </c>
      <c r="C98" s="282" t="s">
        <v>903</v>
      </c>
      <c r="D98" s="262" t="s">
        <v>904</v>
      </c>
      <c r="E98" s="175" t="s">
        <v>902</v>
      </c>
      <c r="F98" s="175"/>
      <c r="G98" s="175" t="s">
        <v>891</v>
      </c>
      <c r="H98" s="175">
        <f t="shared" si="168"/>
        <v>0</v>
      </c>
      <c r="I98" s="175" t="s">
        <v>752</v>
      </c>
      <c r="J98" s="175" t="e">
        <f t="shared" si="169"/>
        <v>#DIV/0!</v>
      </c>
      <c r="K98" s="175" t="s">
        <v>753</v>
      </c>
      <c r="L98" s="175" t="e">
        <f t="shared" si="170"/>
        <v>#DIV/0!</v>
      </c>
      <c r="M98" s="175" t="s">
        <v>754</v>
      </c>
      <c r="N98" s="175">
        <f t="shared" si="171"/>
        <v>0</v>
      </c>
      <c r="O98" s="175"/>
      <c r="P98" s="289"/>
      <c r="Q98" s="289"/>
      <c r="R98" s="289"/>
      <c r="S98" s="289"/>
      <c r="T98" s="289"/>
      <c r="U98" s="289"/>
      <c r="V98" s="289"/>
      <c r="W98" s="289"/>
      <c r="X98" s="289"/>
      <c r="Y98" s="289"/>
      <c r="Z98" s="289"/>
      <c r="AA98" s="289"/>
      <c r="AB98" s="175">
        <f t="shared" si="172"/>
        <v>0</v>
      </c>
      <c r="AC98" s="175">
        <f t="shared" si="173"/>
        <v>0</v>
      </c>
      <c r="AD98" s="297"/>
      <c r="AE98" s="297"/>
      <c r="AF98" s="175">
        <f t="shared" si="174"/>
        <v>0</v>
      </c>
      <c r="AG98" s="297"/>
      <c r="AH98" s="297"/>
      <c r="AI98" s="175">
        <f t="shared" si="175"/>
        <v>0</v>
      </c>
      <c r="AJ98" s="297"/>
      <c r="AK98" s="297"/>
      <c r="AL98" s="175">
        <f t="shared" si="176"/>
        <v>0</v>
      </c>
      <c r="AM98" s="297"/>
      <c r="AN98" s="297"/>
      <c r="AO98" s="175">
        <f t="shared" si="177"/>
        <v>0</v>
      </c>
      <c r="AP98" s="297"/>
      <c r="AQ98" s="297"/>
      <c r="AR98" s="175">
        <f t="shared" si="178"/>
        <v>0</v>
      </c>
      <c r="AS98" s="297"/>
      <c r="AT98" s="297"/>
      <c r="AU98" s="175">
        <f t="shared" si="179"/>
        <v>0</v>
      </c>
      <c r="AV98" s="297"/>
      <c r="AW98" s="297"/>
      <c r="AX98" s="175">
        <f t="shared" si="180"/>
        <v>0</v>
      </c>
      <c r="AY98" s="297"/>
      <c r="AZ98" s="297"/>
      <c r="BA98" s="175">
        <f t="shared" si="181"/>
        <v>0</v>
      </c>
      <c r="BB98" s="297"/>
      <c r="BC98" s="297"/>
      <c r="BD98" s="175">
        <f t="shared" si="182"/>
        <v>0</v>
      </c>
      <c r="BE98" s="297"/>
      <c r="BF98" s="297"/>
      <c r="BG98" s="175">
        <f t="shared" si="183"/>
        <v>0</v>
      </c>
      <c r="BH98" s="297"/>
      <c r="BI98" s="297"/>
      <c r="BJ98" s="175">
        <f t="shared" si="184"/>
        <v>0</v>
      </c>
      <c r="BK98" s="297"/>
      <c r="BL98" s="306"/>
      <c r="BM98" s="310"/>
      <c r="BN98" s="314"/>
    </row>
    <row r="99" s="262" customFormat="1" ht="33.95" hidden="1" customHeight="1" outlineLevel="5" spans="2:66">
      <c r="B99" s="175" t="s">
        <v>747</v>
      </c>
      <c r="C99" s="282" t="s">
        <v>905</v>
      </c>
      <c r="D99" s="262" t="s">
        <v>906</v>
      </c>
      <c r="E99" s="175" t="s">
        <v>907</v>
      </c>
      <c r="F99" s="175"/>
      <c r="G99" s="175" t="s">
        <v>891</v>
      </c>
      <c r="H99" s="175">
        <f t="shared" si="168"/>
        <v>0</v>
      </c>
      <c r="I99" s="175" t="s">
        <v>752</v>
      </c>
      <c r="J99" s="175" t="e">
        <f t="shared" si="169"/>
        <v>#DIV/0!</v>
      </c>
      <c r="K99" s="175" t="s">
        <v>753</v>
      </c>
      <c r="L99" s="175" t="e">
        <f t="shared" si="170"/>
        <v>#DIV/0!</v>
      </c>
      <c r="M99" s="175" t="s">
        <v>754</v>
      </c>
      <c r="N99" s="175">
        <f t="shared" si="171"/>
        <v>0</v>
      </c>
      <c r="O99" s="175"/>
      <c r="P99" s="289"/>
      <c r="Q99" s="289"/>
      <c r="R99" s="289"/>
      <c r="S99" s="289"/>
      <c r="T99" s="289"/>
      <c r="U99" s="289"/>
      <c r="V99" s="289"/>
      <c r="W99" s="289"/>
      <c r="X99" s="289"/>
      <c r="Y99" s="289"/>
      <c r="Z99" s="289"/>
      <c r="AA99" s="289"/>
      <c r="AB99" s="175">
        <f t="shared" si="172"/>
        <v>0</v>
      </c>
      <c r="AC99" s="175">
        <f t="shared" si="173"/>
        <v>0</v>
      </c>
      <c r="AD99" s="297"/>
      <c r="AE99" s="297"/>
      <c r="AF99" s="175">
        <f t="shared" si="174"/>
        <v>0</v>
      </c>
      <c r="AG99" s="297"/>
      <c r="AH99" s="297"/>
      <c r="AI99" s="175">
        <f t="shared" si="175"/>
        <v>0</v>
      </c>
      <c r="AJ99" s="297"/>
      <c r="AK99" s="297"/>
      <c r="AL99" s="175">
        <f t="shared" si="176"/>
        <v>0</v>
      </c>
      <c r="AM99" s="297"/>
      <c r="AN99" s="297"/>
      <c r="AO99" s="175">
        <f t="shared" si="177"/>
        <v>0</v>
      </c>
      <c r="AP99" s="297"/>
      <c r="AQ99" s="297"/>
      <c r="AR99" s="175">
        <f t="shared" si="178"/>
        <v>0</v>
      </c>
      <c r="AS99" s="297"/>
      <c r="AT99" s="297"/>
      <c r="AU99" s="175">
        <f t="shared" si="179"/>
        <v>0</v>
      </c>
      <c r="AV99" s="297"/>
      <c r="AW99" s="297"/>
      <c r="AX99" s="175">
        <f t="shared" si="180"/>
        <v>0</v>
      </c>
      <c r="AY99" s="297"/>
      <c r="AZ99" s="297"/>
      <c r="BA99" s="175">
        <f t="shared" si="181"/>
        <v>0</v>
      </c>
      <c r="BB99" s="297"/>
      <c r="BC99" s="297"/>
      <c r="BD99" s="175">
        <f t="shared" si="182"/>
        <v>0</v>
      </c>
      <c r="BE99" s="297"/>
      <c r="BF99" s="297"/>
      <c r="BG99" s="175">
        <f t="shared" si="183"/>
        <v>0</v>
      </c>
      <c r="BH99" s="297"/>
      <c r="BI99" s="297"/>
      <c r="BJ99" s="175">
        <f t="shared" si="184"/>
        <v>0</v>
      </c>
      <c r="BK99" s="297"/>
      <c r="BL99" s="306"/>
      <c r="BM99" s="310"/>
      <c r="BN99" s="314"/>
    </row>
    <row r="100" s="262" customFormat="1" ht="33.95" hidden="1" customHeight="1" outlineLevel="5" spans="2:66">
      <c r="B100" s="175" t="s">
        <v>747</v>
      </c>
      <c r="C100" s="282" t="s">
        <v>908</v>
      </c>
      <c r="D100" s="262" t="s">
        <v>909</v>
      </c>
      <c r="E100" s="175" t="s">
        <v>907</v>
      </c>
      <c r="F100" s="175"/>
      <c r="G100" s="175" t="s">
        <v>891</v>
      </c>
      <c r="H100" s="175">
        <f t="shared" si="168"/>
        <v>0</v>
      </c>
      <c r="I100" s="175" t="s">
        <v>752</v>
      </c>
      <c r="J100" s="175" t="e">
        <f t="shared" si="169"/>
        <v>#DIV/0!</v>
      </c>
      <c r="K100" s="175" t="s">
        <v>753</v>
      </c>
      <c r="L100" s="175" t="e">
        <f t="shared" si="170"/>
        <v>#DIV/0!</v>
      </c>
      <c r="M100" s="175" t="s">
        <v>754</v>
      </c>
      <c r="N100" s="175">
        <f t="shared" si="171"/>
        <v>0</v>
      </c>
      <c r="O100" s="175"/>
      <c r="P100" s="289"/>
      <c r="Q100" s="289"/>
      <c r="R100" s="289"/>
      <c r="S100" s="289"/>
      <c r="T100" s="289"/>
      <c r="U100" s="289"/>
      <c r="V100" s="289"/>
      <c r="W100" s="289"/>
      <c r="X100" s="289"/>
      <c r="Y100" s="289"/>
      <c r="Z100" s="289"/>
      <c r="AA100" s="289"/>
      <c r="AB100" s="175">
        <f t="shared" si="172"/>
        <v>0</v>
      </c>
      <c r="AC100" s="175">
        <f t="shared" si="173"/>
        <v>0</v>
      </c>
      <c r="AD100" s="297"/>
      <c r="AE100" s="297"/>
      <c r="AF100" s="175">
        <f t="shared" si="174"/>
        <v>0</v>
      </c>
      <c r="AG100" s="297"/>
      <c r="AH100" s="297"/>
      <c r="AI100" s="175">
        <f t="shared" si="175"/>
        <v>0</v>
      </c>
      <c r="AJ100" s="297"/>
      <c r="AK100" s="297"/>
      <c r="AL100" s="175">
        <f t="shared" si="176"/>
        <v>0</v>
      </c>
      <c r="AM100" s="297"/>
      <c r="AN100" s="297"/>
      <c r="AO100" s="175">
        <f t="shared" si="177"/>
        <v>0</v>
      </c>
      <c r="AP100" s="297"/>
      <c r="AQ100" s="297"/>
      <c r="AR100" s="175">
        <f t="shared" si="178"/>
        <v>0</v>
      </c>
      <c r="AS100" s="297"/>
      <c r="AT100" s="297"/>
      <c r="AU100" s="175">
        <f t="shared" si="179"/>
        <v>0</v>
      </c>
      <c r="AV100" s="297"/>
      <c r="AW100" s="297"/>
      <c r="AX100" s="175">
        <f t="shared" si="180"/>
        <v>0</v>
      </c>
      <c r="AY100" s="297"/>
      <c r="AZ100" s="297"/>
      <c r="BA100" s="175">
        <f t="shared" si="181"/>
        <v>0</v>
      </c>
      <c r="BB100" s="297"/>
      <c r="BC100" s="297"/>
      <c r="BD100" s="175">
        <f t="shared" si="182"/>
        <v>0</v>
      </c>
      <c r="BE100" s="297"/>
      <c r="BF100" s="297"/>
      <c r="BG100" s="175">
        <f t="shared" si="183"/>
        <v>0</v>
      </c>
      <c r="BH100" s="297"/>
      <c r="BI100" s="297"/>
      <c r="BJ100" s="175">
        <f t="shared" si="184"/>
        <v>0</v>
      </c>
      <c r="BK100" s="297"/>
      <c r="BL100" s="306"/>
      <c r="BM100" s="310"/>
      <c r="BN100" s="314"/>
    </row>
    <row r="101" s="262" customFormat="1" ht="33.95" hidden="1" customHeight="1" outlineLevel="5" spans="2:66">
      <c r="B101" s="175" t="s">
        <v>747</v>
      </c>
      <c r="C101" s="282" t="s">
        <v>910</v>
      </c>
      <c r="D101" s="262" t="s">
        <v>911</v>
      </c>
      <c r="E101" s="175" t="s">
        <v>907</v>
      </c>
      <c r="F101" s="175"/>
      <c r="G101" s="175" t="s">
        <v>891</v>
      </c>
      <c r="H101" s="175">
        <f t="shared" si="168"/>
        <v>0</v>
      </c>
      <c r="I101" s="175" t="s">
        <v>752</v>
      </c>
      <c r="J101" s="175" t="e">
        <f t="shared" si="169"/>
        <v>#DIV/0!</v>
      </c>
      <c r="K101" s="175" t="s">
        <v>753</v>
      </c>
      <c r="L101" s="175" t="e">
        <f t="shared" si="170"/>
        <v>#DIV/0!</v>
      </c>
      <c r="M101" s="175" t="s">
        <v>754</v>
      </c>
      <c r="N101" s="175">
        <f t="shared" si="171"/>
        <v>0</v>
      </c>
      <c r="O101" s="175"/>
      <c r="P101" s="289"/>
      <c r="Q101" s="289"/>
      <c r="R101" s="289"/>
      <c r="S101" s="289"/>
      <c r="T101" s="289"/>
      <c r="U101" s="289"/>
      <c r="V101" s="289"/>
      <c r="W101" s="289"/>
      <c r="X101" s="289"/>
      <c r="Y101" s="289"/>
      <c r="Z101" s="289"/>
      <c r="AA101" s="289"/>
      <c r="AB101" s="175">
        <f t="shared" si="172"/>
        <v>0</v>
      </c>
      <c r="AC101" s="175">
        <f t="shared" si="173"/>
        <v>0</v>
      </c>
      <c r="AD101" s="297"/>
      <c r="AE101" s="297"/>
      <c r="AF101" s="175">
        <f t="shared" si="174"/>
        <v>0</v>
      </c>
      <c r="AG101" s="297"/>
      <c r="AH101" s="297"/>
      <c r="AI101" s="175">
        <f t="shared" si="175"/>
        <v>0</v>
      </c>
      <c r="AJ101" s="297"/>
      <c r="AK101" s="297"/>
      <c r="AL101" s="175">
        <f t="shared" si="176"/>
        <v>0</v>
      </c>
      <c r="AM101" s="297"/>
      <c r="AN101" s="297"/>
      <c r="AO101" s="175">
        <f t="shared" si="177"/>
        <v>0</v>
      </c>
      <c r="AP101" s="297"/>
      <c r="AQ101" s="297"/>
      <c r="AR101" s="175">
        <f t="shared" si="178"/>
        <v>0</v>
      </c>
      <c r="AS101" s="297"/>
      <c r="AT101" s="297"/>
      <c r="AU101" s="175">
        <f t="shared" si="179"/>
        <v>0</v>
      </c>
      <c r="AV101" s="297"/>
      <c r="AW101" s="297"/>
      <c r="AX101" s="175">
        <f t="shared" si="180"/>
        <v>0</v>
      </c>
      <c r="AY101" s="297"/>
      <c r="AZ101" s="297"/>
      <c r="BA101" s="175">
        <f t="shared" si="181"/>
        <v>0</v>
      </c>
      <c r="BB101" s="297"/>
      <c r="BC101" s="297"/>
      <c r="BD101" s="175">
        <f t="shared" si="182"/>
        <v>0</v>
      </c>
      <c r="BE101" s="297"/>
      <c r="BF101" s="297"/>
      <c r="BG101" s="175">
        <f t="shared" si="183"/>
        <v>0</v>
      </c>
      <c r="BH101" s="297"/>
      <c r="BI101" s="297"/>
      <c r="BJ101" s="175">
        <f t="shared" si="184"/>
        <v>0</v>
      </c>
      <c r="BK101" s="297"/>
      <c r="BL101" s="306"/>
      <c r="BM101" s="310"/>
      <c r="BN101" s="314"/>
    </row>
    <row r="102" s="262" customFormat="1" ht="33.95" hidden="1" customHeight="1" outlineLevel="5" spans="2:66">
      <c r="B102" s="175" t="s">
        <v>747</v>
      </c>
      <c r="C102" s="282" t="s">
        <v>912</v>
      </c>
      <c r="D102" s="262" t="s">
        <v>913</v>
      </c>
      <c r="E102" s="175" t="s">
        <v>907</v>
      </c>
      <c r="F102" s="175"/>
      <c r="G102" s="175" t="s">
        <v>891</v>
      </c>
      <c r="H102" s="175">
        <f t="shared" si="168"/>
        <v>0</v>
      </c>
      <c r="I102" s="175" t="s">
        <v>752</v>
      </c>
      <c r="J102" s="175" t="e">
        <f t="shared" si="169"/>
        <v>#DIV/0!</v>
      </c>
      <c r="K102" s="175" t="s">
        <v>753</v>
      </c>
      <c r="L102" s="175" t="e">
        <f t="shared" si="170"/>
        <v>#DIV/0!</v>
      </c>
      <c r="M102" s="175" t="s">
        <v>754</v>
      </c>
      <c r="N102" s="175">
        <f t="shared" si="171"/>
        <v>0</v>
      </c>
      <c r="O102" s="175"/>
      <c r="P102" s="289"/>
      <c r="Q102" s="289"/>
      <c r="R102" s="289"/>
      <c r="S102" s="289"/>
      <c r="T102" s="289"/>
      <c r="U102" s="289"/>
      <c r="V102" s="289"/>
      <c r="W102" s="289"/>
      <c r="X102" s="289"/>
      <c r="Y102" s="289"/>
      <c r="Z102" s="289"/>
      <c r="AA102" s="289"/>
      <c r="AB102" s="175">
        <f t="shared" si="172"/>
        <v>0</v>
      </c>
      <c r="AC102" s="175">
        <f t="shared" si="173"/>
        <v>0</v>
      </c>
      <c r="AD102" s="297"/>
      <c r="AE102" s="297"/>
      <c r="AF102" s="175">
        <f t="shared" si="174"/>
        <v>0</v>
      </c>
      <c r="AG102" s="297"/>
      <c r="AH102" s="297"/>
      <c r="AI102" s="175">
        <f t="shared" si="175"/>
        <v>0</v>
      </c>
      <c r="AJ102" s="297"/>
      <c r="AK102" s="297"/>
      <c r="AL102" s="175">
        <f t="shared" si="176"/>
        <v>0</v>
      </c>
      <c r="AM102" s="297"/>
      <c r="AN102" s="297"/>
      <c r="AO102" s="175">
        <f t="shared" si="177"/>
        <v>0</v>
      </c>
      <c r="AP102" s="297"/>
      <c r="AQ102" s="297"/>
      <c r="AR102" s="175">
        <f t="shared" si="178"/>
        <v>0</v>
      </c>
      <c r="AS102" s="297"/>
      <c r="AT102" s="297"/>
      <c r="AU102" s="175">
        <f t="shared" si="179"/>
        <v>0</v>
      </c>
      <c r="AV102" s="297"/>
      <c r="AW102" s="297"/>
      <c r="AX102" s="175">
        <f t="shared" si="180"/>
        <v>0</v>
      </c>
      <c r="AY102" s="297"/>
      <c r="AZ102" s="297"/>
      <c r="BA102" s="175">
        <f t="shared" si="181"/>
        <v>0</v>
      </c>
      <c r="BB102" s="297"/>
      <c r="BC102" s="297"/>
      <c r="BD102" s="175">
        <f t="shared" si="182"/>
        <v>0</v>
      </c>
      <c r="BE102" s="297"/>
      <c r="BF102" s="297"/>
      <c r="BG102" s="175">
        <f t="shared" si="183"/>
        <v>0</v>
      </c>
      <c r="BH102" s="297"/>
      <c r="BI102" s="297"/>
      <c r="BJ102" s="175">
        <f t="shared" si="184"/>
        <v>0</v>
      </c>
      <c r="BK102" s="297"/>
      <c r="BL102" s="306"/>
      <c r="BM102" s="310"/>
      <c r="BN102" s="314"/>
    </row>
    <row r="103" s="262" customFormat="1" ht="33.95" hidden="1" customHeight="1" outlineLevel="5" spans="2:66">
      <c r="B103" s="175" t="s">
        <v>747</v>
      </c>
      <c r="C103" s="282" t="s">
        <v>914</v>
      </c>
      <c r="D103" s="262" t="s">
        <v>915</v>
      </c>
      <c r="E103" s="175" t="s">
        <v>907</v>
      </c>
      <c r="F103" s="175"/>
      <c r="G103" s="175" t="s">
        <v>891</v>
      </c>
      <c r="H103" s="175">
        <f t="shared" si="168"/>
        <v>0</v>
      </c>
      <c r="I103" s="175" t="s">
        <v>752</v>
      </c>
      <c r="J103" s="175" t="e">
        <f t="shared" si="169"/>
        <v>#DIV/0!</v>
      </c>
      <c r="K103" s="175" t="s">
        <v>753</v>
      </c>
      <c r="L103" s="175" t="e">
        <f t="shared" si="170"/>
        <v>#DIV/0!</v>
      </c>
      <c r="M103" s="175" t="s">
        <v>754</v>
      </c>
      <c r="N103" s="175">
        <f t="shared" si="171"/>
        <v>0</v>
      </c>
      <c r="O103" s="175"/>
      <c r="P103" s="289"/>
      <c r="Q103" s="289"/>
      <c r="R103" s="289"/>
      <c r="S103" s="289"/>
      <c r="T103" s="289"/>
      <c r="U103" s="289"/>
      <c r="V103" s="289"/>
      <c r="W103" s="289"/>
      <c r="X103" s="289"/>
      <c r="Y103" s="289"/>
      <c r="Z103" s="289"/>
      <c r="AA103" s="289"/>
      <c r="AB103" s="175">
        <f t="shared" si="172"/>
        <v>0</v>
      </c>
      <c r="AC103" s="175">
        <f t="shared" si="173"/>
        <v>0</v>
      </c>
      <c r="AD103" s="297"/>
      <c r="AE103" s="297"/>
      <c r="AF103" s="175">
        <f t="shared" si="174"/>
        <v>0</v>
      </c>
      <c r="AG103" s="297"/>
      <c r="AH103" s="297"/>
      <c r="AI103" s="175">
        <f t="shared" si="175"/>
        <v>0</v>
      </c>
      <c r="AJ103" s="297"/>
      <c r="AK103" s="297"/>
      <c r="AL103" s="175">
        <f t="shared" si="176"/>
        <v>0</v>
      </c>
      <c r="AM103" s="297"/>
      <c r="AN103" s="297"/>
      <c r="AO103" s="175">
        <f t="shared" si="177"/>
        <v>0</v>
      </c>
      <c r="AP103" s="297"/>
      <c r="AQ103" s="297"/>
      <c r="AR103" s="175">
        <f t="shared" si="178"/>
        <v>0</v>
      </c>
      <c r="AS103" s="297"/>
      <c r="AT103" s="297"/>
      <c r="AU103" s="175">
        <f t="shared" si="179"/>
        <v>0</v>
      </c>
      <c r="AV103" s="297"/>
      <c r="AW103" s="297"/>
      <c r="AX103" s="175">
        <f t="shared" si="180"/>
        <v>0</v>
      </c>
      <c r="AY103" s="297"/>
      <c r="AZ103" s="297"/>
      <c r="BA103" s="175">
        <f t="shared" si="181"/>
        <v>0</v>
      </c>
      <c r="BB103" s="297"/>
      <c r="BC103" s="297"/>
      <c r="BD103" s="175">
        <f t="shared" si="182"/>
        <v>0</v>
      </c>
      <c r="BE103" s="297"/>
      <c r="BF103" s="297"/>
      <c r="BG103" s="175">
        <f t="shared" si="183"/>
        <v>0</v>
      </c>
      <c r="BH103" s="297"/>
      <c r="BI103" s="297"/>
      <c r="BJ103" s="175">
        <f t="shared" si="184"/>
        <v>0</v>
      </c>
      <c r="BK103" s="297"/>
      <c r="BL103" s="306"/>
      <c r="BM103" s="310"/>
      <c r="BN103" s="314"/>
    </row>
    <row r="104" s="262" customFormat="1" ht="33.95" hidden="1" customHeight="1" outlineLevel="5" spans="2:66">
      <c r="B104" s="175" t="s">
        <v>747</v>
      </c>
      <c r="C104" s="282" t="s">
        <v>916</v>
      </c>
      <c r="D104" s="262" t="s">
        <v>917</v>
      </c>
      <c r="E104" s="175" t="s">
        <v>907</v>
      </c>
      <c r="F104" s="175"/>
      <c r="G104" s="175" t="s">
        <v>891</v>
      </c>
      <c r="H104" s="175">
        <f t="shared" si="168"/>
        <v>0</v>
      </c>
      <c r="I104" s="175" t="s">
        <v>752</v>
      </c>
      <c r="J104" s="175" t="e">
        <f t="shared" si="169"/>
        <v>#DIV/0!</v>
      </c>
      <c r="K104" s="175" t="s">
        <v>753</v>
      </c>
      <c r="L104" s="175" t="e">
        <f t="shared" si="170"/>
        <v>#DIV/0!</v>
      </c>
      <c r="M104" s="175" t="s">
        <v>754</v>
      </c>
      <c r="N104" s="175">
        <f t="shared" si="171"/>
        <v>0</v>
      </c>
      <c r="O104" s="175"/>
      <c r="P104" s="289"/>
      <c r="Q104" s="289"/>
      <c r="R104" s="289"/>
      <c r="S104" s="289"/>
      <c r="T104" s="289"/>
      <c r="U104" s="289"/>
      <c r="V104" s="289"/>
      <c r="W104" s="289"/>
      <c r="X104" s="289"/>
      <c r="Y104" s="289"/>
      <c r="Z104" s="289"/>
      <c r="AA104" s="289"/>
      <c r="AB104" s="175">
        <f t="shared" si="172"/>
        <v>0</v>
      </c>
      <c r="AC104" s="175">
        <f t="shared" si="173"/>
        <v>0</v>
      </c>
      <c r="AD104" s="297"/>
      <c r="AE104" s="297"/>
      <c r="AF104" s="175">
        <f t="shared" si="174"/>
        <v>0</v>
      </c>
      <c r="AG104" s="297"/>
      <c r="AH104" s="297"/>
      <c r="AI104" s="175">
        <f t="shared" si="175"/>
        <v>0</v>
      </c>
      <c r="AJ104" s="297"/>
      <c r="AK104" s="297"/>
      <c r="AL104" s="175">
        <f t="shared" si="176"/>
        <v>0</v>
      </c>
      <c r="AM104" s="297"/>
      <c r="AN104" s="297"/>
      <c r="AO104" s="175">
        <f t="shared" si="177"/>
        <v>0</v>
      </c>
      <c r="AP104" s="297"/>
      <c r="AQ104" s="297"/>
      <c r="AR104" s="175">
        <f t="shared" si="178"/>
        <v>0</v>
      </c>
      <c r="AS104" s="297"/>
      <c r="AT104" s="297"/>
      <c r="AU104" s="175">
        <f t="shared" si="179"/>
        <v>0</v>
      </c>
      <c r="AV104" s="297"/>
      <c r="AW104" s="297"/>
      <c r="AX104" s="175">
        <f t="shared" si="180"/>
        <v>0</v>
      </c>
      <c r="AY104" s="297"/>
      <c r="AZ104" s="297"/>
      <c r="BA104" s="175">
        <f t="shared" si="181"/>
        <v>0</v>
      </c>
      <c r="BB104" s="297"/>
      <c r="BC104" s="297"/>
      <c r="BD104" s="175">
        <f t="shared" si="182"/>
        <v>0</v>
      </c>
      <c r="BE104" s="297"/>
      <c r="BF104" s="297"/>
      <c r="BG104" s="175">
        <f t="shared" si="183"/>
        <v>0</v>
      </c>
      <c r="BH104" s="297"/>
      <c r="BI104" s="297"/>
      <c r="BJ104" s="175">
        <f t="shared" si="184"/>
        <v>0</v>
      </c>
      <c r="BK104" s="297"/>
      <c r="BL104" s="306"/>
      <c r="BM104" s="310"/>
      <c r="BN104" s="314"/>
    </row>
    <row r="105" s="262" customFormat="1" ht="33.95" hidden="1" customHeight="1" outlineLevel="5" spans="2:66">
      <c r="B105" s="175" t="s">
        <v>747</v>
      </c>
      <c r="C105" s="282" t="s">
        <v>918</v>
      </c>
      <c r="D105" s="262" t="s">
        <v>919</v>
      </c>
      <c r="E105" s="175" t="s">
        <v>907</v>
      </c>
      <c r="F105" s="175"/>
      <c r="G105" s="175" t="s">
        <v>891</v>
      </c>
      <c r="H105" s="175">
        <f t="shared" si="168"/>
        <v>0</v>
      </c>
      <c r="I105" s="175" t="s">
        <v>752</v>
      </c>
      <c r="J105" s="175" t="e">
        <f t="shared" si="169"/>
        <v>#DIV/0!</v>
      </c>
      <c r="K105" s="175" t="s">
        <v>753</v>
      </c>
      <c r="L105" s="175" t="e">
        <f t="shared" si="170"/>
        <v>#DIV/0!</v>
      </c>
      <c r="M105" s="175" t="s">
        <v>754</v>
      </c>
      <c r="N105" s="175">
        <f t="shared" si="171"/>
        <v>0</v>
      </c>
      <c r="O105" s="175"/>
      <c r="P105" s="289"/>
      <c r="Q105" s="289"/>
      <c r="R105" s="289"/>
      <c r="S105" s="289"/>
      <c r="T105" s="289"/>
      <c r="U105" s="289"/>
      <c r="V105" s="289"/>
      <c r="W105" s="289"/>
      <c r="X105" s="289"/>
      <c r="Y105" s="289"/>
      <c r="Z105" s="289"/>
      <c r="AA105" s="289"/>
      <c r="AB105" s="175">
        <f t="shared" si="172"/>
        <v>0</v>
      </c>
      <c r="AC105" s="175">
        <f t="shared" si="173"/>
        <v>0</v>
      </c>
      <c r="AD105" s="297"/>
      <c r="AE105" s="297"/>
      <c r="AF105" s="175">
        <f t="shared" si="174"/>
        <v>0</v>
      </c>
      <c r="AG105" s="297"/>
      <c r="AH105" s="297"/>
      <c r="AI105" s="175">
        <f t="shared" si="175"/>
        <v>0</v>
      </c>
      <c r="AJ105" s="297"/>
      <c r="AK105" s="297"/>
      <c r="AL105" s="175">
        <f t="shared" si="176"/>
        <v>0</v>
      </c>
      <c r="AM105" s="297"/>
      <c r="AN105" s="297"/>
      <c r="AO105" s="175">
        <f t="shared" si="177"/>
        <v>0</v>
      </c>
      <c r="AP105" s="297"/>
      <c r="AQ105" s="297"/>
      <c r="AR105" s="175">
        <f t="shared" si="178"/>
        <v>0</v>
      </c>
      <c r="AS105" s="297"/>
      <c r="AT105" s="297"/>
      <c r="AU105" s="175">
        <f t="shared" si="179"/>
        <v>0</v>
      </c>
      <c r="AV105" s="297"/>
      <c r="AW105" s="297"/>
      <c r="AX105" s="175">
        <f t="shared" si="180"/>
        <v>0</v>
      </c>
      <c r="AY105" s="297"/>
      <c r="AZ105" s="297"/>
      <c r="BA105" s="175">
        <f t="shared" si="181"/>
        <v>0</v>
      </c>
      <c r="BB105" s="297"/>
      <c r="BC105" s="297"/>
      <c r="BD105" s="175">
        <f t="shared" si="182"/>
        <v>0</v>
      </c>
      <c r="BE105" s="297"/>
      <c r="BF105" s="297"/>
      <c r="BG105" s="175">
        <f t="shared" si="183"/>
        <v>0</v>
      </c>
      <c r="BH105" s="297"/>
      <c r="BI105" s="297"/>
      <c r="BJ105" s="175">
        <f t="shared" si="184"/>
        <v>0</v>
      </c>
      <c r="BK105" s="297"/>
      <c r="BL105" s="306"/>
      <c r="BM105" s="310"/>
      <c r="BN105" s="314"/>
    </row>
    <row r="106" s="262" customFormat="1" ht="33.95" hidden="1" customHeight="1" outlineLevel="5" spans="2:66">
      <c r="B106" s="175" t="s">
        <v>747</v>
      </c>
      <c r="C106" s="282" t="s">
        <v>920</v>
      </c>
      <c r="D106" s="262" t="s">
        <v>921</v>
      </c>
      <c r="E106" s="175" t="s">
        <v>907</v>
      </c>
      <c r="F106" s="175"/>
      <c r="G106" s="175" t="s">
        <v>891</v>
      </c>
      <c r="H106" s="175">
        <f t="shared" si="168"/>
        <v>0</v>
      </c>
      <c r="I106" s="175" t="s">
        <v>752</v>
      </c>
      <c r="J106" s="175" t="e">
        <f t="shared" si="169"/>
        <v>#DIV/0!</v>
      </c>
      <c r="K106" s="175" t="s">
        <v>753</v>
      </c>
      <c r="L106" s="175" t="e">
        <f t="shared" si="170"/>
        <v>#DIV/0!</v>
      </c>
      <c r="M106" s="175" t="s">
        <v>754</v>
      </c>
      <c r="N106" s="175">
        <f t="shared" si="171"/>
        <v>0</v>
      </c>
      <c r="O106" s="175"/>
      <c r="P106" s="289"/>
      <c r="Q106" s="289"/>
      <c r="R106" s="289"/>
      <c r="S106" s="289"/>
      <c r="T106" s="289"/>
      <c r="U106" s="289"/>
      <c r="V106" s="289"/>
      <c r="W106" s="289"/>
      <c r="X106" s="289"/>
      <c r="Y106" s="289"/>
      <c r="Z106" s="289"/>
      <c r="AA106" s="289"/>
      <c r="AB106" s="175">
        <f t="shared" si="172"/>
        <v>0</v>
      </c>
      <c r="AC106" s="175">
        <f t="shared" si="173"/>
        <v>0</v>
      </c>
      <c r="AD106" s="297"/>
      <c r="AE106" s="297"/>
      <c r="AF106" s="175">
        <f t="shared" si="174"/>
        <v>0</v>
      </c>
      <c r="AG106" s="297"/>
      <c r="AH106" s="297"/>
      <c r="AI106" s="175">
        <f t="shared" si="175"/>
        <v>0</v>
      </c>
      <c r="AJ106" s="297"/>
      <c r="AK106" s="297"/>
      <c r="AL106" s="175">
        <f t="shared" si="176"/>
        <v>0</v>
      </c>
      <c r="AM106" s="297"/>
      <c r="AN106" s="297"/>
      <c r="AO106" s="175">
        <f t="shared" si="177"/>
        <v>0</v>
      </c>
      <c r="AP106" s="297"/>
      <c r="AQ106" s="297"/>
      <c r="AR106" s="175">
        <f t="shared" si="178"/>
        <v>0</v>
      </c>
      <c r="AS106" s="297"/>
      <c r="AT106" s="297"/>
      <c r="AU106" s="175">
        <f t="shared" si="179"/>
        <v>0</v>
      </c>
      <c r="AV106" s="297"/>
      <c r="AW106" s="297"/>
      <c r="AX106" s="175">
        <f t="shared" si="180"/>
        <v>0</v>
      </c>
      <c r="AY106" s="297"/>
      <c r="AZ106" s="297"/>
      <c r="BA106" s="175">
        <f t="shared" si="181"/>
        <v>0</v>
      </c>
      <c r="BB106" s="297"/>
      <c r="BC106" s="297"/>
      <c r="BD106" s="175">
        <f t="shared" si="182"/>
        <v>0</v>
      </c>
      <c r="BE106" s="297"/>
      <c r="BF106" s="297"/>
      <c r="BG106" s="175">
        <f t="shared" si="183"/>
        <v>0</v>
      </c>
      <c r="BH106" s="297"/>
      <c r="BI106" s="297"/>
      <c r="BJ106" s="175">
        <f t="shared" si="184"/>
        <v>0</v>
      </c>
      <c r="BK106" s="297"/>
      <c r="BL106" s="306"/>
      <c r="BM106" s="310"/>
      <c r="BN106" s="314"/>
    </row>
    <row r="107" s="262" customFormat="1" ht="33.95" hidden="1" customHeight="1" outlineLevel="5" spans="2:66">
      <c r="B107" s="175" t="s">
        <v>747</v>
      </c>
      <c r="C107" s="282" t="s">
        <v>922</v>
      </c>
      <c r="D107" s="262" t="s">
        <v>923</v>
      </c>
      <c r="E107" s="175" t="s">
        <v>907</v>
      </c>
      <c r="F107" s="175"/>
      <c r="G107" s="175" t="s">
        <v>891</v>
      </c>
      <c r="H107" s="175">
        <f t="shared" si="168"/>
        <v>0</v>
      </c>
      <c r="I107" s="175" t="s">
        <v>752</v>
      </c>
      <c r="J107" s="175" t="e">
        <f t="shared" si="169"/>
        <v>#DIV/0!</v>
      </c>
      <c r="K107" s="175" t="s">
        <v>753</v>
      </c>
      <c r="L107" s="175" t="e">
        <f t="shared" si="170"/>
        <v>#DIV/0!</v>
      </c>
      <c r="M107" s="175" t="s">
        <v>754</v>
      </c>
      <c r="N107" s="175">
        <f t="shared" si="171"/>
        <v>0</v>
      </c>
      <c r="O107" s="175"/>
      <c r="P107" s="289"/>
      <c r="Q107" s="289"/>
      <c r="R107" s="289"/>
      <c r="S107" s="289"/>
      <c r="T107" s="289"/>
      <c r="U107" s="289"/>
      <c r="V107" s="289"/>
      <c r="W107" s="289"/>
      <c r="X107" s="289"/>
      <c r="Y107" s="289"/>
      <c r="Z107" s="289"/>
      <c r="AA107" s="289"/>
      <c r="AB107" s="175">
        <f t="shared" si="172"/>
        <v>0</v>
      </c>
      <c r="AC107" s="175">
        <f t="shared" si="173"/>
        <v>0</v>
      </c>
      <c r="AD107" s="297"/>
      <c r="AE107" s="297"/>
      <c r="AF107" s="175">
        <f t="shared" si="174"/>
        <v>0</v>
      </c>
      <c r="AG107" s="297"/>
      <c r="AH107" s="297"/>
      <c r="AI107" s="175">
        <f t="shared" si="175"/>
        <v>0</v>
      </c>
      <c r="AJ107" s="297"/>
      <c r="AK107" s="297"/>
      <c r="AL107" s="175">
        <f t="shared" si="176"/>
        <v>0</v>
      </c>
      <c r="AM107" s="297"/>
      <c r="AN107" s="297"/>
      <c r="AO107" s="175">
        <f t="shared" si="177"/>
        <v>0</v>
      </c>
      <c r="AP107" s="297"/>
      <c r="AQ107" s="297"/>
      <c r="AR107" s="175">
        <f t="shared" si="178"/>
        <v>0</v>
      </c>
      <c r="AS107" s="297"/>
      <c r="AT107" s="297"/>
      <c r="AU107" s="175">
        <f t="shared" si="179"/>
        <v>0</v>
      </c>
      <c r="AV107" s="297"/>
      <c r="AW107" s="297"/>
      <c r="AX107" s="175">
        <f t="shared" si="180"/>
        <v>0</v>
      </c>
      <c r="AY107" s="297"/>
      <c r="AZ107" s="297"/>
      <c r="BA107" s="175">
        <f t="shared" si="181"/>
        <v>0</v>
      </c>
      <c r="BB107" s="297"/>
      <c r="BC107" s="297"/>
      <c r="BD107" s="175">
        <f t="shared" si="182"/>
        <v>0</v>
      </c>
      <c r="BE107" s="297"/>
      <c r="BF107" s="297"/>
      <c r="BG107" s="175">
        <f t="shared" si="183"/>
        <v>0</v>
      </c>
      <c r="BH107" s="297"/>
      <c r="BI107" s="297"/>
      <c r="BJ107" s="175">
        <f t="shared" si="184"/>
        <v>0</v>
      </c>
      <c r="BK107" s="297"/>
      <c r="BL107" s="306"/>
      <c r="BM107" s="310"/>
      <c r="BN107" s="314"/>
    </row>
    <row r="108" s="262" customFormat="1" ht="33.95" hidden="1" customHeight="1" outlineLevel="5" spans="2:66">
      <c r="B108" s="175" t="s">
        <v>747</v>
      </c>
      <c r="C108" s="282" t="s">
        <v>924</v>
      </c>
      <c r="D108" s="262" t="s">
        <v>925</v>
      </c>
      <c r="E108" s="175" t="s">
        <v>907</v>
      </c>
      <c r="F108" s="175"/>
      <c r="G108" s="175" t="s">
        <v>891</v>
      </c>
      <c r="H108" s="175">
        <f t="shared" si="168"/>
        <v>0</v>
      </c>
      <c r="I108" s="175" t="s">
        <v>752</v>
      </c>
      <c r="J108" s="175" t="e">
        <f t="shared" si="169"/>
        <v>#DIV/0!</v>
      </c>
      <c r="K108" s="175" t="s">
        <v>753</v>
      </c>
      <c r="L108" s="175" t="e">
        <f t="shared" si="170"/>
        <v>#DIV/0!</v>
      </c>
      <c r="M108" s="175" t="s">
        <v>754</v>
      </c>
      <c r="N108" s="175">
        <f t="shared" si="171"/>
        <v>0</v>
      </c>
      <c r="O108" s="175"/>
      <c r="P108" s="289"/>
      <c r="Q108" s="289"/>
      <c r="R108" s="289"/>
      <c r="S108" s="289"/>
      <c r="T108" s="289"/>
      <c r="U108" s="289"/>
      <c r="V108" s="289"/>
      <c r="W108" s="289"/>
      <c r="X108" s="289"/>
      <c r="Y108" s="289"/>
      <c r="Z108" s="289"/>
      <c r="AA108" s="289"/>
      <c r="AB108" s="175">
        <f t="shared" si="172"/>
        <v>0</v>
      </c>
      <c r="AC108" s="175">
        <f t="shared" si="173"/>
        <v>0</v>
      </c>
      <c r="AD108" s="297"/>
      <c r="AE108" s="297"/>
      <c r="AF108" s="175">
        <f t="shared" si="174"/>
        <v>0</v>
      </c>
      <c r="AG108" s="297"/>
      <c r="AH108" s="297"/>
      <c r="AI108" s="175">
        <f t="shared" si="175"/>
        <v>0</v>
      </c>
      <c r="AJ108" s="297"/>
      <c r="AK108" s="297"/>
      <c r="AL108" s="175">
        <f t="shared" si="176"/>
        <v>0</v>
      </c>
      <c r="AM108" s="297"/>
      <c r="AN108" s="297"/>
      <c r="AO108" s="175">
        <f t="shared" si="177"/>
        <v>0</v>
      </c>
      <c r="AP108" s="297"/>
      <c r="AQ108" s="297"/>
      <c r="AR108" s="175">
        <f t="shared" si="178"/>
        <v>0</v>
      </c>
      <c r="AS108" s="297"/>
      <c r="AT108" s="297"/>
      <c r="AU108" s="175">
        <f t="shared" si="179"/>
        <v>0</v>
      </c>
      <c r="AV108" s="297"/>
      <c r="AW108" s="297"/>
      <c r="AX108" s="175">
        <f t="shared" si="180"/>
        <v>0</v>
      </c>
      <c r="AY108" s="297"/>
      <c r="AZ108" s="297"/>
      <c r="BA108" s="175">
        <f t="shared" si="181"/>
        <v>0</v>
      </c>
      <c r="BB108" s="297"/>
      <c r="BC108" s="297"/>
      <c r="BD108" s="175">
        <f t="shared" si="182"/>
        <v>0</v>
      </c>
      <c r="BE108" s="297"/>
      <c r="BF108" s="297"/>
      <c r="BG108" s="175">
        <f t="shared" si="183"/>
        <v>0</v>
      </c>
      <c r="BH108" s="297"/>
      <c r="BI108" s="297"/>
      <c r="BJ108" s="175">
        <f t="shared" si="184"/>
        <v>0</v>
      </c>
      <c r="BK108" s="297"/>
      <c r="BL108" s="306"/>
      <c r="BM108" s="310"/>
      <c r="BN108" s="314"/>
    </row>
    <row r="109" s="262" customFormat="1" ht="33.95" hidden="1" customHeight="1" outlineLevel="5" spans="2:66">
      <c r="B109" s="175" t="s">
        <v>747</v>
      </c>
      <c r="C109" s="282" t="s">
        <v>926</v>
      </c>
      <c r="D109" s="262" t="s">
        <v>927</v>
      </c>
      <c r="E109" s="175" t="s">
        <v>907</v>
      </c>
      <c r="F109" s="175"/>
      <c r="G109" s="175" t="s">
        <v>891</v>
      </c>
      <c r="H109" s="175">
        <f t="shared" si="168"/>
        <v>0</v>
      </c>
      <c r="I109" s="175" t="s">
        <v>752</v>
      </c>
      <c r="J109" s="175" t="e">
        <f t="shared" si="169"/>
        <v>#DIV/0!</v>
      </c>
      <c r="K109" s="175" t="s">
        <v>753</v>
      </c>
      <c r="L109" s="175" t="e">
        <f t="shared" si="170"/>
        <v>#DIV/0!</v>
      </c>
      <c r="M109" s="175" t="s">
        <v>754</v>
      </c>
      <c r="N109" s="175">
        <f t="shared" si="171"/>
        <v>0</v>
      </c>
      <c r="O109" s="175"/>
      <c r="P109" s="289"/>
      <c r="Q109" s="289"/>
      <c r="R109" s="289"/>
      <c r="S109" s="289"/>
      <c r="T109" s="289"/>
      <c r="U109" s="289"/>
      <c r="V109" s="289"/>
      <c r="W109" s="289"/>
      <c r="X109" s="289"/>
      <c r="Y109" s="289"/>
      <c r="Z109" s="289"/>
      <c r="AA109" s="289"/>
      <c r="AB109" s="175">
        <f t="shared" si="172"/>
        <v>0</v>
      </c>
      <c r="AC109" s="175">
        <f t="shared" si="173"/>
        <v>0</v>
      </c>
      <c r="AD109" s="297"/>
      <c r="AE109" s="297"/>
      <c r="AF109" s="175">
        <f t="shared" si="174"/>
        <v>0</v>
      </c>
      <c r="AG109" s="297"/>
      <c r="AH109" s="297"/>
      <c r="AI109" s="175">
        <f t="shared" si="175"/>
        <v>0</v>
      </c>
      <c r="AJ109" s="297"/>
      <c r="AK109" s="297"/>
      <c r="AL109" s="175">
        <f t="shared" si="176"/>
        <v>0</v>
      </c>
      <c r="AM109" s="297"/>
      <c r="AN109" s="297"/>
      <c r="AO109" s="175">
        <f t="shared" si="177"/>
        <v>0</v>
      </c>
      <c r="AP109" s="297"/>
      <c r="AQ109" s="297"/>
      <c r="AR109" s="175">
        <f t="shared" si="178"/>
        <v>0</v>
      </c>
      <c r="AS109" s="297"/>
      <c r="AT109" s="297"/>
      <c r="AU109" s="175">
        <f t="shared" si="179"/>
        <v>0</v>
      </c>
      <c r="AV109" s="297"/>
      <c r="AW109" s="297"/>
      <c r="AX109" s="175">
        <f t="shared" si="180"/>
        <v>0</v>
      </c>
      <c r="AY109" s="297"/>
      <c r="AZ109" s="297"/>
      <c r="BA109" s="175">
        <f t="shared" si="181"/>
        <v>0</v>
      </c>
      <c r="BB109" s="297"/>
      <c r="BC109" s="297"/>
      <c r="BD109" s="175">
        <f t="shared" si="182"/>
        <v>0</v>
      </c>
      <c r="BE109" s="297"/>
      <c r="BF109" s="297"/>
      <c r="BG109" s="175">
        <f t="shared" si="183"/>
        <v>0</v>
      </c>
      <c r="BH109" s="297"/>
      <c r="BI109" s="297"/>
      <c r="BJ109" s="175">
        <f t="shared" si="184"/>
        <v>0</v>
      </c>
      <c r="BK109" s="297"/>
      <c r="BL109" s="306"/>
      <c r="BM109" s="310"/>
      <c r="BN109" s="314"/>
    </row>
    <row r="110" s="262" customFormat="1" ht="33.95" hidden="1" customHeight="1" outlineLevel="5" spans="2:66">
      <c r="B110" s="175" t="s">
        <v>747</v>
      </c>
      <c r="C110" s="282" t="s">
        <v>928</v>
      </c>
      <c r="D110" s="262" t="s">
        <v>929</v>
      </c>
      <c r="E110" s="175" t="s">
        <v>930</v>
      </c>
      <c r="F110" s="175"/>
      <c r="G110" s="175" t="s">
        <v>891</v>
      </c>
      <c r="H110" s="175">
        <f t="shared" si="168"/>
        <v>0</v>
      </c>
      <c r="I110" s="175" t="s">
        <v>752</v>
      </c>
      <c r="J110" s="175" t="e">
        <f t="shared" si="169"/>
        <v>#DIV/0!</v>
      </c>
      <c r="K110" s="175" t="s">
        <v>753</v>
      </c>
      <c r="L110" s="175" t="e">
        <f t="shared" si="170"/>
        <v>#DIV/0!</v>
      </c>
      <c r="M110" s="175" t="s">
        <v>754</v>
      </c>
      <c r="N110" s="175">
        <f t="shared" si="171"/>
        <v>0</v>
      </c>
      <c r="O110" s="175"/>
      <c r="P110" s="289"/>
      <c r="Q110" s="289"/>
      <c r="R110" s="289"/>
      <c r="S110" s="289"/>
      <c r="T110" s="289"/>
      <c r="U110" s="289"/>
      <c r="V110" s="289"/>
      <c r="W110" s="289"/>
      <c r="X110" s="289"/>
      <c r="Y110" s="289"/>
      <c r="Z110" s="289"/>
      <c r="AA110" s="289"/>
      <c r="AB110" s="175">
        <f t="shared" si="172"/>
        <v>0</v>
      </c>
      <c r="AC110" s="175">
        <f t="shared" si="173"/>
        <v>0</v>
      </c>
      <c r="AD110" s="297"/>
      <c r="AE110" s="297"/>
      <c r="AF110" s="175">
        <f t="shared" si="174"/>
        <v>0</v>
      </c>
      <c r="AG110" s="297"/>
      <c r="AH110" s="297"/>
      <c r="AI110" s="175">
        <f t="shared" si="175"/>
        <v>0</v>
      </c>
      <c r="AJ110" s="297"/>
      <c r="AK110" s="297"/>
      <c r="AL110" s="175">
        <f t="shared" si="176"/>
        <v>0</v>
      </c>
      <c r="AM110" s="297"/>
      <c r="AN110" s="297"/>
      <c r="AO110" s="175">
        <f t="shared" si="177"/>
        <v>0</v>
      </c>
      <c r="AP110" s="297"/>
      <c r="AQ110" s="297"/>
      <c r="AR110" s="175">
        <f t="shared" si="178"/>
        <v>0</v>
      </c>
      <c r="AS110" s="297"/>
      <c r="AT110" s="297"/>
      <c r="AU110" s="175">
        <f t="shared" si="179"/>
        <v>0</v>
      </c>
      <c r="AV110" s="297"/>
      <c r="AW110" s="297"/>
      <c r="AX110" s="175">
        <f t="shared" si="180"/>
        <v>0</v>
      </c>
      <c r="AY110" s="297"/>
      <c r="AZ110" s="297"/>
      <c r="BA110" s="175">
        <f t="shared" si="181"/>
        <v>0</v>
      </c>
      <c r="BB110" s="297"/>
      <c r="BC110" s="297"/>
      <c r="BD110" s="175">
        <f t="shared" si="182"/>
        <v>0</v>
      </c>
      <c r="BE110" s="297"/>
      <c r="BF110" s="297"/>
      <c r="BG110" s="175">
        <f t="shared" si="183"/>
        <v>0</v>
      </c>
      <c r="BH110" s="297"/>
      <c r="BI110" s="297"/>
      <c r="BJ110" s="175">
        <f t="shared" si="184"/>
        <v>0</v>
      </c>
      <c r="BK110" s="297"/>
      <c r="BL110" s="306"/>
      <c r="BM110" s="310"/>
      <c r="BN110" s="314"/>
    </row>
    <row r="111" s="48" customFormat="1" ht="33.95" hidden="1" customHeight="1" outlineLevel="3" collapsed="1" spans="2:66">
      <c r="B111" s="115" t="s">
        <v>742</v>
      </c>
      <c r="C111" s="116" t="s">
        <v>931</v>
      </c>
      <c r="D111" s="48" t="s">
        <v>932</v>
      </c>
      <c r="E111" s="115"/>
      <c r="F111" s="115"/>
      <c r="G111" s="115"/>
      <c r="H111" s="115">
        <f>H112+H122+H132+H142</f>
        <v>221508</v>
      </c>
      <c r="I111" s="115"/>
      <c r="J111" s="115"/>
      <c r="K111" s="115"/>
      <c r="L111" s="115"/>
      <c r="M111" s="115"/>
      <c r="N111" s="115"/>
      <c r="O111" s="115"/>
      <c r="P111" s="287"/>
      <c r="Q111" s="287"/>
      <c r="R111" s="287"/>
      <c r="S111" s="287"/>
      <c r="T111" s="287"/>
      <c r="U111" s="287"/>
      <c r="V111" s="287"/>
      <c r="W111" s="287"/>
      <c r="X111" s="287"/>
      <c r="Y111" s="287"/>
      <c r="Z111" s="287"/>
      <c r="AA111" s="287"/>
      <c r="AB111" s="115">
        <f t="shared" ref="AB111:AF111" si="185">AB112+AB122+AB132+AB142</f>
        <v>221508</v>
      </c>
      <c r="AC111" s="115">
        <f t="shared" si="185"/>
        <v>18459</v>
      </c>
      <c r="AD111" s="115"/>
      <c r="AE111" s="115"/>
      <c r="AF111" s="115">
        <f t="shared" si="185"/>
        <v>18459</v>
      </c>
      <c r="AG111" s="115"/>
      <c r="AH111" s="115"/>
      <c r="AI111" s="115">
        <f>AI112+AI122+AI132+AI142</f>
        <v>18459</v>
      </c>
      <c r="AJ111" s="115"/>
      <c r="AK111" s="115"/>
      <c r="AL111" s="115">
        <f>AL112+AL122+AL132+AL142</f>
        <v>18459</v>
      </c>
      <c r="AM111" s="115"/>
      <c r="AN111" s="115"/>
      <c r="AO111" s="115">
        <f>AO112+AO122+AO132+AO142</f>
        <v>18459</v>
      </c>
      <c r="AP111" s="115"/>
      <c r="AQ111" s="115"/>
      <c r="AR111" s="115">
        <f>AR112+AR122+AR132+AR142</f>
        <v>18459</v>
      </c>
      <c r="AS111" s="115"/>
      <c r="AT111" s="115"/>
      <c r="AU111" s="115">
        <f>AU112+AU122+AU132+AU142</f>
        <v>18459</v>
      </c>
      <c r="AV111" s="115"/>
      <c r="AW111" s="115"/>
      <c r="AX111" s="115">
        <f>AX112+AX122+AX132+AX142</f>
        <v>18459</v>
      </c>
      <c r="AY111" s="115"/>
      <c r="AZ111" s="115"/>
      <c r="BA111" s="115">
        <f>BA112+BA122+BA132+BA142</f>
        <v>18459</v>
      </c>
      <c r="BB111" s="115"/>
      <c r="BC111" s="115"/>
      <c r="BD111" s="115">
        <f>BD112+BD122+BD132+BD142</f>
        <v>18459</v>
      </c>
      <c r="BE111" s="115"/>
      <c r="BF111" s="115"/>
      <c r="BG111" s="115">
        <f>BG112+BG122+BG132+BG142</f>
        <v>18459</v>
      </c>
      <c r="BH111" s="115"/>
      <c r="BI111" s="115"/>
      <c r="BJ111" s="115">
        <f>BJ112+BJ122+BJ132+BJ142</f>
        <v>18459</v>
      </c>
      <c r="BK111" s="115"/>
      <c r="BL111" s="304"/>
      <c r="BM111" s="310"/>
      <c r="BN111" s="312"/>
    </row>
    <row r="112" s="118" customFormat="1" ht="33.95" hidden="1" customHeight="1" outlineLevel="4" collapsed="1" spans="2:66">
      <c r="B112" s="119" t="s">
        <v>742</v>
      </c>
      <c r="C112" s="120" t="s">
        <v>118</v>
      </c>
      <c r="D112" s="118" t="s">
        <v>109</v>
      </c>
      <c r="E112" s="119"/>
      <c r="F112" s="119"/>
      <c r="G112" s="119"/>
      <c r="H112" s="119">
        <f>SUM(H113:H121)</f>
        <v>221508</v>
      </c>
      <c r="I112" s="119"/>
      <c r="J112" s="119"/>
      <c r="K112" s="119"/>
      <c r="L112" s="119"/>
      <c r="M112" s="119"/>
      <c r="N112" s="119"/>
      <c r="O112" s="119"/>
      <c r="P112" s="288"/>
      <c r="Q112" s="288"/>
      <c r="R112" s="288"/>
      <c r="S112" s="288"/>
      <c r="T112" s="288"/>
      <c r="U112" s="288"/>
      <c r="V112" s="288"/>
      <c r="W112" s="288"/>
      <c r="X112" s="288"/>
      <c r="Y112" s="288"/>
      <c r="Z112" s="288"/>
      <c r="AA112" s="288"/>
      <c r="AB112" s="119">
        <f t="shared" ref="AB112:AF112" si="186">SUM(AB113:AB121)</f>
        <v>221508</v>
      </c>
      <c r="AC112" s="119">
        <f t="shared" si="186"/>
        <v>18459</v>
      </c>
      <c r="AD112" s="119"/>
      <c r="AE112" s="119"/>
      <c r="AF112" s="119">
        <f t="shared" si="186"/>
        <v>18459</v>
      </c>
      <c r="AG112" s="119"/>
      <c r="AH112" s="119"/>
      <c r="AI112" s="119">
        <f>SUM(AI113:AI121)</f>
        <v>18459</v>
      </c>
      <c r="AJ112" s="119"/>
      <c r="AK112" s="119"/>
      <c r="AL112" s="119">
        <f>SUM(AL113:AL121)</f>
        <v>18459</v>
      </c>
      <c r="AM112" s="119"/>
      <c r="AN112" s="119"/>
      <c r="AO112" s="119">
        <f>SUM(AO113:AO121)</f>
        <v>18459</v>
      </c>
      <c r="AP112" s="119"/>
      <c r="AQ112" s="119"/>
      <c r="AR112" s="119">
        <f>SUM(AR113:AR121)</f>
        <v>18459</v>
      </c>
      <c r="AS112" s="119"/>
      <c r="AT112" s="119"/>
      <c r="AU112" s="119">
        <f>SUM(AU113:AU121)</f>
        <v>18459</v>
      </c>
      <c r="AV112" s="119"/>
      <c r="AW112" s="119"/>
      <c r="AX112" s="119">
        <f>SUM(AX113:AX121)</f>
        <v>18459</v>
      </c>
      <c r="AY112" s="119"/>
      <c r="AZ112" s="119"/>
      <c r="BA112" s="119">
        <f>SUM(BA113:BA121)</f>
        <v>18459</v>
      </c>
      <c r="BB112" s="119"/>
      <c r="BC112" s="119"/>
      <c r="BD112" s="119">
        <f>SUM(BD113:BD121)</f>
        <v>18459</v>
      </c>
      <c r="BE112" s="119"/>
      <c r="BF112" s="119"/>
      <c r="BG112" s="119">
        <f>SUM(BG113:BG121)</f>
        <v>18459</v>
      </c>
      <c r="BH112" s="119"/>
      <c r="BI112" s="119"/>
      <c r="BJ112" s="119">
        <f>SUM(BJ113:BJ121)</f>
        <v>18459</v>
      </c>
      <c r="BK112" s="119"/>
      <c r="BL112" s="305"/>
      <c r="BM112" s="310"/>
      <c r="BN112" s="313"/>
    </row>
    <row r="113" s="262" customFormat="1" ht="33.95" hidden="1" customHeight="1" outlineLevel="5" spans="2:66">
      <c r="B113" s="175" t="s">
        <v>747</v>
      </c>
      <c r="C113" s="282" t="s">
        <v>933</v>
      </c>
      <c r="D113" s="262" t="s">
        <v>934</v>
      </c>
      <c r="E113" s="175" t="s">
        <v>935</v>
      </c>
      <c r="F113" s="175"/>
      <c r="G113" s="175" t="s">
        <v>751</v>
      </c>
      <c r="H113" s="175">
        <f t="shared" ref="H113:H121" si="187">AB113</f>
        <v>221508</v>
      </c>
      <c r="I113" s="175" t="s">
        <v>752</v>
      </c>
      <c r="J113" s="175">
        <f t="shared" ref="J113:J121" si="188">SUM(AD113,AG113,AJ113,AM113,AP113,AS113,AV113,AY113,BB113,BE113,BH113,BK113)/N113</f>
        <v>1</v>
      </c>
      <c r="K113" s="175" t="s">
        <v>753</v>
      </c>
      <c r="L113" s="175">
        <f t="shared" ref="L113:L121" si="189">H113/N113/J113</f>
        <v>18459</v>
      </c>
      <c r="M113" s="175" t="s">
        <v>754</v>
      </c>
      <c r="N113" s="175">
        <f t="shared" ref="N113:N121" si="190">COUNTIF(AD113,"&gt;0")+COUNTIF(AG113,"&gt;0")+COUNTIF(AJ113,"&gt;0")+COUNTIF(AM113,"&gt;0")+COUNTIF(AP113,"&gt;0")+COUNTIF(AS113,"&gt;0")+COUNTIF(AV113,"&gt;0")+COUNTIF(AY113,"&gt;0")+COUNTIF(BB113,"&gt;0")+COUNTIF(BE113,"&gt;0")+COUNTIF(BH113,"&gt;0")+COUNTIF(BK113,"&gt;0")</f>
        <v>12</v>
      </c>
      <c r="O113" s="175"/>
      <c r="P113" s="289"/>
      <c r="Q113" s="289"/>
      <c r="R113" s="289"/>
      <c r="S113" s="289"/>
      <c r="T113" s="289"/>
      <c r="U113" s="289"/>
      <c r="V113" s="289"/>
      <c r="W113" s="289"/>
      <c r="X113" s="289"/>
      <c r="Y113" s="289"/>
      <c r="Z113" s="289"/>
      <c r="AA113" s="289"/>
      <c r="AB113" s="175">
        <f t="shared" ref="AB113:AB121" si="191">SUM(AC113,AF113,AI113,AL113,AO113,AR113,AU113,AX113,BA113,BD113,BG113,BJ113)</f>
        <v>221508</v>
      </c>
      <c r="AC113" s="175">
        <f t="shared" ref="AC113:AC121" si="192">AD113*AE113</f>
        <v>18459</v>
      </c>
      <c r="AD113" s="175">
        <f>SUMIFS('1-2 人员岗位信息'!F:F,'1-2 人员岗位信息'!$C:$C,"自有人员",'1-2 人员岗位信息'!$B:$B,$D113)</f>
        <v>1</v>
      </c>
      <c r="AE113" s="297">
        <v>18459</v>
      </c>
      <c r="AF113" s="175">
        <f t="shared" ref="AF113:AF121" si="193">AG113*AH113</f>
        <v>18459</v>
      </c>
      <c r="AG113" s="175">
        <f>SUMIFS('1-2 人员岗位信息'!G:G,'1-2 人员岗位信息'!$C:$C,"自有人员",'1-2 人员岗位信息'!$B:$B,$D113)</f>
        <v>1</v>
      </c>
      <c r="AH113" s="297">
        <v>18459</v>
      </c>
      <c r="AI113" s="175">
        <f t="shared" ref="AI113:AI121" si="194">AJ113*AK113</f>
        <v>18459</v>
      </c>
      <c r="AJ113" s="175">
        <f>SUMIFS('1-2 人员岗位信息'!H:H,'1-2 人员岗位信息'!$C:$C,"自有人员",'1-2 人员岗位信息'!$B:$B,$D113)</f>
        <v>1</v>
      </c>
      <c r="AK113" s="297">
        <v>18459</v>
      </c>
      <c r="AL113" s="175">
        <f t="shared" ref="AL113:AL121" si="195">AM113*AN113</f>
        <v>18459</v>
      </c>
      <c r="AM113" s="175">
        <f>SUMIFS('1-2 人员岗位信息'!I:I,'1-2 人员岗位信息'!$C:$C,"自有人员",'1-2 人员岗位信息'!$B:$B,$D113)</f>
        <v>1</v>
      </c>
      <c r="AN113" s="297">
        <v>18459</v>
      </c>
      <c r="AO113" s="175">
        <f t="shared" ref="AO113:AO121" si="196">AP113*AQ113</f>
        <v>18459</v>
      </c>
      <c r="AP113" s="175">
        <f>SUMIFS('1-2 人员岗位信息'!J:J,'1-2 人员岗位信息'!$C:$C,"自有人员",'1-2 人员岗位信息'!$B:$B,$D113)</f>
        <v>1</v>
      </c>
      <c r="AQ113" s="297">
        <v>18459</v>
      </c>
      <c r="AR113" s="175">
        <f t="shared" ref="AR113:AR121" si="197">AS113*AT113</f>
        <v>18459</v>
      </c>
      <c r="AS113" s="175">
        <f>SUMIFS('1-2 人员岗位信息'!K:K,'1-2 人员岗位信息'!$C:$C,"自有人员",'1-2 人员岗位信息'!$B:$B,$D113)</f>
        <v>1</v>
      </c>
      <c r="AT113" s="297">
        <v>18459</v>
      </c>
      <c r="AU113" s="175">
        <f t="shared" ref="AU113:AU121" si="198">AV113*AW113</f>
        <v>18459</v>
      </c>
      <c r="AV113" s="175">
        <f>SUMIFS('1-2 人员岗位信息'!L:L,'1-2 人员岗位信息'!$C:$C,"自有人员",'1-2 人员岗位信息'!$B:$B,$D113)</f>
        <v>1</v>
      </c>
      <c r="AW113" s="297">
        <v>18459</v>
      </c>
      <c r="AX113" s="175">
        <f t="shared" ref="AX113:AX121" si="199">AY113*AZ113</f>
        <v>18459</v>
      </c>
      <c r="AY113" s="175">
        <f>SUMIFS('1-2 人员岗位信息'!M:M,'1-2 人员岗位信息'!$C:$C,"自有人员",'1-2 人员岗位信息'!$B:$B,$D113)</f>
        <v>1</v>
      </c>
      <c r="AZ113" s="297">
        <v>18459</v>
      </c>
      <c r="BA113" s="175">
        <f t="shared" ref="BA113:BA121" si="200">BB113*BC113</f>
        <v>18459</v>
      </c>
      <c r="BB113" s="175">
        <f>SUMIFS('1-2 人员岗位信息'!N:N,'1-2 人员岗位信息'!$C:$C,"自有人员",'1-2 人员岗位信息'!$B:$B,$D113)</f>
        <v>1</v>
      </c>
      <c r="BC113" s="297">
        <v>18459</v>
      </c>
      <c r="BD113" s="175">
        <f t="shared" ref="BD113:BD121" si="201">BE113*BF113</f>
        <v>18459</v>
      </c>
      <c r="BE113" s="175">
        <f>SUMIFS('1-2 人员岗位信息'!O:O,'1-2 人员岗位信息'!$C:$C,"自有人员",'1-2 人员岗位信息'!$B:$B,$D113)</f>
        <v>1</v>
      </c>
      <c r="BF113" s="297">
        <v>18459</v>
      </c>
      <c r="BG113" s="175">
        <f t="shared" ref="BG113:BG121" si="202">BH113*BI113</f>
        <v>18459</v>
      </c>
      <c r="BH113" s="175">
        <f>SUMIFS('1-2 人员岗位信息'!P:P,'1-2 人员岗位信息'!$C:$C,"自有人员",'1-2 人员岗位信息'!$B:$B,$D113)</f>
        <v>1</v>
      </c>
      <c r="BI113" s="297">
        <v>18459</v>
      </c>
      <c r="BJ113" s="175">
        <f t="shared" ref="BJ113:BJ121" si="203">BK113*BL113</f>
        <v>18459</v>
      </c>
      <c r="BK113" s="175">
        <f>SUMIFS('1-2 人员岗位信息'!Q:Q,'1-2 人员岗位信息'!$C:$C,"自有人员",'1-2 人员岗位信息'!$B:$B,$D113)</f>
        <v>1</v>
      </c>
      <c r="BL113" s="297">
        <v>18459</v>
      </c>
      <c r="BM113" s="310"/>
      <c r="BN113" s="314"/>
    </row>
    <row r="114" s="262" customFormat="1" ht="33.95" hidden="1" customHeight="1" outlineLevel="5" spans="2:66">
      <c r="B114" s="175" t="s">
        <v>747</v>
      </c>
      <c r="C114" s="282" t="s">
        <v>936</v>
      </c>
      <c r="D114" s="262" t="s">
        <v>937</v>
      </c>
      <c r="E114" s="175" t="s">
        <v>938</v>
      </c>
      <c r="F114" s="175"/>
      <c r="G114" s="175" t="s">
        <v>751</v>
      </c>
      <c r="H114" s="175">
        <f t="shared" si="187"/>
        <v>0</v>
      </c>
      <c r="I114" s="175" t="s">
        <v>752</v>
      </c>
      <c r="J114" s="175" t="e">
        <f t="shared" si="188"/>
        <v>#DIV/0!</v>
      </c>
      <c r="K114" s="175" t="s">
        <v>753</v>
      </c>
      <c r="L114" s="175" t="e">
        <f t="shared" si="189"/>
        <v>#DIV/0!</v>
      </c>
      <c r="M114" s="175" t="s">
        <v>754</v>
      </c>
      <c r="N114" s="175">
        <f t="shared" si="190"/>
        <v>0</v>
      </c>
      <c r="O114" s="175"/>
      <c r="P114" s="289"/>
      <c r="Q114" s="289"/>
      <c r="R114" s="289"/>
      <c r="S114" s="289"/>
      <c r="T114" s="289"/>
      <c r="U114" s="289"/>
      <c r="V114" s="289"/>
      <c r="W114" s="289"/>
      <c r="X114" s="289"/>
      <c r="Y114" s="289"/>
      <c r="Z114" s="289"/>
      <c r="AA114" s="289"/>
      <c r="AB114" s="175">
        <f t="shared" si="191"/>
        <v>0</v>
      </c>
      <c r="AC114" s="175">
        <f t="shared" si="192"/>
        <v>0</v>
      </c>
      <c r="AD114" s="175">
        <f>SUMIFS('1-2 人员岗位信息'!F:F,'1-2 人员岗位信息'!$C:$C,"自有人员",'1-2 人员岗位信息'!$B:$B,$D114)</f>
        <v>0</v>
      </c>
      <c r="AE114" s="297"/>
      <c r="AF114" s="175">
        <f t="shared" si="193"/>
        <v>0</v>
      </c>
      <c r="AG114" s="175">
        <f>SUMIFS('1-2 人员岗位信息'!G:G,'1-2 人员岗位信息'!$C:$C,"自有人员",'1-2 人员岗位信息'!$B:$B,$D114)</f>
        <v>0</v>
      </c>
      <c r="AH114" s="297"/>
      <c r="AI114" s="175">
        <f t="shared" si="194"/>
        <v>0</v>
      </c>
      <c r="AJ114" s="175">
        <f>SUMIFS('1-2 人员岗位信息'!H:H,'1-2 人员岗位信息'!$C:$C,"自有人员",'1-2 人员岗位信息'!$B:$B,$D114)</f>
        <v>0</v>
      </c>
      <c r="AK114" s="297"/>
      <c r="AL114" s="175">
        <f t="shared" si="195"/>
        <v>0</v>
      </c>
      <c r="AM114" s="175">
        <f>SUMIFS('1-2 人员岗位信息'!I:I,'1-2 人员岗位信息'!$C:$C,"自有人员",'1-2 人员岗位信息'!$B:$B,$D114)</f>
        <v>0</v>
      </c>
      <c r="AN114" s="297"/>
      <c r="AO114" s="175">
        <f t="shared" si="196"/>
        <v>0</v>
      </c>
      <c r="AP114" s="175">
        <f>SUMIFS('1-2 人员岗位信息'!J:J,'1-2 人员岗位信息'!$C:$C,"自有人员",'1-2 人员岗位信息'!$B:$B,$D114)</f>
        <v>0</v>
      </c>
      <c r="AQ114" s="297"/>
      <c r="AR114" s="175">
        <f t="shared" si="197"/>
        <v>0</v>
      </c>
      <c r="AS114" s="175">
        <f>SUMIFS('1-2 人员岗位信息'!K:K,'1-2 人员岗位信息'!$C:$C,"自有人员",'1-2 人员岗位信息'!$B:$B,$D114)</f>
        <v>0</v>
      </c>
      <c r="AT114" s="297"/>
      <c r="AU114" s="175">
        <f t="shared" si="198"/>
        <v>0</v>
      </c>
      <c r="AV114" s="175">
        <f>SUMIFS('1-2 人员岗位信息'!L:L,'1-2 人员岗位信息'!$C:$C,"自有人员",'1-2 人员岗位信息'!$B:$B,$D114)</f>
        <v>0</v>
      </c>
      <c r="AW114" s="297"/>
      <c r="AX114" s="175">
        <f t="shared" si="199"/>
        <v>0</v>
      </c>
      <c r="AY114" s="175">
        <f>SUMIFS('1-2 人员岗位信息'!M:M,'1-2 人员岗位信息'!$C:$C,"自有人员",'1-2 人员岗位信息'!$B:$B,$D114)</f>
        <v>0</v>
      </c>
      <c r="AZ114" s="297"/>
      <c r="BA114" s="175">
        <f t="shared" si="200"/>
        <v>0</v>
      </c>
      <c r="BB114" s="175">
        <f>SUMIFS('1-2 人员岗位信息'!N:N,'1-2 人员岗位信息'!$C:$C,"自有人员",'1-2 人员岗位信息'!$B:$B,$D114)</f>
        <v>0</v>
      </c>
      <c r="BC114" s="297"/>
      <c r="BD114" s="175">
        <f t="shared" si="201"/>
        <v>0</v>
      </c>
      <c r="BE114" s="175">
        <f>SUMIFS('1-2 人员岗位信息'!O:O,'1-2 人员岗位信息'!$C:$C,"自有人员",'1-2 人员岗位信息'!$B:$B,$D114)</f>
        <v>0</v>
      </c>
      <c r="BF114" s="297"/>
      <c r="BG114" s="175">
        <f t="shared" si="202"/>
        <v>0</v>
      </c>
      <c r="BH114" s="175">
        <f>SUMIFS('1-2 人员岗位信息'!P:P,'1-2 人员岗位信息'!$C:$C,"自有人员",'1-2 人员岗位信息'!$B:$B,$D114)</f>
        <v>0</v>
      </c>
      <c r="BI114" s="297"/>
      <c r="BJ114" s="175">
        <f t="shared" si="203"/>
        <v>0</v>
      </c>
      <c r="BK114" s="175">
        <f>SUMIFS('1-2 人员岗位信息'!Q:Q,'1-2 人员岗位信息'!$C:$C,"自有人员",'1-2 人员岗位信息'!$B:$B,$D114)</f>
        <v>0</v>
      </c>
      <c r="BL114" s="306"/>
      <c r="BM114" s="310"/>
      <c r="BN114" s="314"/>
    </row>
    <row r="115" s="262" customFormat="1" ht="33.95" hidden="1" customHeight="1" outlineLevel="5" spans="2:66">
      <c r="B115" s="175" t="s">
        <v>747</v>
      </c>
      <c r="C115" s="282" t="s">
        <v>939</v>
      </c>
      <c r="D115" s="262" t="s">
        <v>940</v>
      </c>
      <c r="E115" s="175" t="s">
        <v>941</v>
      </c>
      <c r="F115" s="175"/>
      <c r="G115" s="175" t="s">
        <v>751</v>
      </c>
      <c r="H115" s="175">
        <f t="shared" si="187"/>
        <v>0</v>
      </c>
      <c r="I115" s="175" t="s">
        <v>752</v>
      </c>
      <c r="J115" s="175" t="e">
        <f t="shared" si="188"/>
        <v>#DIV/0!</v>
      </c>
      <c r="K115" s="175" t="s">
        <v>753</v>
      </c>
      <c r="L115" s="175" t="e">
        <f t="shared" si="189"/>
        <v>#DIV/0!</v>
      </c>
      <c r="M115" s="175" t="s">
        <v>754</v>
      </c>
      <c r="N115" s="175">
        <f t="shared" si="190"/>
        <v>0</v>
      </c>
      <c r="O115" s="175"/>
      <c r="P115" s="289"/>
      <c r="Q115" s="289"/>
      <c r="R115" s="289"/>
      <c r="S115" s="289"/>
      <c r="T115" s="289"/>
      <c r="U115" s="289"/>
      <c r="V115" s="289"/>
      <c r="W115" s="289"/>
      <c r="X115" s="289"/>
      <c r="Y115" s="289"/>
      <c r="Z115" s="289"/>
      <c r="AA115" s="289"/>
      <c r="AB115" s="175">
        <f t="shared" si="191"/>
        <v>0</v>
      </c>
      <c r="AC115" s="175">
        <f t="shared" si="192"/>
        <v>0</v>
      </c>
      <c r="AD115" s="175">
        <f>SUMIFS('1-2 人员岗位信息'!F:F,'1-2 人员岗位信息'!$C:$C,"自有人员",'1-2 人员岗位信息'!$B:$B,$D115)</f>
        <v>0</v>
      </c>
      <c r="AE115" s="297"/>
      <c r="AF115" s="175">
        <f t="shared" si="193"/>
        <v>0</v>
      </c>
      <c r="AG115" s="175">
        <f>SUMIFS('1-2 人员岗位信息'!G:G,'1-2 人员岗位信息'!$C:$C,"自有人员",'1-2 人员岗位信息'!$B:$B,$D115)</f>
        <v>0</v>
      </c>
      <c r="AH115" s="297"/>
      <c r="AI115" s="175">
        <f t="shared" si="194"/>
        <v>0</v>
      </c>
      <c r="AJ115" s="175">
        <f>SUMIFS('1-2 人员岗位信息'!H:H,'1-2 人员岗位信息'!$C:$C,"自有人员",'1-2 人员岗位信息'!$B:$B,$D115)</f>
        <v>0</v>
      </c>
      <c r="AK115" s="297"/>
      <c r="AL115" s="175">
        <f t="shared" si="195"/>
        <v>0</v>
      </c>
      <c r="AM115" s="175">
        <f>SUMIFS('1-2 人员岗位信息'!I:I,'1-2 人员岗位信息'!$C:$C,"自有人员",'1-2 人员岗位信息'!$B:$B,$D115)</f>
        <v>0</v>
      </c>
      <c r="AN115" s="297"/>
      <c r="AO115" s="175">
        <f t="shared" si="196"/>
        <v>0</v>
      </c>
      <c r="AP115" s="175">
        <f>SUMIFS('1-2 人员岗位信息'!J:J,'1-2 人员岗位信息'!$C:$C,"自有人员",'1-2 人员岗位信息'!$B:$B,$D115)</f>
        <v>0</v>
      </c>
      <c r="AQ115" s="297"/>
      <c r="AR115" s="175">
        <f t="shared" si="197"/>
        <v>0</v>
      </c>
      <c r="AS115" s="175">
        <f>SUMIFS('1-2 人员岗位信息'!K:K,'1-2 人员岗位信息'!$C:$C,"自有人员",'1-2 人员岗位信息'!$B:$B,$D115)</f>
        <v>0</v>
      </c>
      <c r="AT115" s="297"/>
      <c r="AU115" s="175">
        <f t="shared" si="198"/>
        <v>0</v>
      </c>
      <c r="AV115" s="175">
        <f>SUMIFS('1-2 人员岗位信息'!L:L,'1-2 人员岗位信息'!$C:$C,"自有人员",'1-2 人员岗位信息'!$B:$B,$D115)</f>
        <v>0</v>
      </c>
      <c r="AW115" s="297"/>
      <c r="AX115" s="175">
        <f t="shared" si="199"/>
        <v>0</v>
      </c>
      <c r="AY115" s="175">
        <f>SUMIFS('1-2 人员岗位信息'!M:M,'1-2 人员岗位信息'!$C:$C,"自有人员",'1-2 人员岗位信息'!$B:$B,$D115)</f>
        <v>0</v>
      </c>
      <c r="AZ115" s="297"/>
      <c r="BA115" s="175">
        <f t="shared" si="200"/>
        <v>0</v>
      </c>
      <c r="BB115" s="175">
        <f>SUMIFS('1-2 人员岗位信息'!N:N,'1-2 人员岗位信息'!$C:$C,"自有人员",'1-2 人员岗位信息'!$B:$B,$D115)</f>
        <v>0</v>
      </c>
      <c r="BC115" s="297"/>
      <c r="BD115" s="175">
        <f t="shared" si="201"/>
        <v>0</v>
      </c>
      <c r="BE115" s="175">
        <f>SUMIFS('1-2 人员岗位信息'!O:O,'1-2 人员岗位信息'!$C:$C,"自有人员",'1-2 人员岗位信息'!$B:$B,$D115)</f>
        <v>0</v>
      </c>
      <c r="BF115" s="297"/>
      <c r="BG115" s="175">
        <f t="shared" si="202"/>
        <v>0</v>
      </c>
      <c r="BH115" s="175">
        <f>SUMIFS('1-2 人员岗位信息'!P:P,'1-2 人员岗位信息'!$C:$C,"自有人员",'1-2 人员岗位信息'!$B:$B,$D115)</f>
        <v>0</v>
      </c>
      <c r="BI115" s="297"/>
      <c r="BJ115" s="175">
        <f t="shared" si="203"/>
        <v>0</v>
      </c>
      <c r="BK115" s="175">
        <f>SUMIFS('1-2 人员岗位信息'!Q:Q,'1-2 人员岗位信息'!$C:$C,"自有人员",'1-2 人员岗位信息'!$B:$B,$D115)</f>
        <v>0</v>
      </c>
      <c r="BL115" s="306"/>
      <c r="BM115" s="310"/>
      <c r="BN115" s="314"/>
    </row>
    <row r="116" s="262" customFormat="1" ht="33.95" hidden="1" customHeight="1" outlineLevel="5" spans="2:66">
      <c r="B116" s="175" t="s">
        <v>747</v>
      </c>
      <c r="C116" s="282" t="s">
        <v>942</v>
      </c>
      <c r="D116" s="262" t="s">
        <v>943</v>
      </c>
      <c r="E116" s="175" t="s">
        <v>944</v>
      </c>
      <c r="F116" s="175"/>
      <c r="G116" s="175" t="s">
        <v>751</v>
      </c>
      <c r="H116" s="175">
        <f t="shared" si="187"/>
        <v>0</v>
      </c>
      <c r="I116" s="175" t="s">
        <v>752</v>
      </c>
      <c r="J116" s="175" t="e">
        <f t="shared" si="188"/>
        <v>#DIV/0!</v>
      </c>
      <c r="K116" s="175" t="s">
        <v>753</v>
      </c>
      <c r="L116" s="175" t="e">
        <f t="shared" si="189"/>
        <v>#DIV/0!</v>
      </c>
      <c r="M116" s="175" t="s">
        <v>754</v>
      </c>
      <c r="N116" s="175">
        <f t="shared" si="190"/>
        <v>0</v>
      </c>
      <c r="O116" s="175"/>
      <c r="P116" s="289"/>
      <c r="Q116" s="289"/>
      <c r="R116" s="289"/>
      <c r="S116" s="289"/>
      <c r="T116" s="289"/>
      <c r="U116" s="289"/>
      <c r="V116" s="289"/>
      <c r="W116" s="289"/>
      <c r="X116" s="289"/>
      <c r="Y116" s="289"/>
      <c r="Z116" s="289"/>
      <c r="AA116" s="289"/>
      <c r="AB116" s="175">
        <f t="shared" si="191"/>
        <v>0</v>
      </c>
      <c r="AC116" s="175">
        <f t="shared" si="192"/>
        <v>0</v>
      </c>
      <c r="AD116" s="175">
        <f>SUMIFS('1-2 人员岗位信息'!F:F,'1-2 人员岗位信息'!$C:$C,"自有人员",'1-2 人员岗位信息'!$B:$B,$D116)</f>
        <v>0</v>
      </c>
      <c r="AE116" s="297"/>
      <c r="AF116" s="175">
        <f t="shared" si="193"/>
        <v>0</v>
      </c>
      <c r="AG116" s="175">
        <f>SUMIFS('1-2 人员岗位信息'!G:G,'1-2 人员岗位信息'!$C:$C,"自有人员",'1-2 人员岗位信息'!$B:$B,$D116)</f>
        <v>0</v>
      </c>
      <c r="AH116" s="297"/>
      <c r="AI116" s="175">
        <f t="shared" si="194"/>
        <v>0</v>
      </c>
      <c r="AJ116" s="175">
        <f>SUMIFS('1-2 人员岗位信息'!H:H,'1-2 人员岗位信息'!$C:$C,"自有人员",'1-2 人员岗位信息'!$B:$B,$D116)</f>
        <v>0</v>
      </c>
      <c r="AK116" s="297"/>
      <c r="AL116" s="175">
        <f t="shared" si="195"/>
        <v>0</v>
      </c>
      <c r="AM116" s="175">
        <f>SUMIFS('1-2 人员岗位信息'!I:I,'1-2 人员岗位信息'!$C:$C,"自有人员",'1-2 人员岗位信息'!$B:$B,$D116)</f>
        <v>0</v>
      </c>
      <c r="AN116" s="297"/>
      <c r="AO116" s="175">
        <f t="shared" si="196"/>
        <v>0</v>
      </c>
      <c r="AP116" s="175">
        <f>SUMIFS('1-2 人员岗位信息'!J:J,'1-2 人员岗位信息'!$C:$C,"自有人员",'1-2 人员岗位信息'!$B:$B,$D116)</f>
        <v>0</v>
      </c>
      <c r="AQ116" s="297"/>
      <c r="AR116" s="175">
        <f t="shared" si="197"/>
        <v>0</v>
      </c>
      <c r="AS116" s="175">
        <f>SUMIFS('1-2 人员岗位信息'!K:K,'1-2 人员岗位信息'!$C:$C,"自有人员",'1-2 人员岗位信息'!$B:$B,$D116)</f>
        <v>0</v>
      </c>
      <c r="AT116" s="297"/>
      <c r="AU116" s="175">
        <f t="shared" si="198"/>
        <v>0</v>
      </c>
      <c r="AV116" s="175">
        <f>SUMIFS('1-2 人员岗位信息'!L:L,'1-2 人员岗位信息'!$C:$C,"自有人员",'1-2 人员岗位信息'!$B:$B,$D116)</f>
        <v>0</v>
      </c>
      <c r="AW116" s="297"/>
      <c r="AX116" s="175">
        <f t="shared" si="199"/>
        <v>0</v>
      </c>
      <c r="AY116" s="175">
        <f>SUMIFS('1-2 人员岗位信息'!M:M,'1-2 人员岗位信息'!$C:$C,"自有人员",'1-2 人员岗位信息'!$B:$B,$D116)</f>
        <v>0</v>
      </c>
      <c r="AZ116" s="297"/>
      <c r="BA116" s="175">
        <f t="shared" si="200"/>
        <v>0</v>
      </c>
      <c r="BB116" s="175">
        <f>SUMIFS('1-2 人员岗位信息'!N:N,'1-2 人员岗位信息'!$C:$C,"自有人员",'1-2 人员岗位信息'!$B:$B,$D116)</f>
        <v>0</v>
      </c>
      <c r="BC116" s="297"/>
      <c r="BD116" s="175">
        <f t="shared" si="201"/>
        <v>0</v>
      </c>
      <c r="BE116" s="175">
        <f>SUMIFS('1-2 人员岗位信息'!O:O,'1-2 人员岗位信息'!$C:$C,"自有人员",'1-2 人员岗位信息'!$B:$B,$D116)</f>
        <v>0</v>
      </c>
      <c r="BF116" s="297"/>
      <c r="BG116" s="175">
        <f t="shared" si="202"/>
        <v>0</v>
      </c>
      <c r="BH116" s="175">
        <f>SUMIFS('1-2 人员岗位信息'!P:P,'1-2 人员岗位信息'!$C:$C,"自有人员",'1-2 人员岗位信息'!$B:$B,$D116)</f>
        <v>0</v>
      </c>
      <c r="BI116" s="297"/>
      <c r="BJ116" s="175">
        <f t="shared" si="203"/>
        <v>0</v>
      </c>
      <c r="BK116" s="175">
        <f>SUMIFS('1-2 人员岗位信息'!Q:Q,'1-2 人员岗位信息'!$C:$C,"自有人员",'1-2 人员岗位信息'!$B:$B,$D116)</f>
        <v>0</v>
      </c>
      <c r="BL116" s="306"/>
      <c r="BM116" s="310"/>
      <c r="BN116" s="314"/>
    </row>
    <row r="117" s="262" customFormat="1" ht="33.95" hidden="1" customHeight="1" outlineLevel="5" spans="2:66">
      <c r="B117" s="175" t="s">
        <v>747</v>
      </c>
      <c r="C117" s="282" t="s">
        <v>945</v>
      </c>
      <c r="D117" s="262" t="s">
        <v>946</v>
      </c>
      <c r="E117" s="175" t="s">
        <v>944</v>
      </c>
      <c r="F117" s="175"/>
      <c r="G117" s="175" t="s">
        <v>751</v>
      </c>
      <c r="H117" s="175">
        <f t="shared" si="187"/>
        <v>0</v>
      </c>
      <c r="I117" s="175" t="s">
        <v>752</v>
      </c>
      <c r="J117" s="175" t="e">
        <f t="shared" si="188"/>
        <v>#DIV/0!</v>
      </c>
      <c r="K117" s="175" t="s">
        <v>753</v>
      </c>
      <c r="L117" s="175" t="e">
        <f t="shared" si="189"/>
        <v>#DIV/0!</v>
      </c>
      <c r="M117" s="175" t="s">
        <v>754</v>
      </c>
      <c r="N117" s="175">
        <f t="shared" si="190"/>
        <v>0</v>
      </c>
      <c r="O117" s="175"/>
      <c r="P117" s="289"/>
      <c r="Q117" s="289"/>
      <c r="R117" s="289"/>
      <c r="S117" s="289"/>
      <c r="T117" s="289"/>
      <c r="U117" s="289"/>
      <c r="V117" s="289"/>
      <c r="W117" s="289"/>
      <c r="X117" s="289"/>
      <c r="Y117" s="289"/>
      <c r="Z117" s="289"/>
      <c r="AA117" s="289"/>
      <c r="AB117" s="175">
        <f t="shared" si="191"/>
        <v>0</v>
      </c>
      <c r="AC117" s="175">
        <f t="shared" si="192"/>
        <v>0</v>
      </c>
      <c r="AD117" s="175">
        <f>SUMIFS('1-2 人员岗位信息'!F:F,'1-2 人员岗位信息'!$C:$C,"自有人员",'1-2 人员岗位信息'!$B:$B,$D117)</f>
        <v>0</v>
      </c>
      <c r="AE117" s="297"/>
      <c r="AF117" s="175">
        <f t="shared" si="193"/>
        <v>0</v>
      </c>
      <c r="AG117" s="175">
        <f>SUMIFS('1-2 人员岗位信息'!G:G,'1-2 人员岗位信息'!$C:$C,"自有人员",'1-2 人员岗位信息'!$B:$B,$D117)</f>
        <v>0</v>
      </c>
      <c r="AH117" s="297"/>
      <c r="AI117" s="175">
        <f t="shared" si="194"/>
        <v>0</v>
      </c>
      <c r="AJ117" s="175">
        <f>SUMIFS('1-2 人员岗位信息'!H:H,'1-2 人员岗位信息'!$C:$C,"自有人员",'1-2 人员岗位信息'!$B:$B,$D117)</f>
        <v>0</v>
      </c>
      <c r="AK117" s="297"/>
      <c r="AL117" s="175">
        <f t="shared" si="195"/>
        <v>0</v>
      </c>
      <c r="AM117" s="175">
        <f>SUMIFS('1-2 人员岗位信息'!I:I,'1-2 人员岗位信息'!$C:$C,"自有人员",'1-2 人员岗位信息'!$B:$B,$D117)</f>
        <v>0</v>
      </c>
      <c r="AN117" s="297"/>
      <c r="AO117" s="175">
        <f t="shared" si="196"/>
        <v>0</v>
      </c>
      <c r="AP117" s="175">
        <f>SUMIFS('1-2 人员岗位信息'!J:J,'1-2 人员岗位信息'!$C:$C,"自有人员",'1-2 人员岗位信息'!$B:$B,$D117)</f>
        <v>0</v>
      </c>
      <c r="AQ117" s="297"/>
      <c r="AR117" s="175">
        <f t="shared" si="197"/>
        <v>0</v>
      </c>
      <c r="AS117" s="175">
        <f>SUMIFS('1-2 人员岗位信息'!K:K,'1-2 人员岗位信息'!$C:$C,"自有人员",'1-2 人员岗位信息'!$B:$B,$D117)</f>
        <v>0</v>
      </c>
      <c r="AT117" s="297"/>
      <c r="AU117" s="175">
        <f t="shared" si="198"/>
        <v>0</v>
      </c>
      <c r="AV117" s="175">
        <f>SUMIFS('1-2 人员岗位信息'!L:L,'1-2 人员岗位信息'!$C:$C,"自有人员",'1-2 人员岗位信息'!$B:$B,$D117)</f>
        <v>0</v>
      </c>
      <c r="AW117" s="297"/>
      <c r="AX117" s="175">
        <f t="shared" si="199"/>
        <v>0</v>
      </c>
      <c r="AY117" s="175">
        <f>SUMIFS('1-2 人员岗位信息'!M:M,'1-2 人员岗位信息'!$C:$C,"自有人员",'1-2 人员岗位信息'!$B:$B,$D117)</f>
        <v>0</v>
      </c>
      <c r="AZ117" s="297"/>
      <c r="BA117" s="175">
        <f t="shared" si="200"/>
        <v>0</v>
      </c>
      <c r="BB117" s="175">
        <f>SUMIFS('1-2 人员岗位信息'!N:N,'1-2 人员岗位信息'!$C:$C,"自有人员",'1-2 人员岗位信息'!$B:$B,$D117)</f>
        <v>0</v>
      </c>
      <c r="BC117" s="297"/>
      <c r="BD117" s="175">
        <f t="shared" si="201"/>
        <v>0</v>
      </c>
      <c r="BE117" s="175">
        <f>SUMIFS('1-2 人员岗位信息'!O:O,'1-2 人员岗位信息'!$C:$C,"自有人员",'1-2 人员岗位信息'!$B:$B,$D117)</f>
        <v>0</v>
      </c>
      <c r="BF117" s="297"/>
      <c r="BG117" s="175">
        <f t="shared" si="202"/>
        <v>0</v>
      </c>
      <c r="BH117" s="175">
        <f>SUMIFS('1-2 人员岗位信息'!P:P,'1-2 人员岗位信息'!$C:$C,"自有人员",'1-2 人员岗位信息'!$B:$B,$D117)</f>
        <v>0</v>
      </c>
      <c r="BI117" s="297"/>
      <c r="BJ117" s="175">
        <f t="shared" si="203"/>
        <v>0</v>
      </c>
      <c r="BK117" s="175">
        <f>SUMIFS('1-2 人员岗位信息'!Q:Q,'1-2 人员岗位信息'!$C:$C,"自有人员",'1-2 人员岗位信息'!$B:$B,$D117)</f>
        <v>0</v>
      </c>
      <c r="BL117" s="306"/>
      <c r="BM117" s="310"/>
      <c r="BN117" s="314"/>
    </row>
    <row r="118" s="262" customFormat="1" ht="33.95" hidden="1" customHeight="1" outlineLevel="5" spans="2:66">
      <c r="B118" s="175" t="s">
        <v>747</v>
      </c>
      <c r="C118" s="282" t="s">
        <v>947</v>
      </c>
      <c r="D118" s="262" t="s">
        <v>948</v>
      </c>
      <c r="E118" s="175" t="s">
        <v>944</v>
      </c>
      <c r="F118" s="175"/>
      <c r="G118" s="175" t="s">
        <v>751</v>
      </c>
      <c r="H118" s="175">
        <f t="shared" si="187"/>
        <v>0</v>
      </c>
      <c r="I118" s="175" t="s">
        <v>752</v>
      </c>
      <c r="J118" s="175" t="e">
        <f t="shared" si="188"/>
        <v>#DIV/0!</v>
      </c>
      <c r="K118" s="175" t="s">
        <v>753</v>
      </c>
      <c r="L118" s="175" t="e">
        <f t="shared" si="189"/>
        <v>#DIV/0!</v>
      </c>
      <c r="M118" s="175" t="s">
        <v>754</v>
      </c>
      <c r="N118" s="175">
        <f t="shared" si="190"/>
        <v>0</v>
      </c>
      <c r="O118" s="175"/>
      <c r="P118" s="289"/>
      <c r="Q118" s="289"/>
      <c r="R118" s="289"/>
      <c r="S118" s="289"/>
      <c r="T118" s="289"/>
      <c r="U118" s="289"/>
      <c r="V118" s="289"/>
      <c r="W118" s="289"/>
      <c r="X118" s="289"/>
      <c r="Y118" s="289"/>
      <c r="Z118" s="289"/>
      <c r="AA118" s="289"/>
      <c r="AB118" s="175">
        <f t="shared" si="191"/>
        <v>0</v>
      </c>
      <c r="AC118" s="175">
        <f t="shared" si="192"/>
        <v>0</v>
      </c>
      <c r="AD118" s="175">
        <f>SUMIFS('1-2 人员岗位信息'!F:F,'1-2 人员岗位信息'!$C:$C,"自有人员",'1-2 人员岗位信息'!$B:$B,$D118)</f>
        <v>0</v>
      </c>
      <c r="AE118" s="297"/>
      <c r="AF118" s="175">
        <f t="shared" si="193"/>
        <v>0</v>
      </c>
      <c r="AG118" s="175">
        <f>SUMIFS('1-2 人员岗位信息'!G:G,'1-2 人员岗位信息'!$C:$C,"自有人员",'1-2 人员岗位信息'!$B:$B,$D118)</f>
        <v>0</v>
      </c>
      <c r="AH118" s="297"/>
      <c r="AI118" s="175">
        <f t="shared" si="194"/>
        <v>0</v>
      </c>
      <c r="AJ118" s="175">
        <f>SUMIFS('1-2 人员岗位信息'!H:H,'1-2 人员岗位信息'!$C:$C,"自有人员",'1-2 人员岗位信息'!$B:$B,$D118)</f>
        <v>0</v>
      </c>
      <c r="AK118" s="297"/>
      <c r="AL118" s="175">
        <f t="shared" si="195"/>
        <v>0</v>
      </c>
      <c r="AM118" s="175">
        <f>SUMIFS('1-2 人员岗位信息'!I:I,'1-2 人员岗位信息'!$C:$C,"自有人员",'1-2 人员岗位信息'!$B:$B,$D118)</f>
        <v>0</v>
      </c>
      <c r="AN118" s="297"/>
      <c r="AO118" s="175">
        <f t="shared" si="196"/>
        <v>0</v>
      </c>
      <c r="AP118" s="175">
        <f>SUMIFS('1-2 人员岗位信息'!J:J,'1-2 人员岗位信息'!$C:$C,"自有人员",'1-2 人员岗位信息'!$B:$B,$D118)</f>
        <v>0</v>
      </c>
      <c r="AQ118" s="297"/>
      <c r="AR118" s="175">
        <f t="shared" si="197"/>
        <v>0</v>
      </c>
      <c r="AS118" s="175">
        <f>SUMIFS('1-2 人员岗位信息'!K:K,'1-2 人员岗位信息'!$C:$C,"自有人员",'1-2 人员岗位信息'!$B:$B,$D118)</f>
        <v>0</v>
      </c>
      <c r="AT118" s="297"/>
      <c r="AU118" s="175">
        <f t="shared" si="198"/>
        <v>0</v>
      </c>
      <c r="AV118" s="175">
        <f>SUMIFS('1-2 人员岗位信息'!L:L,'1-2 人员岗位信息'!$C:$C,"自有人员",'1-2 人员岗位信息'!$B:$B,$D118)</f>
        <v>0</v>
      </c>
      <c r="AW118" s="297"/>
      <c r="AX118" s="175">
        <f t="shared" si="199"/>
        <v>0</v>
      </c>
      <c r="AY118" s="175">
        <f>SUMIFS('1-2 人员岗位信息'!M:M,'1-2 人员岗位信息'!$C:$C,"自有人员",'1-2 人员岗位信息'!$B:$B,$D118)</f>
        <v>0</v>
      </c>
      <c r="AZ118" s="297"/>
      <c r="BA118" s="175">
        <f t="shared" si="200"/>
        <v>0</v>
      </c>
      <c r="BB118" s="175">
        <f>SUMIFS('1-2 人员岗位信息'!N:N,'1-2 人员岗位信息'!$C:$C,"自有人员",'1-2 人员岗位信息'!$B:$B,$D118)</f>
        <v>0</v>
      </c>
      <c r="BC118" s="297"/>
      <c r="BD118" s="175">
        <f t="shared" si="201"/>
        <v>0</v>
      </c>
      <c r="BE118" s="175">
        <f>SUMIFS('1-2 人员岗位信息'!O:O,'1-2 人员岗位信息'!$C:$C,"自有人员",'1-2 人员岗位信息'!$B:$B,$D118)</f>
        <v>0</v>
      </c>
      <c r="BF118" s="297"/>
      <c r="BG118" s="175">
        <f t="shared" si="202"/>
        <v>0</v>
      </c>
      <c r="BH118" s="175">
        <f>SUMIFS('1-2 人员岗位信息'!P:P,'1-2 人员岗位信息'!$C:$C,"自有人员",'1-2 人员岗位信息'!$B:$B,$D118)</f>
        <v>0</v>
      </c>
      <c r="BI118" s="297"/>
      <c r="BJ118" s="175">
        <f t="shared" si="203"/>
        <v>0</v>
      </c>
      <c r="BK118" s="175">
        <f>SUMIFS('1-2 人员岗位信息'!Q:Q,'1-2 人员岗位信息'!$C:$C,"自有人员",'1-2 人员岗位信息'!$B:$B,$D118)</f>
        <v>0</v>
      </c>
      <c r="BL118" s="306"/>
      <c r="BM118" s="310"/>
      <c r="BN118" s="314"/>
    </row>
    <row r="119" s="262" customFormat="1" ht="33.95" hidden="1" customHeight="1" outlineLevel="5" spans="2:66">
      <c r="B119" s="175" t="s">
        <v>747</v>
      </c>
      <c r="C119" s="282" t="s">
        <v>949</v>
      </c>
      <c r="D119" s="262" t="s">
        <v>950</v>
      </c>
      <c r="E119" s="175" t="s">
        <v>944</v>
      </c>
      <c r="F119" s="175"/>
      <c r="G119" s="175" t="s">
        <v>751</v>
      </c>
      <c r="H119" s="175">
        <f t="shared" si="187"/>
        <v>0</v>
      </c>
      <c r="I119" s="175" t="s">
        <v>752</v>
      </c>
      <c r="J119" s="175" t="e">
        <f t="shared" si="188"/>
        <v>#DIV/0!</v>
      </c>
      <c r="K119" s="175" t="s">
        <v>753</v>
      </c>
      <c r="L119" s="175" t="e">
        <f t="shared" si="189"/>
        <v>#DIV/0!</v>
      </c>
      <c r="M119" s="175" t="s">
        <v>754</v>
      </c>
      <c r="N119" s="175">
        <f t="shared" si="190"/>
        <v>0</v>
      </c>
      <c r="O119" s="175"/>
      <c r="P119" s="289"/>
      <c r="Q119" s="289"/>
      <c r="R119" s="289"/>
      <c r="S119" s="289"/>
      <c r="T119" s="289"/>
      <c r="U119" s="289"/>
      <c r="V119" s="289"/>
      <c r="W119" s="289"/>
      <c r="X119" s="289"/>
      <c r="Y119" s="289"/>
      <c r="Z119" s="289"/>
      <c r="AA119" s="289"/>
      <c r="AB119" s="175">
        <f t="shared" si="191"/>
        <v>0</v>
      </c>
      <c r="AC119" s="175">
        <f t="shared" si="192"/>
        <v>0</v>
      </c>
      <c r="AD119" s="175">
        <f>SUMIFS('1-2 人员岗位信息'!F:F,'1-2 人员岗位信息'!$C:$C,"自有人员",'1-2 人员岗位信息'!$B:$B,$D119)</f>
        <v>0</v>
      </c>
      <c r="AE119" s="297"/>
      <c r="AF119" s="175">
        <f t="shared" si="193"/>
        <v>0</v>
      </c>
      <c r="AG119" s="175">
        <f>SUMIFS('1-2 人员岗位信息'!G:G,'1-2 人员岗位信息'!$C:$C,"自有人员",'1-2 人员岗位信息'!$B:$B,$D119)</f>
        <v>0</v>
      </c>
      <c r="AH119" s="297"/>
      <c r="AI119" s="175">
        <f t="shared" si="194"/>
        <v>0</v>
      </c>
      <c r="AJ119" s="175">
        <f>SUMIFS('1-2 人员岗位信息'!H:H,'1-2 人员岗位信息'!$C:$C,"自有人员",'1-2 人员岗位信息'!$B:$B,$D119)</f>
        <v>0</v>
      </c>
      <c r="AK119" s="297"/>
      <c r="AL119" s="175">
        <f t="shared" si="195"/>
        <v>0</v>
      </c>
      <c r="AM119" s="175">
        <f>SUMIFS('1-2 人员岗位信息'!I:I,'1-2 人员岗位信息'!$C:$C,"自有人员",'1-2 人员岗位信息'!$B:$B,$D119)</f>
        <v>0</v>
      </c>
      <c r="AN119" s="297"/>
      <c r="AO119" s="175">
        <f t="shared" si="196"/>
        <v>0</v>
      </c>
      <c r="AP119" s="175">
        <f>SUMIFS('1-2 人员岗位信息'!J:J,'1-2 人员岗位信息'!$C:$C,"自有人员",'1-2 人员岗位信息'!$B:$B,$D119)</f>
        <v>0</v>
      </c>
      <c r="AQ119" s="297"/>
      <c r="AR119" s="175">
        <f t="shared" si="197"/>
        <v>0</v>
      </c>
      <c r="AS119" s="175">
        <f>SUMIFS('1-2 人员岗位信息'!K:K,'1-2 人员岗位信息'!$C:$C,"自有人员",'1-2 人员岗位信息'!$B:$B,$D119)</f>
        <v>0</v>
      </c>
      <c r="AT119" s="297"/>
      <c r="AU119" s="175">
        <f t="shared" si="198"/>
        <v>0</v>
      </c>
      <c r="AV119" s="175">
        <f>SUMIFS('1-2 人员岗位信息'!L:L,'1-2 人员岗位信息'!$C:$C,"自有人员",'1-2 人员岗位信息'!$B:$B,$D119)</f>
        <v>0</v>
      </c>
      <c r="AW119" s="297"/>
      <c r="AX119" s="175">
        <f t="shared" si="199"/>
        <v>0</v>
      </c>
      <c r="AY119" s="175">
        <f>SUMIFS('1-2 人员岗位信息'!M:M,'1-2 人员岗位信息'!$C:$C,"自有人员",'1-2 人员岗位信息'!$B:$B,$D119)</f>
        <v>0</v>
      </c>
      <c r="AZ119" s="297"/>
      <c r="BA119" s="175">
        <f t="shared" si="200"/>
        <v>0</v>
      </c>
      <c r="BB119" s="175">
        <f>SUMIFS('1-2 人员岗位信息'!N:N,'1-2 人员岗位信息'!$C:$C,"自有人员",'1-2 人员岗位信息'!$B:$B,$D119)</f>
        <v>0</v>
      </c>
      <c r="BC119" s="297"/>
      <c r="BD119" s="175">
        <f t="shared" si="201"/>
        <v>0</v>
      </c>
      <c r="BE119" s="175">
        <f>SUMIFS('1-2 人员岗位信息'!O:O,'1-2 人员岗位信息'!$C:$C,"自有人员",'1-2 人员岗位信息'!$B:$B,$D119)</f>
        <v>0</v>
      </c>
      <c r="BF119" s="297"/>
      <c r="BG119" s="175">
        <f t="shared" si="202"/>
        <v>0</v>
      </c>
      <c r="BH119" s="175">
        <f>SUMIFS('1-2 人员岗位信息'!P:P,'1-2 人员岗位信息'!$C:$C,"自有人员",'1-2 人员岗位信息'!$B:$B,$D119)</f>
        <v>0</v>
      </c>
      <c r="BI119" s="297"/>
      <c r="BJ119" s="175">
        <f t="shared" si="203"/>
        <v>0</v>
      </c>
      <c r="BK119" s="175">
        <f>SUMIFS('1-2 人员岗位信息'!Q:Q,'1-2 人员岗位信息'!$C:$C,"自有人员",'1-2 人员岗位信息'!$B:$B,$D119)</f>
        <v>0</v>
      </c>
      <c r="BL119" s="306"/>
      <c r="BM119" s="310"/>
      <c r="BN119" s="314"/>
    </row>
    <row r="120" s="262" customFormat="1" ht="33.95" hidden="1" customHeight="1" outlineLevel="5" spans="2:66">
      <c r="B120" s="175" t="s">
        <v>747</v>
      </c>
      <c r="C120" s="282" t="s">
        <v>951</v>
      </c>
      <c r="D120" s="262" t="s">
        <v>952</v>
      </c>
      <c r="E120" s="175" t="s">
        <v>953</v>
      </c>
      <c r="F120" s="175"/>
      <c r="G120" s="175" t="s">
        <v>751</v>
      </c>
      <c r="H120" s="175">
        <f t="shared" si="187"/>
        <v>0</v>
      </c>
      <c r="I120" s="175" t="s">
        <v>752</v>
      </c>
      <c r="J120" s="175" t="e">
        <f t="shared" si="188"/>
        <v>#DIV/0!</v>
      </c>
      <c r="K120" s="175" t="s">
        <v>753</v>
      </c>
      <c r="L120" s="175" t="e">
        <f t="shared" si="189"/>
        <v>#DIV/0!</v>
      </c>
      <c r="M120" s="175" t="s">
        <v>754</v>
      </c>
      <c r="N120" s="175">
        <f t="shared" si="190"/>
        <v>0</v>
      </c>
      <c r="O120" s="175"/>
      <c r="P120" s="289"/>
      <c r="Q120" s="289"/>
      <c r="R120" s="289"/>
      <c r="S120" s="289"/>
      <c r="T120" s="289"/>
      <c r="U120" s="289"/>
      <c r="V120" s="289"/>
      <c r="W120" s="289"/>
      <c r="X120" s="289"/>
      <c r="Y120" s="289"/>
      <c r="Z120" s="289"/>
      <c r="AA120" s="289"/>
      <c r="AB120" s="175">
        <f t="shared" si="191"/>
        <v>0</v>
      </c>
      <c r="AC120" s="175">
        <f t="shared" si="192"/>
        <v>0</v>
      </c>
      <c r="AD120" s="175">
        <f>SUMIFS('1-2 人员岗位信息'!F:F,'1-2 人员岗位信息'!$C:$C,"自有人员",'1-2 人员岗位信息'!$B:$B,$D120)</f>
        <v>0</v>
      </c>
      <c r="AE120" s="297"/>
      <c r="AF120" s="175">
        <f t="shared" si="193"/>
        <v>0</v>
      </c>
      <c r="AG120" s="175">
        <f>SUMIFS('1-2 人员岗位信息'!G:G,'1-2 人员岗位信息'!$C:$C,"自有人员",'1-2 人员岗位信息'!$B:$B,$D120)</f>
        <v>0</v>
      </c>
      <c r="AH120" s="297"/>
      <c r="AI120" s="175">
        <f t="shared" si="194"/>
        <v>0</v>
      </c>
      <c r="AJ120" s="175">
        <f>SUMIFS('1-2 人员岗位信息'!H:H,'1-2 人员岗位信息'!$C:$C,"自有人员",'1-2 人员岗位信息'!$B:$B,$D120)</f>
        <v>0</v>
      </c>
      <c r="AK120" s="297"/>
      <c r="AL120" s="175">
        <f t="shared" si="195"/>
        <v>0</v>
      </c>
      <c r="AM120" s="175">
        <f>SUMIFS('1-2 人员岗位信息'!I:I,'1-2 人员岗位信息'!$C:$C,"自有人员",'1-2 人员岗位信息'!$B:$B,$D120)</f>
        <v>0</v>
      </c>
      <c r="AN120" s="297"/>
      <c r="AO120" s="175">
        <f t="shared" si="196"/>
        <v>0</v>
      </c>
      <c r="AP120" s="175">
        <f>SUMIFS('1-2 人员岗位信息'!J:J,'1-2 人员岗位信息'!$C:$C,"自有人员",'1-2 人员岗位信息'!$B:$B,$D120)</f>
        <v>0</v>
      </c>
      <c r="AQ120" s="297"/>
      <c r="AR120" s="175">
        <f t="shared" si="197"/>
        <v>0</v>
      </c>
      <c r="AS120" s="175">
        <f>SUMIFS('1-2 人员岗位信息'!K:K,'1-2 人员岗位信息'!$C:$C,"自有人员",'1-2 人员岗位信息'!$B:$B,$D120)</f>
        <v>0</v>
      </c>
      <c r="AT120" s="297"/>
      <c r="AU120" s="175">
        <f t="shared" si="198"/>
        <v>0</v>
      </c>
      <c r="AV120" s="175">
        <f>SUMIFS('1-2 人员岗位信息'!L:L,'1-2 人员岗位信息'!$C:$C,"自有人员",'1-2 人员岗位信息'!$B:$B,$D120)</f>
        <v>0</v>
      </c>
      <c r="AW120" s="297"/>
      <c r="AX120" s="175">
        <f t="shared" si="199"/>
        <v>0</v>
      </c>
      <c r="AY120" s="175">
        <f>SUMIFS('1-2 人员岗位信息'!M:M,'1-2 人员岗位信息'!$C:$C,"自有人员",'1-2 人员岗位信息'!$B:$B,$D120)</f>
        <v>0</v>
      </c>
      <c r="AZ120" s="297"/>
      <c r="BA120" s="175">
        <f t="shared" si="200"/>
        <v>0</v>
      </c>
      <c r="BB120" s="175">
        <f>SUMIFS('1-2 人员岗位信息'!N:N,'1-2 人员岗位信息'!$C:$C,"自有人员",'1-2 人员岗位信息'!$B:$B,$D120)</f>
        <v>0</v>
      </c>
      <c r="BC120" s="297"/>
      <c r="BD120" s="175">
        <f t="shared" si="201"/>
        <v>0</v>
      </c>
      <c r="BE120" s="175">
        <f>SUMIFS('1-2 人员岗位信息'!O:O,'1-2 人员岗位信息'!$C:$C,"自有人员",'1-2 人员岗位信息'!$B:$B,$D120)</f>
        <v>0</v>
      </c>
      <c r="BF120" s="297"/>
      <c r="BG120" s="175">
        <f t="shared" si="202"/>
        <v>0</v>
      </c>
      <c r="BH120" s="175">
        <f>SUMIFS('1-2 人员岗位信息'!P:P,'1-2 人员岗位信息'!$C:$C,"自有人员",'1-2 人员岗位信息'!$B:$B,$D120)</f>
        <v>0</v>
      </c>
      <c r="BI120" s="297"/>
      <c r="BJ120" s="175">
        <f t="shared" si="203"/>
        <v>0</v>
      </c>
      <c r="BK120" s="175">
        <f>SUMIFS('1-2 人员岗位信息'!Q:Q,'1-2 人员岗位信息'!$C:$C,"自有人员",'1-2 人员岗位信息'!$B:$B,$D120)</f>
        <v>0</v>
      </c>
      <c r="BL120" s="306"/>
      <c r="BM120" s="310"/>
      <c r="BN120" s="314"/>
    </row>
    <row r="121" s="262" customFormat="1" ht="33.95" hidden="1" customHeight="1" outlineLevel="5" spans="2:66">
      <c r="B121" s="175" t="s">
        <v>747</v>
      </c>
      <c r="C121" s="282" t="s">
        <v>954</v>
      </c>
      <c r="D121" s="262" t="s">
        <v>955</v>
      </c>
      <c r="E121" s="175" t="s">
        <v>769</v>
      </c>
      <c r="F121" s="175"/>
      <c r="G121" s="175" t="s">
        <v>751</v>
      </c>
      <c r="H121" s="175">
        <f t="shared" si="187"/>
        <v>0</v>
      </c>
      <c r="I121" s="175" t="s">
        <v>752</v>
      </c>
      <c r="J121" s="175" t="e">
        <f t="shared" si="188"/>
        <v>#DIV/0!</v>
      </c>
      <c r="K121" s="175" t="s">
        <v>753</v>
      </c>
      <c r="L121" s="175" t="e">
        <f t="shared" si="189"/>
        <v>#DIV/0!</v>
      </c>
      <c r="M121" s="175" t="s">
        <v>754</v>
      </c>
      <c r="N121" s="175">
        <f t="shared" si="190"/>
        <v>0</v>
      </c>
      <c r="O121" s="175"/>
      <c r="P121" s="289"/>
      <c r="Q121" s="289"/>
      <c r="R121" s="289"/>
      <c r="S121" s="289"/>
      <c r="T121" s="289"/>
      <c r="U121" s="289"/>
      <c r="V121" s="289"/>
      <c r="W121" s="289"/>
      <c r="X121" s="289"/>
      <c r="Y121" s="289"/>
      <c r="Z121" s="289"/>
      <c r="AA121" s="289"/>
      <c r="AB121" s="175">
        <f t="shared" si="191"/>
        <v>0</v>
      </c>
      <c r="AC121" s="175">
        <f t="shared" si="192"/>
        <v>0</v>
      </c>
      <c r="AD121" s="175">
        <f>SUMIFS('1-2 人员岗位信息'!F:F,'1-2 人员岗位信息'!$C:$C,"自有人员",'1-2 人员岗位信息'!$B:$B,$D121)</f>
        <v>0</v>
      </c>
      <c r="AE121" s="297"/>
      <c r="AF121" s="175">
        <f t="shared" si="193"/>
        <v>0</v>
      </c>
      <c r="AG121" s="175">
        <f>SUMIFS('1-2 人员岗位信息'!G:G,'1-2 人员岗位信息'!$C:$C,"自有人员",'1-2 人员岗位信息'!$B:$B,$D121)</f>
        <v>0</v>
      </c>
      <c r="AH121" s="297"/>
      <c r="AI121" s="175">
        <f t="shared" si="194"/>
        <v>0</v>
      </c>
      <c r="AJ121" s="175">
        <f>SUMIFS('1-2 人员岗位信息'!H:H,'1-2 人员岗位信息'!$C:$C,"自有人员",'1-2 人员岗位信息'!$B:$B,$D121)</f>
        <v>0</v>
      </c>
      <c r="AK121" s="297"/>
      <c r="AL121" s="175">
        <f t="shared" si="195"/>
        <v>0</v>
      </c>
      <c r="AM121" s="175">
        <f>SUMIFS('1-2 人员岗位信息'!I:I,'1-2 人员岗位信息'!$C:$C,"自有人员",'1-2 人员岗位信息'!$B:$B,$D121)</f>
        <v>0</v>
      </c>
      <c r="AN121" s="297"/>
      <c r="AO121" s="175">
        <f t="shared" si="196"/>
        <v>0</v>
      </c>
      <c r="AP121" s="175">
        <f>SUMIFS('1-2 人员岗位信息'!J:J,'1-2 人员岗位信息'!$C:$C,"自有人员",'1-2 人员岗位信息'!$B:$B,$D121)</f>
        <v>0</v>
      </c>
      <c r="AQ121" s="297"/>
      <c r="AR121" s="175">
        <f t="shared" si="197"/>
        <v>0</v>
      </c>
      <c r="AS121" s="175">
        <f>SUMIFS('1-2 人员岗位信息'!K:K,'1-2 人员岗位信息'!$C:$C,"自有人员",'1-2 人员岗位信息'!$B:$B,$D121)</f>
        <v>0</v>
      </c>
      <c r="AT121" s="297"/>
      <c r="AU121" s="175">
        <f t="shared" si="198"/>
        <v>0</v>
      </c>
      <c r="AV121" s="175">
        <f>SUMIFS('1-2 人员岗位信息'!L:L,'1-2 人员岗位信息'!$C:$C,"自有人员",'1-2 人员岗位信息'!$B:$B,$D121)</f>
        <v>0</v>
      </c>
      <c r="AW121" s="297"/>
      <c r="AX121" s="175">
        <f t="shared" si="199"/>
        <v>0</v>
      </c>
      <c r="AY121" s="175">
        <f>SUMIFS('1-2 人员岗位信息'!M:M,'1-2 人员岗位信息'!$C:$C,"自有人员",'1-2 人员岗位信息'!$B:$B,$D121)</f>
        <v>0</v>
      </c>
      <c r="AZ121" s="297"/>
      <c r="BA121" s="175">
        <f t="shared" si="200"/>
        <v>0</v>
      </c>
      <c r="BB121" s="175">
        <f>SUMIFS('1-2 人员岗位信息'!N:N,'1-2 人员岗位信息'!$C:$C,"自有人员",'1-2 人员岗位信息'!$B:$B,$D121)</f>
        <v>0</v>
      </c>
      <c r="BC121" s="297"/>
      <c r="BD121" s="175">
        <f t="shared" si="201"/>
        <v>0</v>
      </c>
      <c r="BE121" s="175">
        <f>SUMIFS('1-2 人员岗位信息'!O:O,'1-2 人员岗位信息'!$C:$C,"自有人员",'1-2 人员岗位信息'!$B:$B,$D121)</f>
        <v>0</v>
      </c>
      <c r="BF121" s="297"/>
      <c r="BG121" s="175">
        <f t="shared" si="202"/>
        <v>0</v>
      </c>
      <c r="BH121" s="175">
        <f>SUMIFS('1-2 人员岗位信息'!P:P,'1-2 人员岗位信息'!$C:$C,"自有人员",'1-2 人员岗位信息'!$B:$B,$D121)</f>
        <v>0</v>
      </c>
      <c r="BI121" s="297"/>
      <c r="BJ121" s="175">
        <f t="shared" si="203"/>
        <v>0</v>
      </c>
      <c r="BK121" s="175">
        <f>SUMIFS('1-2 人员岗位信息'!Q:Q,'1-2 人员岗位信息'!$C:$C,"自有人员",'1-2 人员岗位信息'!$B:$B,$D121)</f>
        <v>0</v>
      </c>
      <c r="BL121" s="306"/>
      <c r="BM121" s="310"/>
      <c r="BN121" s="314"/>
    </row>
    <row r="122" s="118" customFormat="1" ht="33.95" hidden="1" customHeight="1" outlineLevel="4" collapsed="1" spans="2:66">
      <c r="B122" s="119" t="s">
        <v>742</v>
      </c>
      <c r="C122" s="120" t="s">
        <v>71</v>
      </c>
      <c r="D122" s="118" t="s">
        <v>68</v>
      </c>
      <c r="E122" s="119"/>
      <c r="F122" s="119"/>
      <c r="G122" s="119"/>
      <c r="H122" s="119">
        <f>SUM(H123:H131)</f>
        <v>0</v>
      </c>
      <c r="I122" s="119"/>
      <c r="J122" s="119"/>
      <c r="K122" s="119"/>
      <c r="L122" s="119"/>
      <c r="M122" s="119"/>
      <c r="N122" s="119"/>
      <c r="O122" s="119"/>
      <c r="P122" s="288"/>
      <c r="Q122" s="288"/>
      <c r="R122" s="288"/>
      <c r="S122" s="288"/>
      <c r="T122" s="288"/>
      <c r="U122" s="288"/>
      <c r="V122" s="288"/>
      <c r="W122" s="288"/>
      <c r="X122" s="288"/>
      <c r="Y122" s="288"/>
      <c r="Z122" s="288"/>
      <c r="AA122" s="288"/>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5"/>
      <c r="BM122" s="310"/>
      <c r="BN122" s="313"/>
    </row>
    <row r="123" s="262" customFormat="1" ht="33.95" hidden="1" customHeight="1" outlineLevel="5" spans="2:66">
      <c r="B123" s="175" t="s">
        <v>747</v>
      </c>
      <c r="C123" s="282" t="s">
        <v>956</v>
      </c>
      <c r="D123" s="262" t="s">
        <v>934</v>
      </c>
      <c r="E123" s="175" t="s">
        <v>957</v>
      </c>
      <c r="F123" s="175"/>
      <c r="G123" s="175" t="s">
        <v>751</v>
      </c>
      <c r="H123" s="175">
        <f t="shared" ref="H123:H131" si="205">AB123</f>
        <v>0</v>
      </c>
      <c r="I123" s="175" t="s">
        <v>752</v>
      </c>
      <c r="J123" s="175" t="e">
        <f t="shared" ref="J123:J131" si="206">SUM(AD123,AG123,AJ123,AM123,AP123,AS123,AV123,AY123,BB123,BE123,BH123,BK123)/N123</f>
        <v>#DIV/0!</v>
      </c>
      <c r="K123" s="175" t="s">
        <v>753</v>
      </c>
      <c r="L123" s="175" t="e">
        <f t="shared" ref="L123:L131" si="207">H123/N123/J123</f>
        <v>#DIV/0!</v>
      </c>
      <c r="M123" s="175" t="s">
        <v>754</v>
      </c>
      <c r="N123" s="175">
        <f t="shared" ref="N123:N131" si="208">COUNTIF(AD123,"&gt;0")+COUNTIF(AG123,"&gt;0")+COUNTIF(AJ123,"&gt;0")+COUNTIF(AM123,"&gt;0")+COUNTIF(AP123,"&gt;0")+COUNTIF(AS123,"&gt;0")+COUNTIF(AV123,"&gt;0")+COUNTIF(AY123,"&gt;0")+COUNTIF(BB123,"&gt;0")+COUNTIF(BE123,"&gt;0")+COUNTIF(BH123,"&gt;0")+COUNTIF(BK123,"&gt;0")</f>
        <v>0</v>
      </c>
      <c r="O123" s="175"/>
      <c r="P123" s="289"/>
      <c r="Q123" s="289"/>
      <c r="R123" s="289"/>
      <c r="S123" s="289"/>
      <c r="T123" s="289"/>
      <c r="U123" s="289"/>
      <c r="V123" s="289"/>
      <c r="W123" s="289"/>
      <c r="X123" s="289"/>
      <c r="Y123" s="289"/>
      <c r="Z123" s="289"/>
      <c r="AA123" s="289"/>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297"/>
      <c r="AF123" s="175">
        <f t="shared" ref="AF123:AF131" si="211">AG123*AH123</f>
        <v>0</v>
      </c>
      <c r="AG123" s="175">
        <f>SUMIFS('1-2 人员岗位信息'!G:G,'1-2 人员岗位信息'!$C:$C,"劳务派遣",'1-2 人员岗位信息'!$B:$B,$D123)</f>
        <v>0</v>
      </c>
      <c r="AH123" s="297"/>
      <c r="AI123" s="175">
        <f t="shared" ref="AI123:AI131" si="212">AJ123*AK123</f>
        <v>0</v>
      </c>
      <c r="AJ123" s="175">
        <f>SUMIFS('1-2 人员岗位信息'!H:H,'1-2 人员岗位信息'!$C:$C,"劳务派遣",'1-2 人员岗位信息'!$B:$B,$D123)</f>
        <v>0</v>
      </c>
      <c r="AK123" s="297"/>
      <c r="AL123" s="175">
        <f t="shared" ref="AL123:AL131" si="213">AM123*AN123</f>
        <v>0</v>
      </c>
      <c r="AM123" s="175">
        <f>SUMIFS('1-2 人员岗位信息'!I:I,'1-2 人员岗位信息'!$C:$C,"劳务派遣",'1-2 人员岗位信息'!$B:$B,$D123)</f>
        <v>0</v>
      </c>
      <c r="AN123" s="297"/>
      <c r="AO123" s="175">
        <f t="shared" ref="AO123:AO131" si="214">AP123*AQ123</f>
        <v>0</v>
      </c>
      <c r="AP123" s="175">
        <f>SUMIFS('1-2 人员岗位信息'!J:J,'1-2 人员岗位信息'!$C:$C,"劳务派遣",'1-2 人员岗位信息'!$B:$B,$D123)</f>
        <v>0</v>
      </c>
      <c r="AQ123" s="297"/>
      <c r="AR123" s="175">
        <f t="shared" ref="AR123:AR131" si="215">AS123*AT123</f>
        <v>0</v>
      </c>
      <c r="AS123" s="175">
        <f>SUMIFS('1-2 人员岗位信息'!K:K,'1-2 人员岗位信息'!$C:$C,"劳务派遣",'1-2 人员岗位信息'!$B:$B,$D123)</f>
        <v>0</v>
      </c>
      <c r="AT123" s="297"/>
      <c r="AU123" s="175">
        <f t="shared" ref="AU123:AU131" si="216">AV123*AW123</f>
        <v>0</v>
      </c>
      <c r="AV123" s="175">
        <f>SUMIFS('1-2 人员岗位信息'!L:L,'1-2 人员岗位信息'!$C:$C,"劳务派遣",'1-2 人员岗位信息'!$B:$B,$D123)</f>
        <v>0</v>
      </c>
      <c r="AW123" s="297"/>
      <c r="AX123" s="175">
        <f t="shared" ref="AX123:AX131" si="217">AY123*AZ123</f>
        <v>0</v>
      </c>
      <c r="AY123" s="175">
        <f>SUMIFS('1-2 人员岗位信息'!M:M,'1-2 人员岗位信息'!$C:$C,"劳务派遣",'1-2 人员岗位信息'!$B:$B,$D123)</f>
        <v>0</v>
      </c>
      <c r="AZ123" s="297"/>
      <c r="BA123" s="175">
        <f t="shared" ref="BA123:BA131" si="218">BB123*BC123</f>
        <v>0</v>
      </c>
      <c r="BB123" s="175">
        <f>SUMIFS('1-2 人员岗位信息'!N:N,'1-2 人员岗位信息'!$C:$C,"劳务派遣",'1-2 人员岗位信息'!$B:$B,$D123)</f>
        <v>0</v>
      </c>
      <c r="BC123" s="297"/>
      <c r="BD123" s="175">
        <f t="shared" ref="BD123:BD131" si="219">BE123*BF123</f>
        <v>0</v>
      </c>
      <c r="BE123" s="175">
        <f>SUMIFS('1-2 人员岗位信息'!O:O,'1-2 人员岗位信息'!$C:$C,"劳务派遣",'1-2 人员岗位信息'!$B:$B,$D123)</f>
        <v>0</v>
      </c>
      <c r="BF123" s="297"/>
      <c r="BG123" s="175">
        <f t="shared" ref="BG123:BG131" si="220">BH123*BI123</f>
        <v>0</v>
      </c>
      <c r="BH123" s="175">
        <f>SUMIFS('1-2 人员岗位信息'!P:P,'1-2 人员岗位信息'!$C:$C,"劳务派遣",'1-2 人员岗位信息'!$B:$B,$D123)</f>
        <v>0</v>
      </c>
      <c r="BI123" s="297"/>
      <c r="BJ123" s="175">
        <f t="shared" ref="BJ123:BJ131" si="221">BK123*BL123</f>
        <v>0</v>
      </c>
      <c r="BK123" s="175">
        <f>SUMIFS('1-2 人员岗位信息'!Q:Q,'1-2 人员岗位信息'!$C:$C,"劳务派遣",'1-2 人员岗位信息'!$B:$B,$D123)</f>
        <v>0</v>
      </c>
      <c r="BL123" s="306"/>
      <c r="BM123" s="310"/>
      <c r="BN123" s="314"/>
    </row>
    <row r="124" s="262" customFormat="1" ht="33.95" hidden="1" customHeight="1" outlineLevel="5" spans="2:66">
      <c r="B124" s="175" t="s">
        <v>747</v>
      </c>
      <c r="C124" s="282" t="s">
        <v>958</v>
      </c>
      <c r="D124" s="262" t="s">
        <v>937</v>
      </c>
      <c r="E124" s="175" t="s">
        <v>959</v>
      </c>
      <c r="F124" s="175"/>
      <c r="G124" s="175" t="s">
        <v>751</v>
      </c>
      <c r="H124" s="175">
        <f t="shared" si="205"/>
        <v>0</v>
      </c>
      <c r="I124" s="175" t="s">
        <v>752</v>
      </c>
      <c r="J124" s="175" t="e">
        <f t="shared" si="206"/>
        <v>#DIV/0!</v>
      </c>
      <c r="K124" s="175" t="s">
        <v>753</v>
      </c>
      <c r="L124" s="175" t="e">
        <f t="shared" si="207"/>
        <v>#DIV/0!</v>
      </c>
      <c r="M124" s="175" t="s">
        <v>754</v>
      </c>
      <c r="N124" s="175">
        <f t="shared" si="208"/>
        <v>0</v>
      </c>
      <c r="O124" s="175"/>
      <c r="P124" s="289"/>
      <c r="Q124" s="289"/>
      <c r="R124" s="289"/>
      <c r="S124" s="289"/>
      <c r="T124" s="289"/>
      <c r="U124" s="289"/>
      <c r="V124" s="289"/>
      <c r="W124" s="289"/>
      <c r="X124" s="289"/>
      <c r="Y124" s="289"/>
      <c r="Z124" s="289"/>
      <c r="AA124" s="289"/>
      <c r="AB124" s="175">
        <f t="shared" si="209"/>
        <v>0</v>
      </c>
      <c r="AC124" s="175">
        <f t="shared" si="210"/>
        <v>0</v>
      </c>
      <c r="AD124" s="175">
        <f>SUMIFS('1-2 人员岗位信息'!F:F,'1-2 人员岗位信息'!$C:$C,"劳务派遣",'1-2 人员岗位信息'!$B:$B,$D124)</f>
        <v>0</v>
      </c>
      <c r="AE124" s="297"/>
      <c r="AF124" s="175">
        <f t="shared" si="211"/>
        <v>0</v>
      </c>
      <c r="AG124" s="175">
        <f>SUMIFS('1-2 人员岗位信息'!G:G,'1-2 人员岗位信息'!$C:$C,"劳务派遣",'1-2 人员岗位信息'!$B:$B,$D124)</f>
        <v>0</v>
      </c>
      <c r="AH124" s="297"/>
      <c r="AI124" s="175">
        <f t="shared" si="212"/>
        <v>0</v>
      </c>
      <c r="AJ124" s="175">
        <f>SUMIFS('1-2 人员岗位信息'!H:H,'1-2 人员岗位信息'!$C:$C,"劳务派遣",'1-2 人员岗位信息'!$B:$B,$D124)</f>
        <v>0</v>
      </c>
      <c r="AK124" s="297"/>
      <c r="AL124" s="175">
        <f t="shared" si="213"/>
        <v>0</v>
      </c>
      <c r="AM124" s="175">
        <f>SUMIFS('1-2 人员岗位信息'!I:I,'1-2 人员岗位信息'!$C:$C,"劳务派遣",'1-2 人员岗位信息'!$B:$B,$D124)</f>
        <v>0</v>
      </c>
      <c r="AN124" s="297"/>
      <c r="AO124" s="175">
        <f t="shared" si="214"/>
        <v>0</v>
      </c>
      <c r="AP124" s="175">
        <f>SUMIFS('1-2 人员岗位信息'!J:J,'1-2 人员岗位信息'!$C:$C,"劳务派遣",'1-2 人员岗位信息'!$B:$B,$D124)</f>
        <v>0</v>
      </c>
      <c r="AQ124" s="297"/>
      <c r="AR124" s="175">
        <f t="shared" si="215"/>
        <v>0</v>
      </c>
      <c r="AS124" s="175">
        <f>SUMIFS('1-2 人员岗位信息'!K:K,'1-2 人员岗位信息'!$C:$C,"劳务派遣",'1-2 人员岗位信息'!$B:$B,$D124)</f>
        <v>0</v>
      </c>
      <c r="AT124" s="297"/>
      <c r="AU124" s="175">
        <f t="shared" si="216"/>
        <v>0</v>
      </c>
      <c r="AV124" s="175">
        <f>SUMIFS('1-2 人员岗位信息'!L:L,'1-2 人员岗位信息'!$C:$C,"劳务派遣",'1-2 人员岗位信息'!$B:$B,$D124)</f>
        <v>0</v>
      </c>
      <c r="AW124" s="297"/>
      <c r="AX124" s="175">
        <f t="shared" si="217"/>
        <v>0</v>
      </c>
      <c r="AY124" s="175">
        <f>SUMIFS('1-2 人员岗位信息'!M:M,'1-2 人员岗位信息'!$C:$C,"劳务派遣",'1-2 人员岗位信息'!$B:$B,$D124)</f>
        <v>0</v>
      </c>
      <c r="AZ124" s="297"/>
      <c r="BA124" s="175">
        <f t="shared" si="218"/>
        <v>0</v>
      </c>
      <c r="BB124" s="175">
        <f>SUMIFS('1-2 人员岗位信息'!N:N,'1-2 人员岗位信息'!$C:$C,"劳务派遣",'1-2 人员岗位信息'!$B:$B,$D124)</f>
        <v>0</v>
      </c>
      <c r="BC124" s="297"/>
      <c r="BD124" s="175">
        <f t="shared" si="219"/>
        <v>0</v>
      </c>
      <c r="BE124" s="175">
        <f>SUMIFS('1-2 人员岗位信息'!O:O,'1-2 人员岗位信息'!$C:$C,"劳务派遣",'1-2 人员岗位信息'!$B:$B,$D124)</f>
        <v>0</v>
      </c>
      <c r="BF124" s="297"/>
      <c r="BG124" s="175">
        <f t="shared" si="220"/>
        <v>0</v>
      </c>
      <c r="BH124" s="175">
        <f>SUMIFS('1-2 人员岗位信息'!P:P,'1-2 人员岗位信息'!$C:$C,"劳务派遣",'1-2 人员岗位信息'!$B:$B,$D124)</f>
        <v>0</v>
      </c>
      <c r="BI124" s="297"/>
      <c r="BJ124" s="175">
        <f t="shared" si="221"/>
        <v>0</v>
      </c>
      <c r="BK124" s="175">
        <f>SUMIFS('1-2 人员岗位信息'!Q:Q,'1-2 人员岗位信息'!$C:$C,"劳务派遣",'1-2 人员岗位信息'!$B:$B,$D124)</f>
        <v>0</v>
      </c>
      <c r="BL124" s="306"/>
      <c r="BM124" s="310"/>
      <c r="BN124" s="314"/>
    </row>
    <row r="125" s="262" customFormat="1" ht="33.95" hidden="1" customHeight="1" outlineLevel="5" spans="2:66">
      <c r="B125" s="175" t="s">
        <v>747</v>
      </c>
      <c r="C125" s="282" t="s">
        <v>960</v>
      </c>
      <c r="D125" s="262" t="s">
        <v>940</v>
      </c>
      <c r="E125" s="175" t="s">
        <v>941</v>
      </c>
      <c r="F125" s="175"/>
      <c r="G125" s="175" t="s">
        <v>751</v>
      </c>
      <c r="H125" s="175">
        <f t="shared" si="205"/>
        <v>0</v>
      </c>
      <c r="I125" s="175" t="s">
        <v>752</v>
      </c>
      <c r="J125" s="175" t="e">
        <f t="shared" si="206"/>
        <v>#DIV/0!</v>
      </c>
      <c r="K125" s="175" t="s">
        <v>753</v>
      </c>
      <c r="L125" s="175" t="e">
        <f t="shared" si="207"/>
        <v>#DIV/0!</v>
      </c>
      <c r="M125" s="175" t="s">
        <v>754</v>
      </c>
      <c r="N125" s="175">
        <f t="shared" si="208"/>
        <v>0</v>
      </c>
      <c r="O125" s="175"/>
      <c r="P125" s="289"/>
      <c r="Q125" s="289"/>
      <c r="R125" s="289"/>
      <c r="S125" s="289"/>
      <c r="T125" s="289"/>
      <c r="U125" s="289"/>
      <c r="V125" s="289"/>
      <c r="W125" s="289"/>
      <c r="X125" s="289"/>
      <c r="Y125" s="289"/>
      <c r="Z125" s="289"/>
      <c r="AA125" s="289"/>
      <c r="AB125" s="175">
        <f t="shared" si="209"/>
        <v>0</v>
      </c>
      <c r="AC125" s="175">
        <f t="shared" si="210"/>
        <v>0</v>
      </c>
      <c r="AD125" s="175">
        <f>SUMIFS('1-2 人员岗位信息'!F:F,'1-2 人员岗位信息'!$C:$C,"劳务派遣",'1-2 人员岗位信息'!$B:$B,$D125)</f>
        <v>0</v>
      </c>
      <c r="AE125" s="297"/>
      <c r="AF125" s="175">
        <f t="shared" si="211"/>
        <v>0</v>
      </c>
      <c r="AG125" s="175">
        <f>SUMIFS('1-2 人员岗位信息'!G:G,'1-2 人员岗位信息'!$C:$C,"劳务派遣",'1-2 人员岗位信息'!$B:$B,$D125)</f>
        <v>0</v>
      </c>
      <c r="AH125" s="297"/>
      <c r="AI125" s="175">
        <f t="shared" si="212"/>
        <v>0</v>
      </c>
      <c r="AJ125" s="175">
        <f>SUMIFS('1-2 人员岗位信息'!H:H,'1-2 人员岗位信息'!$C:$C,"劳务派遣",'1-2 人员岗位信息'!$B:$B,$D125)</f>
        <v>0</v>
      </c>
      <c r="AK125" s="297"/>
      <c r="AL125" s="175">
        <f t="shared" si="213"/>
        <v>0</v>
      </c>
      <c r="AM125" s="175">
        <f>SUMIFS('1-2 人员岗位信息'!I:I,'1-2 人员岗位信息'!$C:$C,"劳务派遣",'1-2 人员岗位信息'!$B:$B,$D125)</f>
        <v>0</v>
      </c>
      <c r="AN125" s="297"/>
      <c r="AO125" s="175">
        <f t="shared" si="214"/>
        <v>0</v>
      </c>
      <c r="AP125" s="175">
        <f>SUMIFS('1-2 人员岗位信息'!J:J,'1-2 人员岗位信息'!$C:$C,"劳务派遣",'1-2 人员岗位信息'!$B:$B,$D125)</f>
        <v>0</v>
      </c>
      <c r="AQ125" s="297"/>
      <c r="AR125" s="175">
        <f t="shared" si="215"/>
        <v>0</v>
      </c>
      <c r="AS125" s="175">
        <f>SUMIFS('1-2 人员岗位信息'!K:K,'1-2 人员岗位信息'!$C:$C,"劳务派遣",'1-2 人员岗位信息'!$B:$B,$D125)</f>
        <v>0</v>
      </c>
      <c r="AT125" s="297"/>
      <c r="AU125" s="175">
        <f t="shared" si="216"/>
        <v>0</v>
      </c>
      <c r="AV125" s="175">
        <f>SUMIFS('1-2 人员岗位信息'!L:L,'1-2 人员岗位信息'!$C:$C,"劳务派遣",'1-2 人员岗位信息'!$B:$B,$D125)</f>
        <v>0</v>
      </c>
      <c r="AW125" s="297"/>
      <c r="AX125" s="175">
        <f t="shared" si="217"/>
        <v>0</v>
      </c>
      <c r="AY125" s="175">
        <f>SUMIFS('1-2 人员岗位信息'!M:M,'1-2 人员岗位信息'!$C:$C,"劳务派遣",'1-2 人员岗位信息'!$B:$B,$D125)</f>
        <v>0</v>
      </c>
      <c r="AZ125" s="297"/>
      <c r="BA125" s="175">
        <f t="shared" si="218"/>
        <v>0</v>
      </c>
      <c r="BB125" s="175">
        <f>SUMIFS('1-2 人员岗位信息'!N:N,'1-2 人员岗位信息'!$C:$C,"劳务派遣",'1-2 人员岗位信息'!$B:$B,$D125)</f>
        <v>0</v>
      </c>
      <c r="BC125" s="297"/>
      <c r="BD125" s="175">
        <f t="shared" si="219"/>
        <v>0</v>
      </c>
      <c r="BE125" s="175">
        <f>SUMIFS('1-2 人员岗位信息'!O:O,'1-2 人员岗位信息'!$C:$C,"劳务派遣",'1-2 人员岗位信息'!$B:$B,$D125)</f>
        <v>0</v>
      </c>
      <c r="BF125" s="297"/>
      <c r="BG125" s="175">
        <f t="shared" si="220"/>
        <v>0</v>
      </c>
      <c r="BH125" s="175">
        <f>SUMIFS('1-2 人员岗位信息'!P:P,'1-2 人员岗位信息'!$C:$C,"劳务派遣",'1-2 人员岗位信息'!$B:$B,$D125)</f>
        <v>0</v>
      </c>
      <c r="BI125" s="297"/>
      <c r="BJ125" s="175">
        <f t="shared" si="221"/>
        <v>0</v>
      </c>
      <c r="BK125" s="175">
        <f>SUMIFS('1-2 人员岗位信息'!Q:Q,'1-2 人员岗位信息'!$C:$C,"劳务派遣",'1-2 人员岗位信息'!$B:$B,$D125)</f>
        <v>0</v>
      </c>
      <c r="BL125" s="306"/>
      <c r="BM125" s="310"/>
      <c r="BN125" s="314"/>
    </row>
    <row r="126" s="262" customFormat="1" ht="33.95" hidden="1" customHeight="1" outlineLevel="5" spans="2:66">
      <c r="B126" s="175" t="s">
        <v>747</v>
      </c>
      <c r="C126" s="282" t="s">
        <v>961</v>
      </c>
      <c r="D126" s="262" t="s">
        <v>943</v>
      </c>
      <c r="E126" s="175" t="s">
        <v>944</v>
      </c>
      <c r="F126" s="175"/>
      <c r="G126" s="175" t="s">
        <v>751</v>
      </c>
      <c r="H126" s="175">
        <f t="shared" si="205"/>
        <v>0</v>
      </c>
      <c r="I126" s="175" t="s">
        <v>752</v>
      </c>
      <c r="J126" s="175" t="e">
        <f t="shared" si="206"/>
        <v>#DIV/0!</v>
      </c>
      <c r="K126" s="175" t="s">
        <v>753</v>
      </c>
      <c r="L126" s="175" t="e">
        <f t="shared" si="207"/>
        <v>#DIV/0!</v>
      </c>
      <c r="M126" s="175" t="s">
        <v>754</v>
      </c>
      <c r="N126" s="175">
        <f t="shared" si="208"/>
        <v>0</v>
      </c>
      <c r="O126" s="175"/>
      <c r="P126" s="289"/>
      <c r="Q126" s="289"/>
      <c r="R126" s="289"/>
      <c r="S126" s="289"/>
      <c r="T126" s="289"/>
      <c r="U126" s="289"/>
      <c r="V126" s="289"/>
      <c r="W126" s="289"/>
      <c r="X126" s="289"/>
      <c r="Y126" s="289"/>
      <c r="Z126" s="289"/>
      <c r="AA126" s="289"/>
      <c r="AB126" s="175">
        <f t="shared" si="209"/>
        <v>0</v>
      </c>
      <c r="AC126" s="175">
        <f t="shared" si="210"/>
        <v>0</v>
      </c>
      <c r="AD126" s="175">
        <f>SUMIFS('1-2 人员岗位信息'!F:F,'1-2 人员岗位信息'!$C:$C,"劳务派遣",'1-2 人员岗位信息'!$B:$B,$D126)</f>
        <v>0</v>
      </c>
      <c r="AE126" s="297"/>
      <c r="AF126" s="175">
        <f t="shared" si="211"/>
        <v>0</v>
      </c>
      <c r="AG126" s="175">
        <f>SUMIFS('1-2 人员岗位信息'!G:G,'1-2 人员岗位信息'!$C:$C,"劳务派遣",'1-2 人员岗位信息'!$B:$B,$D126)</f>
        <v>0</v>
      </c>
      <c r="AH126" s="297"/>
      <c r="AI126" s="175">
        <f t="shared" si="212"/>
        <v>0</v>
      </c>
      <c r="AJ126" s="175">
        <f>SUMIFS('1-2 人员岗位信息'!H:H,'1-2 人员岗位信息'!$C:$C,"劳务派遣",'1-2 人员岗位信息'!$B:$B,$D126)</f>
        <v>0</v>
      </c>
      <c r="AK126" s="297"/>
      <c r="AL126" s="175">
        <f t="shared" si="213"/>
        <v>0</v>
      </c>
      <c r="AM126" s="175">
        <f>SUMIFS('1-2 人员岗位信息'!I:I,'1-2 人员岗位信息'!$C:$C,"劳务派遣",'1-2 人员岗位信息'!$B:$B,$D126)</f>
        <v>0</v>
      </c>
      <c r="AN126" s="297"/>
      <c r="AO126" s="175">
        <f t="shared" si="214"/>
        <v>0</v>
      </c>
      <c r="AP126" s="175">
        <f>SUMIFS('1-2 人员岗位信息'!J:J,'1-2 人员岗位信息'!$C:$C,"劳务派遣",'1-2 人员岗位信息'!$B:$B,$D126)</f>
        <v>0</v>
      </c>
      <c r="AQ126" s="297"/>
      <c r="AR126" s="175">
        <f t="shared" si="215"/>
        <v>0</v>
      </c>
      <c r="AS126" s="175">
        <f>SUMIFS('1-2 人员岗位信息'!K:K,'1-2 人员岗位信息'!$C:$C,"劳务派遣",'1-2 人员岗位信息'!$B:$B,$D126)</f>
        <v>0</v>
      </c>
      <c r="AT126" s="297"/>
      <c r="AU126" s="175">
        <f t="shared" si="216"/>
        <v>0</v>
      </c>
      <c r="AV126" s="175">
        <f>SUMIFS('1-2 人员岗位信息'!L:L,'1-2 人员岗位信息'!$C:$C,"劳务派遣",'1-2 人员岗位信息'!$B:$B,$D126)</f>
        <v>0</v>
      </c>
      <c r="AW126" s="297"/>
      <c r="AX126" s="175">
        <f t="shared" si="217"/>
        <v>0</v>
      </c>
      <c r="AY126" s="175">
        <f>SUMIFS('1-2 人员岗位信息'!M:M,'1-2 人员岗位信息'!$C:$C,"劳务派遣",'1-2 人员岗位信息'!$B:$B,$D126)</f>
        <v>0</v>
      </c>
      <c r="AZ126" s="297"/>
      <c r="BA126" s="175">
        <f t="shared" si="218"/>
        <v>0</v>
      </c>
      <c r="BB126" s="175">
        <f>SUMIFS('1-2 人员岗位信息'!N:N,'1-2 人员岗位信息'!$C:$C,"劳务派遣",'1-2 人员岗位信息'!$B:$B,$D126)</f>
        <v>0</v>
      </c>
      <c r="BC126" s="297"/>
      <c r="BD126" s="175">
        <f t="shared" si="219"/>
        <v>0</v>
      </c>
      <c r="BE126" s="175">
        <f>SUMIFS('1-2 人员岗位信息'!O:O,'1-2 人员岗位信息'!$C:$C,"劳务派遣",'1-2 人员岗位信息'!$B:$B,$D126)</f>
        <v>0</v>
      </c>
      <c r="BF126" s="297"/>
      <c r="BG126" s="175">
        <f t="shared" si="220"/>
        <v>0</v>
      </c>
      <c r="BH126" s="175">
        <f>SUMIFS('1-2 人员岗位信息'!P:P,'1-2 人员岗位信息'!$C:$C,"劳务派遣",'1-2 人员岗位信息'!$B:$B,$D126)</f>
        <v>0</v>
      </c>
      <c r="BI126" s="297"/>
      <c r="BJ126" s="175">
        <f t="shared" si="221"/>
        <v>0</v>
      </c>
      <c r="BK126" s="175">
        <f>SUMIFS('1-2 人员岗位信息'!Q:Q,'1-2 人员岗位信息'!$C:$C,"劳务派遣",'1-2 人员岗位信息'!$B:$B,$D126)</f>
        <v>0</v>
      </c>
      <c r="BL126" s="306"/>
      <c r="BM126" s="310"/>
      <c r="BN126" s="314"/>
    </row>
    <row r="127" s="262" customFormat="1" ht="33.95" hidden="1" customHeight="1" outlineLevel="5" spans="2:66">
      <c r="B127" s="175" t="s">
        <v>747</v>
      </c>
      <c r="C127" s="282" t="s">
        <v>962</v>
      </c>
      <c r="D127" s="262" t="s">
        <v>946</v>
      </c>
      <c r="E127" s="175" t="s">
        <v>944</v>
      </c>
      <c r="F127" s="175"/>
      <c r="G127" s="175" t="s">
        <v>751</v>
      </c>
      <c r="H127" s="175">
        <f t="shared" si="205"/>
        <v>0</v>
      </c>
      <c r="I127" s="175" t="s">
        <v>752</v>
      </c>
      <c r="J127" s="175" t="e">
        <f t="shared" si="206"/>
        <v>#DIV/0!</v>
      </c>
      <c r="K127" s="175" t="s">
        <v>753</v>
      </c>
      <c r="L127" s="175" t="e">
        <f t="shared" si="207"/>
        <v>#DIV/0!</v>
      </c>
      <c r="M127" s="175" t="s">
        <v>754</v>
      </c>
      <c r="N127" s="175">
        <f t="shared" si="208"/>
        <v>0</v>
      </c>
      <c r="O127" s="175"/>
      <c r="P127" s="289"/>
      <c r="Q127" s="289"/>
      <c r="R127" s="289"/>
      <c r="S127" s="289"/>
      <c r="T127" s="289"/>
      <c r="U127" s="289"/>
      <c r="V127" s="289"/>
      <c r="W127" s="289"/>
      <c r="X127" s="289"/>
      <c r="Y127" s="289"/>
      <c r="Z127" s="289"/>
      <c r="AA127" s="289"/>
      <c r="AB127" s="175">
        <f t="shared" si="209"/>
        <v>0</v>
      </c>
      <c r="AC127" s="175">
        <f t="shared" si="210"/>
        <v>0</v>
      </c>
      <c r="AD127" s="175">
        <f>SUMIFS('1-2 人员岗位信息'!F:F,'1-2 人员岗位信息'!$C:$C,"劳务派遣",'1-2 人员岗位信息'!$B:$B,$D127)</f>
        <v>0</v>
      </c>
      <c r="AE127" s="297"/>
      <c r="AF127" s="175">
        <f t="shared" si="211"/>
        <v>0</v>
      </c>
      <c r="AG127" s="175">
        <f>SUMIFS('1-2 人员岗位信息'!G:G,'1-2 人员岗位信息'!$C:$C,"劳务派遣",'1-2 人员岗位信息'!$B:$B,$D127)</f>
        <v>0</v>
      </c>
      <c r="AH127" s="297"/>
      <c r="AI127" s="175">
        <f t="shared" si="212"/>
        <v>0</v>
      </c>
      <c r="AJ127" s="175">
        <f>SUMIFS('1-2 人员岗位信息'!H:H,'1-2 人员岗位信息'!$C:$C,"劳务派遣",'1-2 人员岗位信息'!$B:$B,$D127)</f>
        <v>0</v>
      </c>
      <c r="AK127" s="297"/>
      <c r="AL127" s="175">
        <f t="shared" si="213"/>
        <v>0</v>
      </c>
      <c r="AM127" s="175">
        <f>SUMIFS('1-2 人员岗位信息'!I:I,'1-2 人员岗位信息'!$C:$C,"劳务派遣",'1-2 人员岗位信息'!$B:$B,$D127)</f>
        <v>0</v>
      </c>
      <c r="AN127" s="297"/>
      <c r="AO127" s="175">
        <f t="shared" si="214"/>
        <v>0</v>
      </c>
      <c r="AP127" s="175">
        <f>SUMIFS('1-2 人员岗位信息'!J:J,'1-2 人员岗位信息'!$C:$C,"劳务派遣",'1-2 人员岗位信息'!$B:$B,$D127)</f>
        <v>0</v>
      </c>
      <c r="AQ127" s="297"/>
      <c r="AR127" s="175">
        <f t="shared" si="215"/>
        <v>0</v>
      </c>
      <c r="AS127" s="175">
        <f>SUMIFS('1-2 人员岗位信息'!K:K,'1-2 人员岗位信息'!$C:$C,"劳务派遣",'1-2 人员岗位信息'!$B:$B,$D127)</f>
        <v>0</v>
      </c>
      <c r="AT127" s="297"/>
      <c r="AU127" s="175">
        <f t="shared" si="216"/>
        <v>0</v>
      </c>
      <c r="AV127" s="175">
        <f>SUMIFS('1-2 人员岗位信息'!L:L,'1-2 人员岗位信息'!$C:$C,"劳务派遣",'1-2 人员岗位信息'!$B:$B,$D127)</f>
        <v>0</v>
      </c>
      <c r="AW127" s="297"/>
      <c r="AX127" s="175">
        <f t="shared" si="217"/>
        <v>0</v>
      </c>
      <c r="AY127" s="175">
        <f>SUMIFS('1-2 人员岗位信息'!M:M,'1-2 人员岗位信息'!$C:$C,"劳务派遣",'1-2 人员岗位信息'!$B:$B,$D127)</f>
        <v>0</v>
      </c>
      <c r="AZ127" s="297"/>
      <c r="BA127" s="175">
        <f t="shared" si="218"/>
        <v>0</v>
      </c>
      <c r="BB127" s="175">
        <f>SUMIFS('1-2 人员岗位信息'!N:N,'1-2 人员岗位信息'!$C:$C,"劳务派遣",'1-2 人员岗位信息'!$B:$B,$D127)</f>
        <v>0</v>
      </c>
      <c r="BC127" s="297"/>
      <c r="BD127" s="175">
        <f t="shared" si="219"/>
        <v>0</v>
      </c>
      <c r="BE127" s="175">
        <f>SUMIFS('1-2 人员岗位信息'!O:O,'1-2 人员岗位信息'!$C:$C,"劳务派遣",'1-2 人员岗位信息'!$B:$B,$D127)</f>
        <v>0</v>
      </c>
      <c r="BF127" s="297"/>
      <c r="BG127" s="175">
        <f t="shared" si="220"/>
        <v>0</v>
      </c>
      <c r="BH127" s="175">
        <f>SUMIFS('1-2 人员岗位信息'!P:P,'1-2 人员岗位信息'!$C:$C,"劳务派遣",'1-2 人员岗位信息'!$B:$B,$D127)</f>
        <v>0</v>
      </c>
      <c r="BI127" s="297"/>
      <c r="BJ127" s="175">
        <f t="shared" si="221"/>
        <v>0</v>
      </c>
      <c r="BK127" s="175">
        <f>SUMIFS('1-2 人员岗位信息'!Q:Q,'1-2 人员岗位信息'!$C:$C,"劳务派遣",'1-2 人员岗位信息'!$B:$B,$D127)</f>
        <v>0</v>
      </c>
      <c r="BL127" s="306"/>
      <c r="BM127" s="310"/>
      <c r="BN127" s="314"/>
    </row>
    <row r="128" s="262" customFormat="1" ht="33.95" hidden="1" customHeight="1" outlineLevel="5" spans="2:66">
      <c r="B128" s="175" t="s">
        <v>747</v>
      </c>
      <c r="C128" s="282" t="s">
        <v>963</v>
      </c>
      <c r="D128" s="262" t="s">
        <v>948</v>
      </c>
      <c r="E128" s="175" t="s">
        <v>944</v>
      </c>
      <c r="F128" s="175"/>
      <c r="G128" s="175" t="s">
        <v>751</v>
      </c>
      <c r="H128" s="175">
        <f t="shared" si="205"/>
        <v>0</v>
      </c>
      <c r="I128" s="175" t="s">
        <v>752</v>
      </c>
      <c r="J128" s="175" t="e">
        <f t="shared" si="206"/>
        <v>#DIV/0!</v>
      </c>
      <c r="K128" s="175" t="s">
        <v>753</v>
      </c>
      <c r="L128" s="175" t="e">
        <f t="shared" si="207"/>
        <v>#DIV/0!</v>
      </c>
      <c r="M128" s="175" t="s">
        <v>754</v>
      </c>
      <c r="N128" s="175">
        <f t="shared" si="208"/>
        <v>0</v>
      </c>
      <c r="O128" s="175"/>
      <c r="P128" s="289"/>
      <c r="Q128" s="289"/>
      <c r="R128" s="289"/>
      <c r="S128" s="289"/>
      <c r="T128" s="289"/>
      <c r="U128" s="289"/>
      <c r="V128" s="289"/>
      <c r="W128" s="289"/>
      <c r="X128" s="289"/>
      <c r="Y128" s="289"/>
      <c r="Z128" s="289"/>
      <c r="AA128" s="289"/>
      <c r="AB128" s="175">
        <f t="shared" si="209"/>
        <v>0</v>
      </c>
      <c r="AC128" s="175">
        <f t="shared" si="210"/>
        <v>0</v>
      </c>
      <c r="AD128" s="175">
        <f>SUMIFS('1-2 人员岗位信息'!F:F,'1-2 人员岗位信息'!$C:$C,"劳务派遣",'1-2 人员岗位信息'!$B:$B,$D128)</f>
        <v>0</v>
      </c>
      <c r="AE128" s="297"/>
      <c r="AF128" s="175">
        <f t="shared" si="211"/>
        <v>0</v>
      </c>
      <c r="AG128" s="175">
        <f>SUMIFS('1-2 人员岗位信息'!G:G,'1-2 人员岗位信息'!$C:$C,"劳务派遣",'1-2 人员岗位信息'!$B:$B,$D128)</f>
        <v>0</v>
      </c>
      <c r="AH128" s="297"/>
      <c r="AI128" s="175">
        <f t="shared" si="212"/>
        <v>0</v>
      </c>
      <c r="AJ128" s="175">
        <f>SUMIFS('1-2 人员岗位信息'!H:H,'1-2 人员岗位信息'!$C:$C,"劳务派遣",'1-2 人员岗位信息'!$B:$B,$D128)</f>
        <v>0</v>
      </c>
      <c r="AK128" s="297"/>
      <c r="AL128" s="175">
        <f t="shared" si="213"/>
        <v>0</v>
      </c>
      <c r="AM128" s="175">
        <f>SUMIFS('1-2 人员岗位信息'!I:I,'1-2 人员岗位信息'!$C:$C,"劳务派遣",'1-2 人员岗位信息'!$B:$B,$D128)</f>
        <v>0</v>
      </c>
      <c r="AN128" s="297"/>
      <c r="AO128" s="175">
        <f t="shared" si="214"/>
        <v>0</v>
      </c>
      <c r="AP128" s="175">
        <f>SUMIFS('1-2 人员岗位信息'!J:J,'1-2 人员岗位信息'!$C:$C,"劳务派遣",'1-2 人员岗位信息'!$B:$B,$D128)</f>
        <v>0</v>
      </c>
      <c r="AQ128" s="297"/>
      <c r="AR128" s="175">
        <f t="shared" si="215"/>
        <v>0</v>
      </c>
      <c r="AS128" s="175">
        <f>SUMIFS('1-2 人员岗位信息'!K:K,'1-2 人员岗位信息'!$C:$C,"劳务派遣",'1-2 人员岗位信息'!$B:$B,$D128)</f>
        <v>0</v>
      </c>
      <c r="AT128" s="297"/>
      <c r="AU128" s="175">
        <f t="shared" si="216"/>
        <v>0</v>
      </c>
      <c r="AV128" s="175">
        <f>SUMIFS('1-2 人员岗位信息'!L:L,'1-2 人员岗位信息'!$C:$C,"劳务派遣",'1-2 人员岗位信息'!$B:$B,$D128)</f>
        <v>0</v>
      </c>
      <c r="AW128" s="297"/>
      <c r="AX128" s="175">
        <f t="shared" si="217"/>
        <v>0</v>
      </c>
      <c r="AY128" s="175">
        <f>SUMIFS('1-2 人员岗位信息'!M:M,'1-2 人员岗位信息'!$C:$C,"劳务派遣",'1-2 人员岗位信息'!$B:$B,$D128)</f>
        <v>0</v>
      </c>
      <c r="AZ128" s="297"/>
      <c r="BA128" s="175">
        <f t="shared" si="218"/>
        <v>0</v>
      </c>
      <c r="BB128" s="175">
        <f>SUMIFS('1-2 人员岗位信息'!N:N,'1-2 人员岗位信息'!$C:$C,"劳务派遣",'1-2 人员岗位信息'!$B:$B,$D128)</f>
        <v>0</v>
      </c>
      <c r="BC128" s="297"/>
      <c r="BD128" s="175">
        <f t="shared" si="219"/>
        <v>0</v>
      </c>
      <c r="BE128" s="175">
        <f>SUMIFS('1-2 人员岗位信息'!O:O,'1-2 人员岗位信息'!$C:$C,"劳务派遣",'1-2 人员岗位信息'!$B:$B,$D128)</f>
        <v>0</v>
      </c>
      <c r="BF128" s="297"/>
      <c r="BG128" s="175">
        <f t="shared" si="220"/>
        <v>0</v>
      </c>
      <c r="BH128" s="175">
        <f>SUMIFS('1-2 人员岗位信息'!P:P,'1-2 人员岗位信息'!$C:$C,"劳务派遣",'1-2 人员岗位信息'!$B:$B,$D128)</f>
        <v>0</v>
      </c>
      <c r="BI128" s="297"/>
      <c r="BJ128" s="175">
        <f t="shared" si="221"/>
        <v>0</v>
      </c>
      <c r="BK128" s="175">
        <f>SUMIFS('1-2 人员岗位信息'!Q:Q,'1-2 人员岗位信息'!$C:$C,"劳务派遣",'1-2 人员岗位信息'!$B:$B,$D128)</f>
        <v>0</v>
      </c>
      <c r="BL128" s="306"/>
      <c r="BM128" s="310"/>
      <c r="BN128" s="314"/>
    </row>
    <row r="129" s="262" customFormat="1" ht="33.95" hidden="1" customHeight="1" outlineLevel="5" spans="2:66">
      <c r="B129" s="175" t="s">
        <v>747</v>
      </c>
      <c r="C129" s="282" t="s">
        <v>964</v>
      </c>
      <c r="D129" s="262" t="s">
        <v>950</v>
      </c>
      <c r="E129" s="175" t="s">
        <v>944</v>
      </c>
      <c r="F129" s="175"/>
      <c r="G129" s="175" t="s">
        <v>751</v>
      </c>
      <c r="H129" s="175">
        <f t="shared" si="205"/>
        <v>0</v>
      </c>
      <c r="I129" s="175" t="s">
        <v>752</v>
      </c>
      <c r="J129" s="175" t="e">
        <f t="shared" si="206"/>
        <v>#DIV/0!</v>
      </c>
      <c r="K129" s="175" t="s">
        <v>753</v>
      </c>
      <c r="L129" s="175" t="e">
        <f t="shared" si="207"/>
        <v>#DIV/0!</v>
      </c>
      <c r="M129" s="175" t="s">
        <v>754</v>
      </c>
      <c r="N129" s="175">
        <f t="shared" si="208"/>
        <v>0</v>
      </c>
      <c r="O129" s="175"/>
      <c r="P129" s="289"/>
      <c r="Q129" s="289"/>
      <c r="R129" s="289"/>
      <c r="S129" s="289"/>
      <c r="T129" s="289"/>
      <c r="U129" s="289"/>
      <c r="V129" s="289"/>
      <c r="W129" s="289"/>
      <c r="X129" s="289"/>
      <c r="Y129" s="289"/>
      <c r="Z129" s="289"/>
      <c r="AA129" s="289"/>
      <c r="AB129" s="175">
        <f t="shared" si="209"/>
        <v>0</v>
      </c>
      <c r="AC129" s="175">
        <f t="shared" si="210"/>
        <v>0</v>
      </c>
      <c r="AD129" s="175">
        <f>SUMIFS('1-2 人员岗位信息'!F:F,'1-2 人员岗位信息'!$C:$C,"劳务派遣",'1-2 人员岗位信息'!$B:$B,$D129)</f>
        <v>0</v>
      </c>
      <c r="AE129" s="297"/>
      <c r="AF129" s="175">
        <f t="shared" si="211"/>
        <v>0</v>
      </c>
      <c r="AG129" s="175">
        <f>SUMIFS('1-2 人员岗位信息'!G:G,'1-2 人员岗位信息'!$C:$C,"劳务派遣",'1-2 人员岗位信息'!$B:$B,$D129)</f>
        <v>0</v>
      </c>
      <c r="AH129" s="297"/>
      <c r="AI129" s="175">
        <f t="shared" si="212"/>
        <v>0</v>
      </c>
      <c r="AJ129" s="175">
        <f>SUMIFS('1-2 人员岗位信息'!H:H,'1-2 人员岗位信息'!$C:$C,"劳务派遣",'1-2 人员岗位信息'!$B:$B,$D129)</f>
        <v>0</v>
      </c>
      <c r="AK129" s="297"/>
      <c r="AL129" s="175">
        <f t="shared" si="213"/>
        <v>0</v>
      </c>
      <c r="AM129" s="175">
        <f>SUMIFS('1-2 人员岗位信息'!I:I,'1-2 人员岗位信息'!$C:$C,"劳务派遣",'1-2 人员岗位信息'!$B:$B,$D129)</f>
        <v>0</v>
      </c>
      <c r="AN129" s="297"/>
      <c r="AO129" s="175">
        <f t="shared" si="214"/>
        <v>0</v>
      </c>
      <c r="AP129" s="175">
        <f>SUMIFS('1-2 人员岗位信息'!J:J,'1-2 人员岗位信息'!$C:$C,"劳务派遣",'1-2 人员岗位信息'!$B:$B,$D129)</f>
        <v>0</v>
      </c>
      <c r="AQ129" s="297"/>
      <c r="AR129" s="175">
        <f t="shared" si="215"/>
        <v>0</v>
      </c>
      <c r="AS129" s="175">
        <f>SUMIFS('1-2 人员岗位信息'!K:K,'1-2 人员岗位信息'!$C:$C,"劳务派遣",'1-2 人员岗位信息'!$B:$B,$D129)</f>
        <v>0</v>
      </c>
      <c r="AT129" s="297"/>
      <c r="AU129" s="175">
        <f t="shared" si="216"/>
        <v>0</v>
      </c>
      <c r="AV129" s="175">
        <f>SUMIFS('1-2 人员岗位信息'!L:L,'1-2 人员岗位信息'!$C:$C,"劳务派遣",'1-2 人员岗位信息'!$B:$B,$D129)</f>
        <v>0</v>
      </c>
      <c r="AW129" s="297"/>
      <c r="AX129" s="175">
        <f t="shared" si="217"/>
        <v>0</v>
      </c>
      <c r="AY129" s="175">
        <f>SUMIFS('1-2 人员岗位信息'!M:M,'1-2 人员岗位信息'!$C:$C,"劳务派遣",'1-2 人员岗位信息'!$B:$B,$D129)</f>
        <v>0</v>
      </c>
      <c r="AZ129" s="297"/>
      <c r="BA129" s="175">
        <f t="shared" si="218"/>
        <v>0</v>
      </c>
      <c r="BB129" s="175">
        <f>SUMIFS('1-2 人员岗位信息'!N:N,'1-2 人员岗位信息'!$C:$C,"劳务派遣",'1-2 人员岗位信息'!$B:$B,$D129)</f>
        <v>0</v>
      </c>
      <c r="BC129" s="297"/>
      <c r="BD129" s="175">
        <f t="shared" si="219"/>
        <v>0</v>
      </c>
      <c r="BE129" s="175">
        <f>SUMIFS('1-2 人员岗位信息'!O:O,'1-2 人员岗位信息'!$C:$C,"劳务派遣",'1-2 人员岗位信息'!$B:$B,$D129)</f>
        <v>0</v>
      </c>
      <c r="BF129" s="297"/>
      <c r="BG129" s="175">
        <f t="shared" si="220"/>
        <v>0</v>
      </c>
      <c r="BH129" s="175">
        <f>SUMIFS('1-2 人员岗位信息'!P:P,'1-2 人员岗位信息'!$C:$C,"劳务派遣",'1-2 人员岗位信息'!$B:$B,$D129)</f>
        <v>0</v>
      </c>
      <c r="BI129" s="297"/>
      <c r="BJ129" s="175">
        <f t="shared" si="221"/>
        <v>0</v>
      </c>
      <c r="BK129" s="175">
        <f>SUMIFS('1-2 人员岗位信息'!Q:Q,'1-2 人员岗位信息'!$C:$C,"劳务派遣",'1-2 人员岗位信息'!$B:$B,$D129)</f>
        <v>0</v>
      </c>
      <c r="BL129" s="306"/>
      <c r="BM129" s="310"/>
      <c r="BN129" s="314"/>
    </row>
    <row r="130" s="262" customFormat="1" ht="33.95" hidden="1" customHeight="1" outlineLevel="5" spans="2:66">
      <c r="B130" s="175" t="s">
        <v>747</v>
      </c>
      <c r="C130" s="282" t="s">
        <v>965</v>
      </c>
      <c r="D130" s="262" t="s">
        <v>952</v>
      </c>
      <c r="E130" s="175" t="s">
        <v>953</v>
      </c>
      <c r="F130" s="175"/>
      <c r="G130" s="175" t="s">
        <v>751</v>
      </c>
      <c r="H130" s="175">
        <f t="shared" si="205"/>
        <v>0</v>
      </c>
      <c r="I130" s="175" t="s">
        <v>752</v>
      </c>
      <c r="J130" s="175" t="e">
        <f t="shared" si="206"/>
        <v>#DIV/0!</v>
      </c>
      <c r="K130" s="175" t="s">
        <v>753</v>
      </c>
      <c r="L130" s="175" t="e">
        <f t="shared" si="207"/>
        <v>#DIV/0!</v>
      </c>
      <c r="M130" s="175" t="s">
        <v>754</v>
      </c>
      <c r="N130" s="175">
        <f t="shared" si="208"/>
        <v>0</v>
      </c>
      <c r="O130" s="175"/>
      <c r="P130" s="289"/>
      <c r="Q130" s="289"/>
      <c r="R130" s="289"/>
      <c r="S130" s="289"/>
      <c r="T130" s="289"/>
      <c r="U130" s="289"/>
      <c r="V130" s="289"/>
      <c r="W130" s="289"/>
      <c r="X130" s="289"/>
      <c r="Y130" s="289"/>
      <c r="Z130" s="289"/>
      <c r="AA130" s="289"/>
      <c r="AB130" s="175">
        <f t="shared" si="209"/>
        <v>0</v>
      </c>
      <c r="AC130" s="175">
        <f t="shared" si="210"/>
        <v>0</v>
      </c>
      <c r="AD130" s="175">
        <f>SUMIFS('1-2 人员岗位信息'!F:F,'1-2 人员岗位信息'!$C:$C,"劳务派遣",'1-2 人员岗位信息'!$B:$B,$D130)</f>
        <v>0</v>
      </c>
      <c r="AE130" s="297"/>
      <c r="AF130" s="175">
        <f t="shared" si="211"/>
        <v>0</v>
      </c>
      <c r="AG130" s="175">
        <f>SUMIFS('1-2 人员岗位信息'!G:G,'1-2 人员岗位信息'!$C:$C,"劳务派遣",'1-2 人员岗位信息'!$B:$B,$D130)</f>
        <v>0</v>
      </c>
      <c r="AH130" s="297"/>
      <c r="AI130" s="175">
        <f t="shared" si="212"/>
        <v>0</v>
      </c>
      <c r="AJ130" s="175">
        <f>SUMIFS('1-2 人员岗位信息'!H:H,'1-2 人员岗位信息'!$C:$C,"劳务派遣",'1-2 人员岗位信息'!$B:$B,$D130)</f>
        <v>0</v>
      </c>
      <c r="AK130" s="297"/>
      <c r="AL130" s="175">
        <f t="shared" si="213"/>
        <v>0</v>
      </c>
      <c r="AM130" s="175">
        <f>SUMIFS('1-2 人员岗位信息'!I:I,'1-2 人员岗位信息'!$C:$C,"劳务派遣",'1-2 人员岗位信息'!$B:$B,$D130)</f>
        <v>0</v>
      </c>
      <c r="AN130" s="297"/>
      <c r="AO130" s="175">
        <f t="shared" si="214"/>
        <v>0</v>
      </c>
      <c r="AP130" s="175">
        <f>SUMIFS('1-2 人员岗位信息'!J:J,'1-2 人员岗位信息'!$C:$C,"劳务派遣",'1-2 人员岗位信息'!$B:$B,$D130)</f>
        <v>0</v>
      </c>
      <c r="AQ130" s="297"/>
      <c r="AR130" s="175">
        <f t="shared" si="215"/>
        <v>0</v>
      </c>
      <c r="AS130" s="175">
        <f>SUMIFS('1-2 人员岗位信息'!K:K,'1-2 人员岗位信息'!$C:$C,"劳务派遣",'1-2 人员岗位信息'!$B:$B,$D130)</f>
        <v>0</v>
      </c>
      <c r="AT130" s="297"/>
      <c r="AU130" s="175">
        <f t="shared" si="216"/>
        <v>0</v>
      </c>
      <c r="AV130" s="175">
        <f>SUMIFS('1-2 人员岗位信息'!L:L,'1-2 人员岗位信息'!$C:$C,"劳务派遣",'1-2 人员岗位信息'!$B:$B,$D130)</f>
        <v>0</v>
      </c>
      <c r="AW130" s="297"/>
      <c r="AX130" s="175">
        <f t="shared" si="217"/>
        <v>0</v>
      </c>
      <c r="AY130" s="175">
        <f>SUMIFS('1-2 人员岗位信息'!M:M,'1-2 人员岗位信息'!$C:$C,"劳务派遣",'1-2 人员岗位信息'!$B:$B,$D130)</f>
        <v>0</v>
      </c>
      <c r="AZ130" s="297"/>
      <c r="BA130" s="175">
        <f t="shared" si="218"/>
        <v>0</v>
      </c>
      <c r="BB130" s="175">
        <f>SUMIFS('1-2 人员岗位信息'!N:N,'1-2 人员岗位信息'!$C:$C,"劳务派遣",'1-2 人员岗位信息'!$B:$B,$D130)</f>
        <v>0</v>
      </c>
      <c r="BC130" s="297"/>
      <c r="BD130" s="175">
        <f t="shared" si="219"/>
        <v>0</v>
      </c>
      <c r="BE130" s="175">
        <f>SUMIFS('1-2 人员岗位信息'!O:O,'1-2 人员岗位信息'!$C:$C,"劳务派遣",'1-2 人员岗位信息'!$B:$B,$D130)</f>
        <v>0</v>
      </c>
      <c r="BF130" s="297"/>
      <c r="BG130" s="175">
        <f t="shared" si="220"/>
        <v>0</v>
      </c>
      <c r="BH130" s="175">
        <f>SUMIFS('1-2 人员岗位信息'!P:P,'1-2 人员岗位信息'!$C:$C,"劳务派遣",'1-2 人员岗位信息'!$B:$B,$D130)</f>
        <v>0</v>
      </c>
      <c r="BI130" s="297"/>
      <c r="BJ130" s="175">
        <f t="shared" si="221"/>
        <v>0</v>
      </c>
      <c r="BK130" s="175">
        <f>SUMIFS('1-2 人员岗位信息'!Q:Q,'1-2 人员岗位信息'!$C:$C,"劳务派遣",'1-2 人员岗位信息'!$B:$B,$D130)</f>
        <v>0</v>
      </c>
      <c r="BL130" s="306"/>
      <c r="BM130" s="310"/>
      <c r="BN130" s="314"/>
    </row>
    <row r="131" s="262" customFormat="1" ht="33.95" hidden="1" customHeight="1" outlineLevel="5" spans="2:66">
      <c r="B131" s="175" t="s">
        <v>747</v>
      </c>
      <c r="C131" s="282" t="s">
        <v>966</v>
      </c>
      <c r="D131" s="262" t="s">
        <v>955</v>
      </c>
      <c r="E131" s="175" t="s">
        <v>769</v>
      </c>
      <c r="F131" s="175"/>
      <c r="G131" s="175" t="s">
        <v>751</v>
      </c>
      <c r="H131" s="175">
        <f t="shared" si="205"/>
        <v>0</v>
      </c>
      <c r="I131" s="175" t="s">
        <v>752</v>
      </c>
      <c r="J131" s="175" t="e">
        <f t="shared" si="206"/>
        <v>#DIV/0!</v>
      </c>
      <c r="K131" s="175" t="s">
        <v>753</v>
      </c>
      <c r="L131" s="175" t="e">
        <f t="shared" si="207"/>
        <v>#DIV/0!</v>
      </c>
      <c r="M131" s="175" t="s">
        <v>754</v>
      </c>
      <c r="N131" s="175">
        <f t="shared" si="208"/>
        <v>0</v>
      </c>
      <c r="O131" s="175"/>
      <c r="P131" s="289"/>
      <c r="Q131" s="289"/>
      <c r="R131" s="289"/>
      <c r="S131" s="289"/>
      <c r="T131" s="289"/>
      <c r="U131" s="289"/>
      <c r="V131" s="289"/>
      <c r="W131" s="289"/>
      <c r="X131" s="289"/>
      <c r="Y131" s="289"/>
      <c r="Z131" s="289"/>
      <c r="AA131" s="289"/>
      <c r="AB131" s="175">
        <f t="shared" si="209"/>
        <v>0</v>
      </c>
      <c r="AC131" s="175">
        <f t="shared" si="210"/>
        <v>0</v>
      </c>
      <c r="AD131" s="175">
        <f>SUMIFS('1-2 人员岗位信息'!F:F,'1-2 人员岗位信息'!$C:$C,"劳务派遣",'1-2 人员岗位信息'!$B:$B,$D131)</f>
        <v>0</v>
      </c>
      <c r="AE131" s="297"/>
      <c r="AF131" s="175">
        <f t="shared" si="211"/>
        <v>0</v>
      </c>
      <c r="AG131" s="175">
        <f>SUMIFS('1-2 人员岗位信息'!G:G,'1-2 人员岗位信息'!$C:$C,"劳务派遣",'1-2 人员岗位信息'!$B:$B,$D131)</f>
        <v>0</v>
      </c>
      <c r="AH131" s="297"/>
      <c r="AI131" s="175">
        <f t="shared" si="212"/>
        <v>0</v>
      </c>
      <c r="AJ131" s="175">
        <f>SUMIFS('1-2 人员岗位信息'!H:H,'1-2 人员岗位信息'!$C:$C,"劳务派遣",'1-2 人员岗位信息'!$B:$B,$D131)</f>
        <v>0</v>
      </c>
      <c r="AK131" s="297"/>
      <c r="AL131" s="175">
        <f t="shared" si="213"/>
        <v>0</v>
      </c>
      <c r="AM131" s="175">
        <f>SUMIFS('1-2 人员岗位信息'!I:I,'1-2 人员岗位信息'!$C:$C,"劳务派遣",'1-2 人员岗位信息'!$B:$B,$D131)</f>
        <v>0</v>
      </c>
      <c r="AN131" s="297"/>
      <c r="AO131" s="175">
        <f t="shared" si="214"/>
        <v>0</v>
      </c>
      <c r="AP131" s="175">
        <f>SUMIFS('1-2 人员岗位信息'!J:J,'1-2 人员岗位信息'!$C:$C,"劳务派遣",'1-2 人员岗位信息'!$B:$B,$D131)</f>
        <v>0</v>
      </c>
      <c r="AQ131" s="297"/>
      <c r="AR131" s="175">
        <f t="shared" si="215"/>
        <v>0</v>
      </c>
      <c r="AS131" s="175">
        <f>SUMIFS('1-2 人员岗位信息'!K:K,'1-2 人员岗位信息'!$C:$C,"劳务派遣",'1-2 人员岗位信息'!$B:$B,$D131)</f>
        <v>0</v>
      </c>
      <c r="AT131" s="297"/>
      <c r="AU131" s="175">
        <f t="shared" si="216"/>
        <v>0</v>
      </c>
      <c r="AV131" s="175">
        <f>SUMIFS('1-2 人员岗位信息'!L:L,'1-2 人员岗位信息'!$C:$C,"劳务派遣",'1-2 人员岗位信息'!$B:$B,$D131)</f>
        <v>0</v>
      </c>
      <c r="AW131" s="297"/>
      <c r="AX131" s="175">
        <f t="shared" si="217"/>
        <v>0</v>
      </c>
      <c r="AY131" s="175">
        <f>SUMIFS('1-2 人员岗位信息'!M:M,'1-2 人员岗位信息'!$C:$C,"劳务派遣",'1-2 人员岗位信息'!$B:$B,$D131)</f>
        <v>0</v>
      </c>
      <c r="AZ131" s="297"/>
      <c r="BA131" s="175">
        <f t="shared" si="218"/>
        <v>0</v>
      </c>
      <c r="BB131" s="175">
        <f>SUMIFS('1-2 人员岗位信息'!N:N,'1-2 人员岗位信息'!$C:$C,"劳务派遣",'1-2 人员岗位信息'!$B:$B,$D131)</f>
        <v>0</v>
      </c>
      <c r="BC131" s="297"/>
      <c r="BD131" s="175">
        <f t="shared" si="219"/>
        <v>0</v>
      </c>
      <c r="BE131" s="175">
        <f>SUMIFS('1-2 人员岗位信息'!O:O,'1-2 人员岗位信息'!$C:$C,"劳务派遣",'1-2 人员岗位信息'!$B:$B,$D131)</f>
        <v>0</v>
      </c>
      <c r="BF131" s="297"/>
      <c r="BG131" s="175">
        <f t="shared" si="220"/>
        <v>0</v>
      </c>
      <c r="BH131" s="175">
        <f>SUMIFS('1-2 人员岗位信息'!P:P,'1-2 人员岗位信息'!$C:$C,"劳务派遣",'1-2 人员岗位信息'!$B:$B,$D131)</f>
        <v>0</v>
      </c>
      <c r="BI131" s="297"/>
      <c r="BJ131" s="175">
        <f t="shared" si="221"/>
        <v>0</v>
      </c>
      <c r="BK131" s="175">
        <f>SUMIFS('1-2 人员岗位信息'!Q:Q,'1-2 人员岗位信息'!$C:$C,"劳务派遣",'1-2 人员岗位信息'!$B:$B,$D131)</f>
        <v>0</v>
      </c>
      <c r="BL131" s="306"/>
      <c r="BM131" s="310"/>
      <c r="BN131" s="314"/>
    </row>
    <row r="132" s="118" customFormat="1" ht="33.95" hidden="1" customHeight="1" outlineLevel="4" collapsed="1" spans="2:66">
      <c r="B132" s="119" t="s">
        <v>742</v>
      </c>
      <c r="C132" s="120" t="s">
        <v>967</v>
      </c>
      <c r="D132" s="118" t="s">
        <v>15</v>
      </c>
      <c r="E132" s="119"/>
      <c r="F132" s="119"/>
      <c r="G132" s="119"/>
      <c r="H132" s="119">
        <f>SUM(H133:H141)</f>
        <v>0</v>
      </c>
      <c r="I132" s="119"/>
      <c r="J132" s="119"/>
      <c r="K132" s="119"/>
      <c r="L132" s="119"/>
      <c r="M132" s="119"/>
      <c r="N132" s="119"/>
      <c r="O132" s="119"/>
      <c r="P132" s="288"/>
      <c r="Q132" s="288"/>
      <c r="R132" s="288"/>
      <c r="S132" s="288"/>
      <c r="T132" s="288"/>
      <c r="U132" s="288"/>
      <c r="V132" s="288"/>
      <c r="W132" s="288"/>
      <c r="X132" s="288"/>
      <c r="Y132" s="288"/>
      <c r="Z132" s="288"/>
      <c r="AA132" s="288"/>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5"/>
      <c r="BM132" s="310"/>
      <c r="BN132" s="313"/>
    </row>
    <row r="133" s="262" customFormat="1" ht="33.95" hidden="1" customHeight="1" outlineLevel="5" spans="2:66">
      <c r="B133" s="175" t="s">
        <v>747</v>
      </c>
      <c r="C133" s="282" t="s">
        <v>968</v>
      </c>
      <c r="D133" s="262" t="s">
        <v>934</v>
      </c>
      <c r="E133" s="175" t="s">
        <v>969</v>
      </c>
      <c r="F133" s="175"/>
      <c r="G133" s="175" t="s">
        <v>751</v>
      </c>
      <c r="H133" s="175">
        <f t="shared" ref="H133:H142" si="223">AB133</f>
        <v>0</v>
      </c>
      <c r="I133" s="175" t="s">
        <v>752</v>
      </c>
      <c r="J133" s="175" t="e">
        <f t="shared" ref="J133:J142" si="224">SUM(AD133,AG133,AJ133,AM133,AP133,AS133,AV133,AY133,BB133,BE133,BH133,BK133)/N133</f>
        <v>#DIV/0!</v>
      </c>
      <c r="K133" s="175" t="s">
        <v>753</v>
      </c>
      <c r="L133" s="175" t="e">
        <f t="shared" ref="L133:L142" si="225">H133/N133/J133</f>
        <v>#DIV/0!</v>
      </c>
      <c r="M133" s="175" t="s">
        <v>754</v>
      </c>
      <c r="N133" s="175">
        <f t="shared" ref="N133:N142" si="226">COUNTIF(AD133,"&gt;0")+COUNTIF(AG133,"&gt;0")+COUNTIF(AJ133,"&gt;0")+COUNTIF(AM133,"&gt;0")+COUNTIF(AP133,"&gt;0")+COUNTIF(AS133,"&gt;0")+COUNTIF(AV133,"&gt;0")+COUNTIF(AY133,"&gt;0")+COUNTIF(BB133,"&gt;0")+COUNTIF(BE133,"&gt;0")+COUNTIF(BH133,"&gt;0")+COUNTIF(BK133,"&gt;0")</f>
        <v>0</v>
      </c>
      <c r="O133" s="175"/>
      <c r="P133" s="289"/>
      <c r="Q133" s="289"/>
      <c r="R133" s="289"/>
      <c r="S133" s="289"/>
      <c r="T133" s="289"/>
      <c r="U133" s="289"/>
      <c r="V133" s="289"/>
      <c r="W133" s="289"/>
      <c r="X133" s="289"/>
      <c r="Y133" s="289"/>
      <c r="Z133" s="289"/>
      <c r="AA133" s="289"/>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297"/>
      <c r="AF133" s="175">
        <f t="shared" ref="AF133:AF142" si="229">AG133*AH133</f>
        <v>0</v>
      </c>
      <c r="AG133" s="175">
        <f>SUMIFS('1-2 人员岗位信息'!G:G,'1-2 人员岗位信息'!$C:$C,"专业外包",'1-2 人员岗位信息'!$B:$B,$D133)</f>
        <v>0</v>
      </c>
      <c r="AH133" s="297"/>
      <c r="AI133" s="175">
        <f t="shared" ref="AI133:AI142" si="230">AJ133*AK133</f>
        <v>0</v>
      </c>
      <c r="AJ133" s="175">
        <f>SUMIFS('1-2 人员岗位信息'!H:H,'1-2 人员岗位信息'!$C:$C,"专业外包",'1-2 人员岗位信息'!$B:$B,$D133)</f>
        <v>0</v>
      </c>
      <c r="AK133" s="297"/>
      <c r="AL133" s="175">
        <f t="shared" ref="AL133:AL142" si="231">AM133*AN133</f>
        <v>0</v>
      </c>
      <c r="AM133" s="175">
        <f>SUMIFS('1-2 人员岗位信息'!I:I,'1-2 人员岗位信息'!$C:$C,"专业外包",'1-2 人员岗位信息'!$B:$B,$D133)</f>
        <v>0</v>
      </c>
      <c r="AN133" s="297"/>
      <c r="AO133" s="175">
        <f t="shared" ref="AO133:AO142" si="232">AP133*AQ133</f>
        <v>0</v>
      </c>
      <c r="AP133" s="175">
        <f>SUMIFS('1-2 人员岗位信息'!J:J,'1-2 人员岗位信息'!$C:$C,"专业外包",'1-2 人员岗位信息'!$B:$B,$D133)</f>
        <v>0</v>
      </c>
      <c r="AQ133" s="297"/>
      <c r="AR133" s="175">
        <f t="shared" ref="AR133:AR142" si="233">AS133*AT133</f>
        <v>0</v>
      </c>
      <c r="AS133" s="175">
        <f>SUMIFS('1-2 人员岗位信息'!K:K,'1-2 人员岗位信息'!$C:$C,"专业外包",'1-2 人员岗位信息'!$B:$B,$D133)</f>
        <v>0</v>
      </c>
      <c r="AT133" s="297"/>
      <c r="AU133" s="175">
        <f t="shared" ref="AU133:AU142" si="234">AV133*AW133</f>
        <v>0</v>
      </c>
      <c r="AV133" s="175">
        <f>SUMIFS('1-2 人员岗位信息'!L:L,'1-2 人员岗位信息'!$C:$C,"专业外包",'1-2 人员岗位信息'!$B:$B,$D133)</f>
        <v>0</v>
      </c>
      <c r="AW133" s="297"/>
      <c r="AX133" s="175">
        <f t="shared" ref="AX133:AX142" si="235">AY133*AZ133</f>
        <v>0</v>
      </c>
      <c r="AY133" s="175">
        <f>SUMIFS('1-2 人员岗位信息'!M:M,'1-2 人员岗位信息'!$C:$C,"专业外包",'1-2 人员岗位信息'!$B:$B,$D133)</f>
        <v>0</v>
      </c>
      <c r="AZ133" s="297"/>
      <c r="BA133" s="175">
        <f t="shared" ref="BA133:BA142" si="236">BB133*BC133</f>
        <v>0</v>
      </c>
      <c r="BB133" s="175">
        <f>SUMIFS('1-2 人员岗位信息'!N:N,'1-2 人员岗位信息'!$C:$C,"专业外包",'1-2 人员岗位信息'!$B:$B,$D133)</f>
        <v>0</v>
      </c>
      <c r="BC133" s="297"/>
      <c r="BD133" s="175">
        <f t="shared" ref="BD133:BD142" si="237">BE133*BF133</f>
        <v>0</v>
      </c>
      <c r="BE133" s="175">
        <f>SUMIFS('1-2 人员岗位信息'!O:O,'1-2 人员岗位信息'!$C:$C,"专业外包",'1-2 人员岗位信息'!$B:$B,$D133)</f>
        <v>0</v>
      </c>
      <c r="BF133" s="297"/>
      <c r="BG133" s="175">
        <f t="shared" ref="BG133:BG142" si="238">BH133*BI133</f>
        <v>0</v>
      </c>
      <c r="BH133" s="175">
        <f>SUMIFS('1-2 人员岗位信息'!P:P,'1-2 人员岗位信息'!$C:$C,"专业外包",'1-2 人员岗位信息'!$B:$B,$D133)</f>
        <v>0</v>
      </c>
      <c r="BI133" s="297"/>
      <c r="BJ133" s="175">
        <f t="shared" ref="BJ133:BJ142" si="239">BK133*BL133</f>
        <v>0</v>
      </c>
      <c r="BK133" s="175">
        <f>SUMIFS('1-2 人员岗位信息'!Q:Q,'1-2 人员岗位信息'!$C:$C,"专业外包",'1-2 人员岗位信息'!$B:$B,$D133)</f>
        <v>0</v>
      </c>
      <c r="BL133" s="306"/>
      <c r="BM133" s="310"/>
      <c r="BN133" s="314"/>
    </row>
    <row r="134" s="262" customFormat="1" ht="33.95" hidden="1" customHeight="1" outlineLevel="5" spans="2:66">
      <c r="B134" s="175" t="s">
        <v>747</v>
      </c>
      <c r="C134" s="282" t="s">
        <v>970</v>
      </c>
      <c r="D134" s="262" t="s">
        <v>937</v>
      </c>
      <c r="E134" s="175" t="s">
        <v>971</v>
      </c>
      <c r="F134" s="175"/>
      <c r="G134" s="175" t="s">
        <v>751</v>
      </c>
      <c r="H134" s="175">
        <f t="shared" si="223"/>
        <v>0</v>
      </c>
      <c r="I134" s="175" t="s">
        <v>752</v>
      </c>
      <c r="J134" s="175" t="e">
        <f t="shared" si="224"/>
        <v>#DIV/0!</v>
      </c>
      <c r="K134" s="175" t="s">
        <v>753</v>
      </c>
      <c r="L134" s="175" t="e">
        <f t="shared" si="225"/>
        <v>#DIV/0!</v>
      </c>
      <c r="M134" s="175" t="s">
        <v>754</v>
      </c>
      <c r="N134" s="175">
        <f t="shared" si="226"/>
        <v>0</v>
      </c>
      <c r="O134" s="175"/>
      <c r="P134" s="289"/>
      <c r="Q134" s="289"/>
      <c r="R134" s="289"/>
      <c r="S134" s="289"/>
      <c r="T134" s="289"/>
      <c r="U134" s="289"/>
      <c r="V134" s="289"/>
      <c r="W134" s="289"/>
      <c r="X134" s="289"/>
      <c r="Y134" s="289"/>
      <c r="Z134" s="289"/>
      <c r="AA134" s="289"/>
      <c r="AB134" s="175">
        <f t="shared" si="227"/>
        <v>0</v>
      </c>
      <c r="AC134" s="175">
        <f t="shared" si="228"/>
        <v>0</v>
      </c>
      <c r="AD134" s="175">
        <f>SUMIFS('1-2 人员岗位信息'!F:F,'1-2 人员岗位信息'!$C:$C,"专业外包",'1-2 人员岗位信息'!$B:$B,$D134)</f>
        <v>0</v>
      </c>
      <c r="AE134" s="297"/>
      <c r="AF134" s="175">
        <f t="shared" si="229"/>
        <v>0</v>
      </c>
      <c r="AG134" s="175">
        <f>SUMIFS('1-2 人员岗位信息'!G:G,'1-2 人员岗位信息'!$C:$C,"专业外包",'1-2 人员岗位信息'!$B:$B,$D134)</f>
        <v>0</v>
      </c>
      <c r="AH134" s="297"/>
      <c r="AI134" s="175">
        <f t="shared" si="230"/>
        <v>0</v>
      </c>
      <c r="AJ134" s="175">
        <f>SUMIFS('1-2 人员岗位信息'!H:H,'1-2 人员岗位信息'!$C:$C,"专业外包",'1-2 人员岗位信息'!$B:$B,$D134)</f>
        <v>0</v>
      </c>
      <c r="AK134" s="297"/>
      <c r="AL134" s="175">
        <f t="shared" si="231"/>
        <v>0</v>
      </c>
      <c r="AM134" s="175">
        <f>SUMIFS('1-2 人员岗位信息'!I:I,'1-2 人员岗位信息'!$C:$C,"专业外包",'1-2 人员岗位信息'!$B:$B,$D134)</f>
        <v>0</v>
      </c>
      <c r="AN134" s="297"/>
      <c r="AO134" s="175">
        <f t="shared" si="232"/>
        <v>0</v>
      </c>
      <c r="AP134" s="175">
        <f>SUMIFS('1-2 人员岗位信息'!J:J,'1-2 人员岗位信息'!$C:$C,"专业外包",'1-2 人员岗位信息'!$B:$B,$D134)</f>
        <v>0</v>
      </c>
      <c r="AQ134" s="297"/>
      <c r="AR134" s="175">
        <f t="shared" si="233"/>
        <v>0</v>
      </c>
      <c r="AS134" s="175">
        <f>SUMIFS('1-2 人员岗位信息'!K:K,'1-2 人员岗位信息'!$C:$C,"专业外包",'1-2 人员岗位信息'!$B:$B,$D134)</f>
        <v>0</v>
      </c>
      <c r="AT134" s="297"/>
      <c r="AU134" s="175">
        <f t="shared" si="234"/>
        <v>0</v>
      </c>
      <c r="AV134" s="175">
        <f>SUMIFS('1-2 人员岗位信息'!L:L,'1-2 人员岗位信息'!$C:$C,"专业外包",'1-2 人员岗位信息'!$B:$B,$D134)</f>
        <v>0</v>
      </c>
      <c r="AW134" s="297"/>
      <c r="AX134" s="175">
        <f t="shared" si="235"/>
        <v>0</v>
      </c>
      <c r="AY134" s="175">
        <f>SUMIFS('1-2 人员岗位信息'!M:M,'1-2 人员岗位信息'!$C:$C,"专业外包",'1-2 人员岗位信息'!$B:$B,$D134)</f>
        <v>0</v>
      </c>
      <c r="AZ134" s="297"/>
      <c r="BA134" s="175">
        <f t="shared" si="236"/>
        <v>0</v>
      </c>
      <c r="BB134" s="175">
        <f>SUMIFS('1-2 人员岗位信息'!N:N,'1-2 人员岗位信息'!$C:$C,"专业外包",'1-2 人员岗位信息'!$B:$B,$D134)</f>
        <v>0</v>
      </c>
      <c r="BC134" s="297"/>
      <c r="BD134" s="175">
        <f t="shared" si="237"/>
        <v>0</v>
      </c>
      <c r="BE134" s="175">
        <f>SUMIFS('1-2 人员岗位信息'!O:O,'1-2 人员岗位信息'!$C:$C,"专业外包",'1-2 人员岗位信息'!$B:$B,$D134)</f>
        <v>0</v>
      </c>
      <c r="BF134" s="297"/>
      <c r="BG134" s="175">
        <f t="shared" si="238"/>
        <v>0</v>
      </c>
      <c r="BH134" s="175">
        <f>SUMIFS('1-2 人员岗位信息'!P:P,'1-2 人员岗位信息'!$C:$C,"专业外包",'1-2 人员岗位信息'!$B:$B,$D134)</f>
        <v>0</v>
      </c>
      <c r="BI134" s="297"/>
      <c r="BJ134" s="175">
        <f t="shared" si="239"/>
        <v>0</v>
      </c>
      <c r="BK134" s="175">
        <f>SUMIFS('1-2 人员岗位信息'!Q:Q,'1-2 人员岗位信息'!$C:$C,"专业外包",'1-2 人员岗位信息'!$B:$B,$D134)</f>
        <v>0</v>
      </c>
      <c r="BL134" s="306"/>
      <c r="BM134" s="310"/>
      <c r="BN134" s="314"/>
    </row>
    <row r="135" s="262" customFormat="1" ht="33.95" hidden="1" customHeight="1" outlineLevel="5" spans="2:66">
      <c r="B135" s="175" t="s">
        <v>747</v>
      </c>
      <c r="C135" s="282" t="s">
        <v>972</v>
      </c>
      <c r="D135" s="262" t="s">
        <v>940</v>
      </c>
      <c r="E135" s="175" t="s">
        <v>941</v>
      </c>
      <c r="F135" s="175"/>
      <c r="G135" s="175" t="s">
        <v>751</v>
      </c>
      <c r="H135" s="175">
        <f t="shared" si="223"/>
        <v>0</v>
      </c>
      <c r="I135" s="175" t="s">
        <v>752</v>
      </c>
      <c r="J135" s="175" t="e">
        <f t="shared" si="224"/>
        <v>#DIV/0!</v>
      </c>
      <c r="K135" s="175" t="s">
        <v>753</v>
      </c>
      <c r="L135" s="175" t="e">
        <f t="shared" si="225"/>
        <v>#DIV/0!</v>
      </c>
      <c r="M135" s="175" t="s">
        <v>754</v>
      </c>
      <c r="N135" s="175">
        <f t="shared" si="226"/>
        <v>0</v>
      </c>
      <c r="O135" s="175"/>
      <c r="P135" s="289"/>
      <c r="Q135" s="289"/>
      <c r="R135" s="289"/>
      <c r="S135" s="289"/>
      <c r="T135" s="289"/>
      <c r="U135" s="289"/>
      <c r="V135" s="289"/>
      <c r="W135" s="289"/>
      <c r="X135" s="289"/>
      <c r="Y135" s="289"/>
      <c r="Z135" s="289"/>
      <c r="AA135" s="289"/>
      <c r="AB135" s="175">
        <f t="shared" si="227"/>
        <v>0</v>
      </c>
      <c r="AC135" s="175">
        <f t="shared" si="228"/>
        <v>0</v>
      </c>
      <c r="AD135" s="175">
        <f>SUMIFS('1-2 人员岗位信息'!F:F,'1-2 人员岗位信息'!$C:$C,"专业外包",'1-2 人员岗位信息'!$B:$B,$D135)</f>
        <v>0</v>
      </c>
      <c r="AE135" s="297"/>
      <c r="AF135" s="175">
        <f t="shared" si="229"/>
        <v>0</v>
      </c>
      <c r="AG135" s="175">
        <f>SUMIFS('1-2 人员岗位信息'!G:G,'1-2 人员岗位信息'!$C:$C,"专业外包",'1-2 人员岗位信息'!$B:$B,$D135)</f>
        <v>0</v>
      </c>
      <c r="AH135" s="297"/>
      <c r="AI135" s="175">
        <f t="shared" si="230"/>
        <v>0</v>
      </c>
      <c r="AJ135" s="175">
        <f>SUMIFS('1-2 人员岗位信息'!H:H,'1-2 人员岗位信息'!$C:$C,"专业外包",'1-2 人员岗位信息'!$B:$B,$D135)</f>
        <v>0</v>
      </c>
      <c r="AK135" s="297"/>
      <c r="AL135" s="175">
        <f t="shared" si="231"/>
        <v>0</v>
      </c>
      <c r="AM135" s="175">
        <f>SUMIFS('1-2 人员岗位信息'!I:I,'1-2 人员岗位信息'!$C:$C,"专业外包",'1-2 人员岗位信息'!$B:$B,$D135)</f>
        <v>0</v>
      </c>
      <c r="AN135" s="297"/>
      <c r="AO135" s="175">
        <f t="shared" si="232"/>
        <v>0</v>
      </c>
      <c r="AP135" s="175">
        <f>SUMIFS('1-2 人员岗位信息'!J:J,'1-2 人员岗位信息'!$C:$C,"专业外包",'1-2 人员岗位信息'!$B:$B,$D135)</f>
        <v>0</v>
      </c>
      <c r="AQ135" s="297"/>
      <c r="AR135" s="175">
        <f t="shared" si="233"/>
        <v>0</v>
      </c>
      <c r="AS135" s="175">
        <f>SUMIFS('1-2 人员岗位信息'!K:K,'1-2 人员岗位信息'!$C:$C,"专业外包",'1-2 人员岗位信息'!$B:$B,$D135)</f>
        <v>0</v>
      </c>
      <c r="AT135" s="297"/>
      <c r="AU135" s="175">
        <f t="shared" si="234"/>
        <v>0</v>
      </c>
      <c r="AV135" s="175">
        <f>SUMIFS('1-2 人员岗位信息'!L:L,'1-2 人员岗位信息'!$C:$C,"专业外包",'1-2 人员岗位信息'!$B:$B,$D135)</f>
        <v>0</v>
      </c>
      <c r="AW135" s="297"/>
      <c r="AX135" s="175">
        <f t="shared" si="235"/>
        <v>0</v>
      </c>
      <c r="AY135" s="175">
        <f>SUMIFS('1-2 人员岗位信息'!M:M,'1-2 人员岗位信息'!$C:$C,"专业外包",'1-2 人员岗位信息'!$B:$B,$D135)</f>
        <v>0</v>
      </c>
      <c r="AZ135" s="297"/>
      <c r="BA135" s="175">
        <f t="shared" si="236"/>
        <v>0</v>
      </c>
      <c r="BB135" s="175">
        <f>SUMIFS('1-2 人员岗位信息'!N:N,'1-2 人员岗位信息'!$C:$C,"专业外包",'1-2 人员岗位信息'!$B:$B,$D135)</f>
        <v>0</v>
      </c>
      <c r="BC135" s="297"/>
      <c r="BD135" s="175">
        <f t="shared" si="237"/>
        <v>0</v>
      </c>
      <c r="BE135" s="175">
        <f>SUMIFS('1-2 人员岗位信息'!O:O,'1-2 人员岗位信息'!$C:$C,"专业外包",'1-2 人员岗位信息'!$B:$B,$D135)</f>
        <v>0</v>
      </c>
      <c r="BF135" s="297"/>
      <c r="BG135" s="175">
        <f t="shared" si="238"/>
        <v>0</v>
      </c>
      <c r="BH135" s="175">
        <f>SUMIFS('1-2 人员岗位信息'!P:P,'1-2 人员岗位信息'!$C:$C,"专业外包",'1-2 人员岗位信息'!$B:$B,$D135)</f>
        <v>0</v>
      </c>
      <c r="BI135" s="297"/>
      <c r="BJ135" s="175">
        <f t="shared" si="239"/>
        <v>0</v>
      </c>
      <c r="BK135" s="175">
        <f>SUMIFS('1-2 人员岗位信息'!Q:Q,'1-2 人员岗位信息'!$C:$C,"专业外包",'1-2 人员岗位信息'!$B:$B,$D135)</f>
        <v>0</v>
      </c>
      <c r="BL135" s="306"/>
      <c r="BM135" s="310"/>
      <c r="BN135" s="314"/>
    </row>
    <row r="136" s="262" customFormat="1" ht="33.95" hidden="1" customHeight="1" outlineLevel="5" spans="2:66">
      <c r="B136" s="175" t="s">
        <v>747</v>
      </c>
      <c r="C136" s="282" t="s">
        <v>973</v>
      </c>
      <c r="D136" s="262" t="s">
        <v>943</v>
      </c>
      <c r="E136" s="175" t="s">
        <v>944</v>
      </c>
      <c r="F136" s="175"/>
      <c r="G136" s="175" t="s">
        <v>751</v>
      </c>
      <c r="H136" s="175">
        <f t="shared" si="223"/>
        <v>0</v>
      </c>
      <c r="I136" s="175" t="s">
        <v>752</v>
      </c>
      <c r="J136" s="175" t="e">
        <f t="shared" si="224"/>
        <v>#DIV/0!</v>
      </c>
      <c r="K136" s="175" t="s">
        <v>753</v>
      </c>
      <c r="L136" s="175" t="e">
        <f t="shared" si="225"/>
        <v>#DIV/0!</v>
      </c>
      <c r="M136" s="175" t="s">
        <v>754</v>
      </c>
      <c r="N136" s="175">
        <f t="shared" si="226"/>
        <v>0</v>
      </c>
      <c r="O136" s="175"/>
      <c r="P136" s="289"/>
      <c r="Q136" s="289"/>
      <c r="R136" s="289"/>
      <c r="S136" s="289"/>
      <c r="T136" s="289"/>
      <c r="U136" s="289"/>
      <c r="V136" s="289"/>
      <c r="W136" s="289"/>
      <c r="X136" s="289"/>
      <c r="Y136" s="289"/>
      <c r="Z136" s="289"/>
      <c r="AA136" s="289"/>
      <c r="AB136" s="175">
        <f t="shared" si="227"/>
        <v>0</v>
      </c>
      <c r="AC136" s="175">
        <f t="shared" si="228"/>
        <v>0</v>
      </c>
      <c r="AD136" s="175">
        <f>SUMIFS('1-2 人员岗位信息'!F:F,'1-2 人员岗位信息'!$C:$C,"专业外包",'1-2 人员岗位信息'!$B:$B,$D136)</f>
        <v>0</v>
      </c>
      <c r="AE136" s="297"/>
      <c r="AF136" s="175">
        <f t="shared" si="229"/>
        <v>0</v>
      </c>
      <c r="AG136" s="175">
        <f>SUMIFS('1-2 人员岗位信息'!G:G,'1-2 人员岗位信息'!$C:$C,"专业外包",'1-2 人员岗位信息'!$B:$B,$D136)</f>
        <v>0</v>
      </c>
      <c r="AH136" s="297"/>
      <c r="AI136" s="175">
        <f t="shared" si="230"/>
        <v>0</v>
      </c>
      <c r="AJ136" s="175">
        <f>SUMIFS('1-2 人员岗位信息'!H:H,'1-2 人员岗位信息'!$C:$C,"专业外包",'1-2 人员岗位信息'!$B:$B,$D136)</f>
        <v>0</v>
      </c>
      <c r="AK136" s="297"/>
      <c r="AL136" s="175">
        <f t="shared" si="231"/>
        <v>0</v>
      </c>
      <c r="AM136" s="175">
        <f>SUMIFS('1-2 人员岗位信息'!I:I,'1-2 人员岗位信息'!$C:$C,"专业外包",'1-2 人员岗位信息'!$B:$B,$D136)</f>
        <v>0</v>
      </c>
      <c r="AN136" s="297"/>
      <c r="AO136" s="175">
        <f t="shared" si="232"/>
        <v>0</v>
      </c>
      <c r="AP136" s="175">
        <f>SUMIFS('1-2 人员岗位信息'!J:J,'1-2 人员岗位信息'!$C:$C,"专业外包",'1-2 人员岗位信息'!$B:$B,$D136)</f>
        <v>0</v>
      </c>
      <c r="AQ136" s="297"/>
      <c r="AR136" s="175">
        <f t="shared" si="233"/>
        <v>0</v>
      </c>
      <c r="AS136" s="175">
        <f>SUMIFS('1-2 人员岗位信息'!K:K,'1-2 人员岗位信息'!$C:$C,"专业外包",'1-2 人员岗位信息'!$B:$B,$D136)</f>
        <v>0</v>
      </c>
      <c r="AT136" s="297"/>
      <c r="AU136" s="175">
        <f t="shared" si="234"/>
        <v>0</v>
      </c>
      <c r="AV136" s="175">
        <f>SUMIFS('1-2 人员岗位信息'!L:L,'1-2 人员岗位信息'!$C:$C,"专业外包",'1-2 人员岗位信息'!$B:$B,$D136)</f>
        <v>0</v>
      </c>
      <c r="AW136" s="297"/>
      <c r="AX136" s="175">
        <f t="shared" si="235"/>
        <v>0</v>
      </c>
      <c r="AY136" s="175">
        <f>SUMIFS('1-2 人员岗位信息'!M:M,'1-2 人员岗位信息'!$C:$C,"专业外包",'1-2 人员岗位信息'!$B:$B,$D136)</f>
        <v>0</v>
      </c>
      <c r="AZ136" s="297"/>
      <c r="BA136" s="175">
        <f t="shared" si="236"/>
        <v>0</v>
      </c>
      <c r="BB136" s="175">
        <f>SUMIFS('1-2 人员岗位信息'!N:N,'1-2 人员岗位信息'!$C:$C,"专业外包",'1-2 人员岗位信息'!$B:$B,$D136)</f>
        <v>0</v>
      </c>
      <c r="BC136" s="297"/>
      <c r="BD136" s="175">
        <f t="shared" si="237"/>
        <v>0</v>
      </c>
      <c r="BE136" s="175">
        <f>SUMIFS('1-2 人员岗位信息'!O:O,'1-2 人员岗位信息'!$C:$C,"专业外包",'1-2 人员岗位信息'!$B:$B,$D136)</f>
        <v>0</v>
      </c>
      <c r="BF136" s="297"/>
      <c r="BG136" s="175">
        <f t="shared" si="238"/>
        <v>0</v>
      </c>
      <c r="BH136" s="175">
        <f>SUMIFS('1-2 人员岗位信息'!P:P,'1-2 人员岗位信息'!$C:$C,"专业外包",'1-2 人员岗位信息'!$B:$B,$D136)</f>
        <v>0</v>
      </c>
      <c r="BI136" s="297"/>
      <c r="BJ136" s="175">
        <f t="shared" si="239"/>
        <v>0</v>
      </c>
      <c r="BK136" s="175">
        <f>SUMIFS('1-2 人员岗位信息'!Q:Q,'1-2 人员岗位信息'!$C:$C,"专业外包",'1-2 人员岗位信息'!$B:$B,$D136)</f>
        <v>0</v>
      </c>
      <c r="BL136" s="306"/>
      <c r="BM136" s="310"/>
      <c r="BN136" s="314"/>
    </row>
    <row r="137" s="262" customFormat="1" ht="33.95" hidden="1" customHeight="1" outlineLevel="5" spans="2:66">
      <c r="B137" s="175" t="s">
        <v>747</v>
      </c>
      <c r="C137" s="282" t="s">
        <v>974</v>
      </c>
      <c r="D137" s="262" t="s">
        <v>946</v>
      </c>
      <c r="E137" s="175" t="s">
        <v>944</v>
      </c>
      <c r="F137" s="175"/>
      <c r="G137" s="175" t="s">
        <v>751</v>
      </c>
      <c r="H137" s="175">
        <f t="shared" si="223"/>
        <v>0</v>
      </c>
      <c r="I137" s="175" t="s">
        <v>752</v>
      </c>
      <c r="J137" s="175" t="e">
        <f t="shared" si="224"/>
        <v>#DIV/0!</v>
      </c>
      <c r="K137" s="175" t="s">
        <v>753</v>
      </c>
      <c r="L137" s="175" t="e">
        <f t="shared" si="225"/>
        <v>#DIV/0!</v>
      </c>
      <c r="M137" s="175" t="s">
        <v>754</v>
      </c>
      <c r="N137" s="175">
        <f t="shared" si="226"/>
        <v>0</v>
      </c>
      <c r="O137" s="175"/>
      <c r="P137" s="289"/>
      <c r="Q137" s="289"/>
      <c r="R137" s="289"/>
      <c r="S137" s="289"/>
      <c r="T137" s="289"/>
      <c r="U137" s="289"/>
      <c r="V137" s="289"/>
      <c r="W137" s="289"/>
      <c r="X137" s="289"/>
      <c r="Y137" s="289"/>
      <c r="Z137" s="289"/>
      <c r="AA137" s="289"/>
      <c r="AB137" s="175">
        <f t="shared" si="227"/>
        <v>0</v>
      </c>
      <c r="AC137" s="175">
        <f t="shared" si="228"/>
        <v>0</v>
      </c>
      <c r="AD137" s="175">
        <f>SUMIFS('1-2 人员岗位信息'!F:F,'1-2 人员岗位信息'!$C:$C,"专业外包",'1-2 人员岗位信息'!$B:$B,$D137)</f>
        <v>0</v>
      </c>
      <c r="AE137" s="297"/>
      <c r="AF137" s="175">
        <f t="shared" si="229"/>
        <v>0</v>
      </c>
      <c r="AG137" s="175">
        <f>SUMIFS('1-2 人员岗位信息'!G:G,'1-2 人员岗位信息'!$C:$C,"专业外包",'1-2 人员岗位信息'!$B:$B,$D137)</f>
        <v>0</v>
      </c>
      <c r="AH137" s="297"/>
      <c r="AI137" s="175">
        <f t="shared" si="230"/>
        <v>0</v>
      </c>
      <c r="AJ137" s="175">
        <f>SUMIFS('1-2 人员岗位信息'!H:H,'1-2 人员岗位信息'!$C:$C,"专业外包",'1-2 人员岗位信息'!$B:$B,$D137)</f>
        <v>0</v>
      </c>
      <c r="AK137" s="297"/>
      <c r="AL137" s="175">
        <f t="shared" si="231"/>
        <v>0</v>
      </c>
      <c r="AM137" s="175">
        <f>SUMIFS('1-2 人员岗位信息'!I:I,'1-2 人员岗位信息'!$C:$C,"专业外包",'1-2 人员岗位信息'!$B:$B,$D137)</f>
        <v>0</v>
      </c>
      <c r="AN137" s="297"/>
      <c r="AO137" s="175">
        <f t="shared" si="232"/>
        <v>0</v>
      </c>
      <c r="AP137" s="175">
        <f>SUMIFS('1-2 人员岗位信息'!J:J,'1-2 人员岗位信息'!$C:$C,"专业外包",'1-2 人员岗位信息'!$B:$B,$D137)</f>
        <v>0</v>
      </c>
      <c r="AQ137" s="297"/>
      <c r="AR137" s="175">
        <f t="shared" si="233"/>
        <v>0</v>
      </c>
      <c r="AS137" s="175">
        <f>SUMIFS('1-2 人员岗位信息'!K:K,'1-2 人员岗位信息'!$C:$C,"专业外包",'1-2 人员岗位信息'!$B:$B,$D137)</f>
        <v>0</v>
      </c>
      <c r="AT137" s="297"/>
      <c r="AU137" s="175">
        <f t="shared" si="234"/>
        <v>0</v>
      </c>
      <c r="AV137" s="175">
        <f>SUMIFS('1-2 人员岗位信息'!L:L,'1-2 人员岗位信息'!$C:$C,"专业外包",'1-2 人员岗位信息'!$B:$B,$D137)</f>
        <v>0</v>
      </c>
      <c r="AW137" s="297"/>
      <c r="AX137" s="175">
        <f t="shared" si="235"/>
        <v>0</v>
      </c>
      <c r="AY137" s="175">
        <f>SUMIFS('1-2 人员岗位信息'!M:M,'1-2 人员岗位信息'!$C:$C,"专业外包",'1-2 人员岗位信息'!$B:$B,$D137)</f>
        <v>0</v>
      </c>
      <c r="AZ137" s="297"/>
      <c r="BA137" s="175">
        <f t="shared" si="236"/>
        <v>0</v>
      </c>
      <c r="BB137" s="175">
        <f>SUMIFS('1-2 人员岗位信息'!N:N,'1-2 人员岗位信息'!$C:$C,"专业外包",'1-2 人员岗位信息'!$B:$B,$D137)</f>
        <v>0</v>
      </c>
      <c r="BC137" s="297"/>
      <c r="BD137" s="175">
        <f t="shared" si="237"/>
        <v>0</v>
      </c>
      <c r="BE137" s="175">
        <f>SUMIFS('1-2 人员岗位信息'!O:O,'1-2 人员岗位信息'!$C:$C,"专业外包",'1-2 人员岗位信息'!$B:$B,$D137)</f>
        <v>0</v>
      </c>
      <c r="BF137" s="297"/>
      <c r="BG137" s="175">
        <f t="shared" si="238"/>
        <v>0</v>
      </c>
      <c r="BH137" s="175">
        <f>SUMIFS('1-2 人员岗位信息'!P:P,'1-2 人员岗位信息'!$C:$C,"专业外包",'1-2 人员岗位信息'!$B:$B,$D137)</f>
        <v>0</v>
      </c>
      <c r="BI137" s="297"/>
      <c r="BJ137" s="175">
        <f t="shared" si="239"/>
        <v>0</v>
      </c>
      <c r="BK137" s="175">
        <f>SUMIFS('1-2 人员岗位信息'!Q:Q,'1-2 人员岗位信息'!$C:$C,"专业外包",'1-2 人员岗位信息'!$B:$B,$D137)</f>
        <v>0</v>
      </c>
      <c r="BL137" s="306"/>
      <c r="BM137" s="310"/>
      <c r="BN137" s="314"/>
    </row>
    <row r="138" s="262" customFormat="1" ht="33.95" hidden="1" customHeight="1" outlineLevel="5" spans="2:66">
      <c r="B138" s="175" t="s">
        <v>747</v>
      </c>
      <c r="C138" s="282" t="s">
        <v>975</v>
      </c>
      <c r="D138" s="262" t="s">
        <v>948</v>
      </c>
      <c r="E138" s="175" t="s">
        <v>944</v>
      </c>
      <c r="F138" s="175"/>
      <c r="G138" s="175" t="s">
        <v>751</v>
      </c>
      <c r="H138" s="175">
        <f t="shared" si="223"/>
        <v>0</v>
      </c>
      <c r="I138" s="175" t="s">
        <v>752</v>
      </c>
      <c r="J138" s="175" t="e">
        <f t="shared" si="224"/>
        <v>#DIV/0!</v>
      </c>
      <c r="K138" s="175" t="s">
        <v>753</v>
      </c>
      <c r="L138" s="175" t="e">
        <f t="shared" si="225"/>
        <v>#DIV/0!</v>
      </c>
      <c r="M138" s="175" t="s">
        <v>754</v>
      </c>
      <c r="N138" s="175">
        <f t="shared" si="226"/>
        <v>0</v>
      </c>
      <c r="O138" s="175"/>
      <c r="P138" s="289"/>
      <c r="Q138" s="289"/>
      <c r="R138" s="289"/>
      <c r="S138" s="289"/>
      <c r="T138" s="289"/>
      <c r="U138" s="289"/>
      <c r="V138" s="289"/>
      <c r="W138" s="289"/>
      <c r="X138" s="289"/>
      <c r="Y138" s="289"/>
      <c r="Z138" s="289"/>
      <c r="AA138" s="289"/>
      <c r="AB138" s="175">
        <f t="shared" si="227"/>
        <v>0</v>
      </c>
      <c r="AC138" s="175">
        <f t="shared" si="228"/>
        <v>0</v>
      </c>
      <c r="AD138" s="175">
        <f>SUMIFS('1-2 人员岗位信息'!F:F,'1-2 人员岗位信息'!$C:$C,"专业外包",'1-2 人员岗位信息'!$B:$B,$D138)</f>
        <v>0</v>
      </c>
      <c r="AE138" s="297"/>
      <c r="AF138" s="175">
        <f t="shared" si="229"/>
        <v>0</v>
      </c>
      <c r="AG138" s="175">
        <f>SUMIFS('1-2 人员岗位信息'!G:G,'1-2 人员岗位信息'!$C:$C,"专业外包",'1-2 人员岗位信息'!$B:$B,$D138)</f>
        <v>0</v>
      </c>
      <c r="AH138" s="297"/>
      <c r="AI138" s="175">
        <f t="shared" si="230"/>
        <v>0</v>
      </c>
      <c r="AJ138" s="175">
        <f>SUMIFS('1-2 人员岗位信息'!H:H,'1-2 人员岗位信息'!$C:$C,"专业外包",'1-2 人员岗位信息'!$B:$B,$D138)</f>
        <v>0</v>
      </c>
      <c r="AK138" s="297"/>
      <c r="AL138" s="175">
        <f t="shared" si="231"/>
        <v>0</v>
      </c>
      <c r="AM138" s="175">
        <f>SUMIFS('1-2 人员岗位信息'!I:I,'1-2 人员岗位信息'!$C:$C,"专业外包",'1-2 人员岗位信息'!$B:$B,$D138)</f>
        <v>0</v>
      </c>
      <c r="AN138" s="297"/>
      <c r="AO138" s="175">
        <f t="shared" si="232"/>
        <v>0</v>
      </c>
      <c r="AP138" s="175">
        <f>SUMIFS('1-2 人员岗位信息'!J:J,'1-2 人员岗位信息'!$C:$C,"专业外包",'1-2 人员岗位信息'!$B:$B,$D138)</f>
        <v>0</v>
      </c>
      <c r="AQ138" s="297"/>
      <c r="AR138" s="175">
        <f t="shared" si="233"/>
        <v>0</v>
      </c>
      <c r="AS138" s="175">
        <f>SUMIFS('1-2 人员岗位信息'!K:K,'1-2 人员岗位信息'!$C:$C,"专业外包",'1-2 人员岗位信息'!$B:$B,$D138)</f>
        <v>0</v>
      </c>
      <c r="AT138" s="297"/>
      <c r="AU138" s="175">
        <f t="shared" si="234"/>
        <v>0</v>
      </c>
      <c r="AV138" s="175">
        <f>SUMIFS('1-2 人员岗位信息'!L:L,'1-2 人员岗位信息'!$C:$C,"专业外包",'1-2 人员岗位信息'!$B:$B,$D138)</f>
        <v>0</v>
      </c>
      <c r="AW138" s="297"/>
      <c r="AX138" s="175">
        <f t="shared" si="235"/>
        <v>0</v>
      </c>
      <c r="AY138" s="175">
        <f>SUMIFS('1-2 人员岗位信息'!M:M,'1-2 人员岗位信息'!$C:$C,"专业外包",'1-2 人员岗位信息'!$B:$B,$D138)</f>
        <v>0</v>
      </c>
      <c r="AZ138" s="297"/>
      <c r="BA138" s="175">
        <f t="shared" si="236"/>
        <v>0</v>
      </c>
      <c r="BB138" s="175">
        <f>SUMIFS('1-2 人员岗位信息'!N:N,'1-2 人员岗位信息'!$C:$C,"专业外包",'1-2 人员岗位信息'!$B:$B,$D138)</f>
        <v>0</v>
      </c>
      <c r="BC138" s="297"/>
      <c r="BD138" s="175">
        <f t="shared" si="237"/>
        <v>0</v>
      </c>
      <c r="BE138" s="175">
        <f>SUMIFS('1-2 人员岗位信息'!O:O,'1-2 人员岗位信息'!$C:$C,"专业外包",'1-2 人员岗位信息'!$B:$B,$D138)</f>
        <v>0</v>
      </c>
      <c r="BF138" s="297"/>
      <c r="BG138" s="175">
        <f t="shared" si="238"/>
        <v>0</v>
      </c>
      <c r="BH138" s="175">
        <f>SUMIFS('1-2 人员岗位信息'!P:P,'1-2 人员岗位信息'!$C:$C,"专业外包",'1-2 人员岗位信息'!$B:$B,$D138)</f>
        <v>0</v>
      </c>
      <c r="BI138" s="297"/>
      <c r="BJ138" s="175">
        <f t="shared" si="239"/>
        <v>0</v>
      </c>
      <c r="BK138" s="175">
        <f>SUMIFS('1-2 人员岗位信息'!Q:Q,'1-2 人员岗位信息'!$C:$C,"专业外包",'1-2 人员岗位信息'!$B:$B,$D138)</f>
        <v>0</v>
      </c>
      <c r="BL138" s="306"/>
      <c r="BM138" s="310"/>
      <c r="BN138" s="314"/>
    </row>
    <row r="139" s="262" customFormat="1" ht="33.95" hidden="1" customHeight="1" outlineLevel="5" spans="2:66">
      <c r="B139" s="175" t="s">
        <v>747</v>
      </c>
      <c r="C139" s="282" t="s">
        <v>976</v>
      </c>
      <c r="D139" s="262" t="s">
        <v>950</v>
      </c>
      <c r="E139" s="175" t="s">
        <v>944</v>
      </c>
      <c r="F139" s="175"/>
      <c r="G139" s="175" t="s">
        <v>751</v>
      </c>
      <c r="H139" s="175">
        <f t="shared" si="223"/>
        <v>0</v>
      </c>
      <c r="I139" s="175" t="s">
        <v>752</v>
      </c>
      <c r="J139" s="175" t="e">
        <f t="shared" si="224"/>
        <v>#DIV/0!</v>
      </c>
      <c r="K139" s="175" t="s">
        <v>753</v>
      </c>
      <c r="L139" s="175" t="e">
        <f t="shared" si="225"/>
        <v>#DIV/0!</v>
      </c>
      <c r="M139" s="175" t="s">
        <v>754</v>
      </c>
      <c r="N139" s="175">
        <f t="shared" si="226"/>
        <v>0</v>
      </c>
      <c r="O139" s="175"/>
      <c r="P139" s="289"/>
      <c r="Q139" s="289"/>
      <c r="R139" s="289"/>
      <c r="S139" s="289"/>
      <c r="T139" s="289"/>
      <c r="U139" s="289"/>
      <c r="V139" s="289"/>
      <c r="W139" s="289"/>
      <c r="X139" s="289"/>
      <c r="Y139" s="289"/>
      <c r="Z139" s="289"/>
      <c r="AA139" s="289"/>
      <c r="AB139" s="175">
        <f t="shared" si="227"/>
        <v>0</v>
      </c>
      <c r="AC139" s="175">
        <f t="shared" si="228"/>
        <v>0</v>
      </c>
      <c r="AD139" s="175">
        <f>SUMIFS('1-2 人员岗位信息'!F:F,'1-2 人员岗位信息'!$C:$C,"专业外包",'1-2 人员岗位信息'!$B:$B,$D139)</f>
        <v>0</v>
      </c>
      <c r="AE139" s="297"/>
      <c r="AF139" s="175">
        <f t="shared" si="229"/>
        <v>0</v>
      </c>
      <c r="AG139" s="175">
        <f>SUMIFS('1-2 人员岗位信息'!G:G,'1-2 人员岗位信息'!$C:$C,"专业外包",'1-2 人员岗位信息'!$B:$B,$D139)</f>
        <v>0</v>
      </c>
      <c r="AH139" s="297"/>
      <c r="AI139" s="175">
        <f t="shared" si="230"/>
        <v>0</v>
      </c>
      <c r="AJ139" s="175">
        <f>SUMIFS('1-2 人员岗位信息'!H:H,'1-2 人员岗位信息'!$C:$C,"专业外包",'1-2 人员岗位信息'!$B:$B,$D139)</f>
        <v>0</v>
      </c>
      <c r="AK139" s="297"/>
      <c r="AL139" s="175">
        <f t="shared" si="231"/>
        <v>0</v>
      </c>
      <c r="AM139" s="175">
        <f>SUMIFS('1-2 人员岗位信息'!I:I,'1-2 人员岗位信息'!$C:$C,"专业外包",'1-2 人员岗位信息'!$B:$B,$D139)</f>
        <v>0</v>
      </c>
      <c r="AN139" s="297"/>
      <c r="AO139" s="175">
        <f t="shared" si="232"/>
        <v>0</v>
      </c>
      <c r="AP139" s="175">
        <f>SUMIFS('1-2 人员岗位信息'!J:J,'1-2 人员岗位信息'!$C:$C,"专业外包",'1-2 人员岗位信息'!$B:$B,$D139)</f>
        <v>0</v>
      </c>
      <c r="AQ139" s="297"/>
      <c r="AR139" s="175">
        <f t="shared" si="233"/>
        <v>0</v>
      </c>
      <c r="AS139" s="175">
        <f>SUMIFS('1-2 人员岗位信息'!K:K,'1-2 人员岗位信息'!$C:$C,"专业外包",'1-2 人员岗位信息'!$B:$B,$D139)</f>
        <v>0</v>
      </c>
      <c r="AT139" s="297"/>
      <c r="AU139" s="175">
        <f t="shared" si="234"/>
        <v>0</v>
      </c>
      <c r="AV139" s="175">
        <f>SUMIFS('1-2 人员岗位信息'!L:L,'1-2 人员岗位信息'!$C:$C,"专业外包",'1-2 人员岗位信息'!$B:$B,$D139)</f>
        <v>0</v>
      </c>
      <c r="AW139" s="297"/>
      <c r="AX139" s="175">
        <f t="shared" si="235"/>
        <v>0</v>
      </c>
      <c r="AY139" s="175">
        <f>SUMIFS('1-2 人员岗位信息'!M:M,'1-2 人员岗位信息'!$C:$C,"专业外包",'1-2 人员岗位信息'!$B:$B,$D139)</f>
        <v>0</v>
      </c>
      <c r="AZ139" s="297"/>
      <c r="BA139" s="175">
        <f t="shared" si="236"/>
        <v>0</v>
      </c>
      <c r="BB139" s="175">
        <f>SUMIFS('1-2 人员岗位信息'!N:N,'1-2 人员岗位信息'!$C:$C,"专业外包",'1-2 人员岗位信息'!$B:$B,$D139)</f>
        <v>0</v>
      </c>
      <c r="BC139" s="297"/>
      <c r="BD139" s="175">
        <f t="shared" si="237"/>
        <v>0</v>
      </c>
      <c r="BE139" s="175">
        <f>SUMIFS('1-2 人员岗位信息'!O:O,'1-2 人员岗位信息'!$C:$C,"专业外包",'1-2 人员岗位信息'!$B:$B,$D139)</f>
        <v>0</v>
      </c>
      <c r="BF139" s="297"/>
      <c r="BG139" s="175">
        <f t="shared" si="238"/>
        <v>0</v>
      </c>
      <c r="BH139" s="175">
        <f>SUMIFS('1-2 人员岗位信息'!P:P,'1-2 人员岗位信息'!$C:$C,"专业外包",'1-2 人员岗位信息'!$B:$B,$D139)</f>
        <v>0</v>
      </c>
      <c r="BI139" s="297"/>
      <c r="BJ139" s="175">
        <f t="shared" si="239"/>
        <v>0</v>
      </c>
      <c r="BK139" s="175">
        <f>SUMIFS('1-2 人员岗位信息'!Q:Q,'1-2 人员岗位信息'!$C:$C,"专业外包",'1-2 人员岗位信息'!$B:$B,$D139)</f>
        <v>0</v>
      </c>
      <c r="BL139" s="306"/>
      <c r="BM139" s="310"/>
      <c r="BN139" s="314"/>
    </row>
    <row r="140" s="262" customFormat="1" ht="33.95" hidden="1" customHeight="1" outlineLevel="5" spans="2:66">
      <c r="B140" s="175" t="s">
        <v>747</v>
      </c>
      <c r="C140" s="282" t="s">
        <v>977</v>
      </c>
      <c r="D140" s="262" t="s">
        <v>952</v>
      </c>
      <c r="E140" s="175" t="s">
        <v>953</v>
      </c>
      <c r="F140" s="175"/>
      <c r="G140" s="175" t="s">
        <v>751</v>
      </c>
      <c r="H140" s="175">
        <f t="shared" si="223"/>
        <v>0</v>
      </c>
      <c r="I140" s="175" t="s">
        <v>752</v>
      </c>
      <c r="J140" s="175" t="e">
        <f t="shared" si="224"/>
        <v>#DIV/0!</v>
      </c>
      <c r="K140" s="175" t="s">
        <v>753</v>
      </c>
      <c r="L140" s="175" t="e">
        <f t="shared" si="225"/>
        <v>#DIV/0!</v>
      </c>
      <c r="M140" s="175" t="s">
        <v>754</v>
      </c>
      <c r="N140" s="175">
        <f t="shared" si="226"/>
        <v>0</v>
      </c>
      <c r="O140" s="175"/>
      <c r="P140" s="289"/>
      <c r="Q140" s="289"/>
      <c r="R140" s="289"/>
      <c r="S140" s="289"/>
      <c r="T140" s="289"/>
      <c r="U140" s="289"/>
      <c r="V140" s="289"/>
      <c r="W140" s="289"/>
      <c r="X140" s="289"/>
      <c r="Y140" s="289"/>
      <c r="Z140" s="289"/>
      <c r="AA140" s="289"/>
      <c r="AB140" s="175">
        <f t="shared" si="227"/>
        <v>0</v>
      </c>
      <c r="AC140" s="175">
        <f t="shared" si="228"/>
        <v>0</v>
      </c>
      <c r="AD140" s="175">
        <f>SUMIFS('1-2 人员岗位信息'!F:F,'1-2 人员岗位信息'!$C:$C,"专业外包",'1-2 人员岗位信息'!$B:$B,$D140)</f>
        <v>0</v>
      </c>
      <c r="AE140" s="297"/>
      <c r="AF140" s="175">
        <f t="shared" si="229"/>
        <v>0</v>
      </c>
      <c r="AG140" s="175">
        <f>SUMIFS('1-2 人员岗位信息'!G:G,'1-2 人员岗位信息'!$C:$C,"专业外包",'1-2 人员岗位信息'!$B:$B,$D140)</f>
        <v>0</v>
      </c>
      <c r="AH140" s="297"/>
      <c r="AI140" s="175">
        <f t="shared" si="230"/>
        <v>0</v>
      </c>
      <c r="AJ140" s="175">
        <f>SUMIFS('1-2 人员岗位信息'!H:H,'1-2 人员岗位信息'!$C:$C,"专业外包",'1-2 人员岗位信息'!$B:$B,$D140)</f>
        <v>0</v>
      </c>
      <c r="AK140" s="297"/>
      <c r="AL140" s="175">
        <f t="shared" si="231"/>
        <v>0</v>
      </c>
      <c r="AM140" s="175">
        <f>SUMIFS('1-2 人员岗位信息'!I:I,'1-2 人员岗位信息'!$C:$C,"专业外包",'1-2 人员岗位信息'!$B:$B,$D140)</f>
        <v>0</v>
      </c>
      <c r="AN140" s="297"/>
      <c r="AO140" s="175">
        <f t="shared" si="232"/>
        <v>0</v>
      </c>
      <c r="AP140" s="175">
        <f>SUMIFS('1-2 人员岗位信息'!J:J,'1-2 人员岗位信息'!$C:$C,"专业外包",'1-2 人员岗位信息'!$B:$B,$D140)</f>
        <v>0</v>
      </c>
      <c r="AQ140" s="297"/>
      <c r="AR140" s="175">
        <f t="shared" si="233"/>
        <v>0</v>
      </c>
      <c r="AS140" s="175">
        <f>SUMIFS('1-2 人员岗位信息'!K:K,'1-2 人员岗位信息'!$C:$C,"专业外包",'1-2 人员岗位信息'!$B:$B,$D140)</f>
        <v>0</v>
      </c>
      <c r="AT140" s="297"/>
      <c r="AU140" s="175">
        <f t="shared" si="234"/>
        <v>0</v>
      </c>
      <c r="AV140" s="175">
        <f>SUMIFS('1-2 人员岗位信息'!L:L,'1-2 人员岗位信息'!$C:$C,"专业外包",'1-2 人员岗位信息'!$B:$B,$D140)</f>
        <v>0</v>
      </c>
      <c r="AW140" s="297"/>
      <c r="AX140" s="175">
        <f t="shared" si="235"/>
        <v>0</v>
      </c>
      <c r="AY140" s="175">
        <f>SUMIFS('1-2 人员岗位信息'!M:M,'1-2 人员岗位信息'!$C:$C,"专业外包",'1-2 人员岗位信息'!$B:$B,$D140)</f>
        <v>0</v>
      </c>
      <c r="AZ140" s="297"/>
      <c r="BA140" s="175">
        <f t="shared" si="236"/>
        <v>0</v>
      </c>
      <c r="BB140" s="175">
        <f>SUMIFS('1-2 人员岗位信息'!N:N,'1-2 人员岗位信息'!$C:$C,"专业外包",'1-2 人员岗位信息'!$B:$B,$D140)</f>
        <v>0</v>
      </c>
      <c r="BC140" s="297"/>
      <c r="BD140" s="175">
        <f t="shared" si="237"/>
        <v>0</v>
      </c>
      <c r="BE140" s="175">
        <f>SUMIFS('1-2 人员岗位信息'!O:O,'1-2 人员岗位信息'!$C:$C,"专业外包",'1-2 人员岗位信息'!$B:$B,$D140)</f>
        <v>0</v>
      </c>
      <c r="BF140" s="297"/>
      <c r="BG140" s="175">
        <f t="shared" si="238"/>
        <v>0</v>
      </c>
      <c r="BH140" s="175">
        <f>SUMIFS('1-2 人员岗位信息'!P:P,'1-2 人员岗位信息'!$C:$C,"专业外包",'1-2 人员岗位信息'!$B:$B,$D140)</f>
        <v>0</v>
      </c>
      <c r="BI140" s="297"/>
      <c r="BJ140" s="175">
        <f t="shared" si="239"/>
        <v>0</v>
      </c>
      <c r="BK140" s="175">
        <f>SUMIFS('1-2 人员岗位信息'!Q:Q,'1-2 人员岗位信息'!$C:$C,"专业外包",'1-2 人员岗位信息'!$B:$B,$D140)</f>
        <v>0</v>
      </c>
      <c r="BL140" s="306"/>
      <c r="BM140" s="310"/>
      <c r="BN140" s="314"/>
    </row>
    <row r="141" s="262" customFormat="1" ht="33.95" hidden="1" customHeight="1" outlineLevel="5" spans="2:66">
      <c r="B141" s="175" t="s">
        <v>747</v>
      </c>
      <c r="C141" s="282" t="s">
        <v>978</v>
      </c>
      <c r="D141" s="262" t="s">
        <v>955</v>
      </c>
      <c r="E141" s="175" t="s">
        <v>769</v>
      </c>
      <c r="F141" s="175"/>
      <c r="G141" s="175" t="s">
        <v>751</v>
      </c>
      <c r="H141" s="175">
        <f t="shared" si="223"/>
        <v>0</v>
      </c>
      <c r="I141" s="175" t="s">
        <v>752</v>
      </c>
      <c r="J141" s="175" t="e">
        <f t="shared" si="224"/>
        <v>#DIV/0!</v>
      </c>
      <c r="K141" s="175" t="s">
        <v>753</v>
      </c>
      <c r="L141" s="175" t="e">
        <f t="shared" si="225"/>
        <v>#DIV/0!</v>
      </c>
      <c r="M141" s="175" t="s">
        <v>754</v>
      </c>
      <c r="N141" s="175">
        <f t="shared" si="226"/>
        <v>0</v>
      </c>
      <c r="O141" s="175"/>
      <c r="P141" s="289"/>
      <c r="Q141" s="289"/>
      <c r="R141" s="289"/>
      <c r="S141" s="289"/>
      <c r="T141" s="289"/>
      <c r="U141" s="289"/>
      <c r="V141" s="289"/>
      <c r="W141" s="289"/>
      <c r="X141" s="289"/>
      <c r="Y141" s="289"/>
      <c r="Z141" s="289"/>
      <c r="AA141" s="289"/>
      <c r="AB141" s="175">
        <f t="shared" ref="AB141:AB148" si="240">SUM(AC141,AF141,AI141,AL141,AO141,AR141,AU141,AX141,BA141,BD141,BG141,BJ141)</f>
        <v>0</v>
      </c>
      <c r="AC141" s="175">
        <f t="shared" si="228"/>
        <v>0</v>
      </c>
      <c r="AD141" s="175">
        <f>SUMIFS('1-2 人员岗位信息'!F:F,'1-2 人员岗位信息'!$C:$C,"专业外包",'1-2 人员岗位信息'!$B:$B,$D141)</f>
        <v>0</v>
      </c>
      <c r="AE141" s="297"/>
      <c r="AF141" s="175">
        <f t="shared" si="229"/>
        <v>0</v>
      </c>
      <c r="AG141" s="175">
        <f>SUMIFS('1-2 人员岗位信息'!G:G,'1-2 人员岗位信息'!$C:$C,"专业外包",'1-2 人员岗位信息'!$B:$B,$D141)</f>
        <v>0</v>
      </c>
      <c r="AH141" s="297"/>
      <c r="AI141" s="175">
        <f t="shared" si="230"/>
        <v>0</v>
      </c>
      <c r="AJ141" s="175">
        <f>SUMIFS('1-2 人员岗位信息'!H:H,'1-2 人员岗位信息'!$C:$C,"专业外包",'1-2 人员岗位信息'!$B:$B,$D141)</f>
        <v>0</v>
      </c>
      <c r="AK141" s="297"/>
      <c r="AL141" s="175">
        <f t="shared" si="231"/>
        <v>0</v>
      </c>
      <c r="AM141" s="175">
        <f>SUMIFS('1-2 人员岗位信息'!I:I,'1-2 人员岗位信息'!$C:$C,"专业外包",'1-2 人员岗位信息'!$B:$B,$D141)</f>
        <v>0</v>
      </c>
      <c r="AN141" s="297"/>
      <c r="AO141" s="175">
        <f t="shared" si="232"/>
        <v>0</v>
      </c>
      <c r="AP141" s="175">
        <f>SUMIFS('1-2 人员岗位信息'!J:J,'1-2 人员岗位信息'!$C:$C,"专业外包",'1-2 人员岗位信息'!$B:$B,$D141)</f>
        <v>0</v>
      </c>
      <c r="AQ141" s="297"/>
      <c r="AR141" s="175">
        <f t="shared" si="233"/>
        <v>0</v>
      </c>
      <c r="AS141" s="175">
        <f>SUMIFS('1-2 人员岗位信息'!K:K,'1-2 人员岗位信息'!$C:$C,"专业外包",'1-2 人员岗位信息'!$B:$B,$D141)</f>
        <v>0</v>
      </c>
      <c r="AT141" s="297"/>
      <c r="AU141" s="175">
        <f t="shared" si="234"/>
        <v>0</v>
      </c>
      <c r="AV141" s="175">
        <f>SUMIFS('1-2 人员岗位信息'!L:L,'1-2 人员岗位信息'!$C:$C,"专业外包",'1-2 人员岗位信息'!$B:$B,$D141)</f>
        <v>0</v>
      </c>
      <c r="AW141" s="297"/>
      <c r="AX141" s="175">
        <f t="shared" si="235"/>
        <v>0</v>
      </c>
      <c r="AY141" s="175">
        <f>SUMIFS('1-2 人员岗位信息'!M:M,'1-2 人员岗位信息'!$C:$C,"专业外包",'1-2 人员岗位信息'!$B:$B,$D141)</f>
        <v>0</v>
      </c>
      <c r="AZ141" s="297"/>
      <c r="BA141" s="175">
        <f t="shared" si="236"/>
        <v>0</v>
      </c>
      <c r="BB141" s="175">
        <f>SUMIFS('1-2 人员岗位信息'!N:N,'1-2 人员岗位信息'!$C:$C,"专业外包",'1-2 人员岗位信息'!$B:$B,$D141)</f>
        <v>0</v>
      </c>
      <c r="BC141" s="297"/>
      <c r="BD141" s="175">
        <f t="shared" si="237"/>
        <v>0</v>
      </c>
      <c r="BE141" s="175">
        <f>SUMIFS('1-2 人员岗位信息'!O:O,'1-2 人员岗位信息'!$C:$C,"专业外包",'1-2 人员岗位信息'!$B:$B,$D141)</f>
        <v>0</v>
      </c>
      <c r="BF141" s="297"/>
      <c r="BG141" s="175">
        <f t="shared" si="238"/>
        <v>0</v>
      </c>
      <c r="BH141" s="175">
        <f>SUMIFS('1-2 人员岗位信息'!P:P,'1-2 人员岗位信息'!$C:$C,"专业外包",'1-2 人员岗位信息'!$B:$B,$D141)</f>
        <v>0</v>
      </c>
      <c r="BI141" s="297"/>
      <c r="BJ141" s="175">
        <f t="shared" si="239"/>
        <v>0</v>
      </c>
      <c r="BK141" s="175">
        <f>SUMIFS('1-2 人员岗位信息'!Q:Q,'1-2 人员岗位信息'!$C:$C,"专业外包",'1-2 人员岗位信息'!$B:$B,$D141)</f>
        <v>0</v>
      </c>
      <c r="BL141" s="306"/>
      <c r="BM141" s="310"/>
      <c r="BN141" s="314"/>
    </row>
    <row r="142" s="118" customFormat="1" ht="33.95" hidden="1" customHeight="1" outlineLevel="4" spans="2:66">
      <c r="B142" s="119" t="s">
        <v>747</v>
      </c>
      <c r="C142" s="120" t="s">
        <v>979</v>
      </c>
      <c r="D142" s="118" t="s">
        <v>25</v>
      </c>
      <c r="E142" s="119"/>
      <c r="F142" s="119"/>
      <c r="G142" s="119"/>
      <c r="H142" s="119">
        <f t="shared" si="223"/>
        <v>0</v>
      </c>
      <c r="I142" s="119" t="s">
        <v>980</v>
      </c>
      <c r="J142" s="119">
        <f t="shared" si="224"/>
        <v>5829.78</v>
      </c>
      <c r="K142" s="119" t="s">
        <v>981</v>
      </c>
      <c r="L142" s="119">
        <f t="shared" si="225"/>
        <v>0</v>
      </c>
      <c r="M142" s="119" t="s">
        <v>754</v>
      </c>
      <c r="N142" s="119">
        <f t="shared" si="226"/>
        <v>12</v>
      </c>
      <c r="O142" s="119"/>
      <c r="P142" s="288"/>
      <c r="Q142" s="288"/>
      <c r="R142" s="288"/>
      <c r="S142" s="288"/>
      <c r="T142" s="288"/>
      <c r="U142" s="288"/>
      <c r="V142" s="288"/>
      <c r="W142" s="288"/>
      <c r="X142" s="288"/>
      <c r="Y142" s="288"/>
      <c r="Z142" s="288"/>
      <c r="AA142" s="288"/>
      <c r="AB142" s="119">
        <f t="shared" si="240"/>
        <v>0</v>
      </c>
      <c r="AC142" s="119">
        <f t="shared" si="228"/>
        <v>0</v>
      </c>
      <c r="AD142" s="119">
        <f>VLOOKUP($I142,'1-1 项目基础信息'!$F:$S,3,FALSE)</f>
        <v>5829.78</v>
      </c>
      <c r="AE142" s="297"/>
      <c r="AF142" s="119">
        <f t="shared" si="229"/>
        <v>0</v>
      </c>
      <c r="AG142" s="119">
        <f>VLOOKUP($I142,'1-1 项目基础信息'!$F:$S,4,FALSE)</f>
        <v>5829.78</v>
      </c>
      <c r="AH142" s="297"/>
      <c r="AI142" s="119">
        <f t="shared" si="230"/>
        <v>0</v>
      </c>
      <c r="AJ142" s="119">
        <f>VLOOKUP($I142,'1-1 项目基础信息'!$F:$S,5,FALSE)</f>
        <v>5829.78</v>
      </c>
      <c r="AK142" s="297"/>
      <c r="AL142" s="119">
        <f t="shared" si="231"/>
        <v>0</v>
      </c>
      <c r="AM142" s="119">
        <f>VLOOKUP($I142,'1-1 项目基础信息'!$F:$S,6,FALSE)</f>
        <v>5829.78</v>
      </c>
      <c r="AN142" s="297"/>
      <c r="AO142" s="119">
        <f t="shared" si="232"/>
        <v>0</v>
      </c>
      <c r="AP142" s="119">
        <f>VLOOKUP($I142,'1-1 项目基础信息'!$F:$S,7,FALSE)</f>
        <v>5829.78</v>
      </c>
      <c r="AQ142" s="297"/>
      <c r="AR142" s="119">
        <f t="shared" si="233"/>
        <v>0</v>
      </c>
      <c r="AS142" s="119">
        <f>VLOOKUP($I142,'1-1 项目基础信息'!$F:$S,8,FALSE)</f>
        <v>5829.78</v>
      </c>
      <c r="AT142" s="297"/>
      <c r="AU142" s="119">
        <f t="shared" si="234"/>
        <v>0</v>
      </c>
      <c r="AV142" s="119">
        <f>VLOOKUP($I142,'1-1 项目基础信息'!$F:$S,9,FALSE)</f>
        <v>5829.78</v>
      </c>
      <c r="AW142" s="297"/>
      <c r="AX142" s="119">
        <f t="shared" si="235"/>
        <v>0</v>
      </c>
      <c r="AY142" s="119">
        <f>VLOOKUP($I142,'1-1 项目基础信息'!$F:$S,10,FALSE)</f>
        <v>5829.78</v>
      </c>
      <c r="AZ142" s="297"/>
      <c r="BA142" s="119">
        <f t="shared" si="236"/>
        <v>0</v>
      </c>
      <c r="BB142" s="119">
        <f>VLOOKUP($I142,'1-1 项目基础信息'!$F:$S,11,FALSE)</f>
        <v>5829.78</v>
      </c>
      <c r="BC142" s="297"/>
      <c r="BD142" s="119">
        <f t="shared" si="237"/>
        <v>0</v>
      </c>
      <c r="BE142" s="119">
        <f>VLOOKUP($I142,'1-1 项目基础信息'!$F:$S,12,FALSE)</f>
        <v>5829.78</v>
      </c>
      <c r="BF142" s="297"/>
      <c r="BG142" s="119">
        <f t="shared" si="238"/>
        <v>0</v>
      </c>
      <c r="BH142" s="119">
        <f>VLOOKUP($I142,'1-1 项目基础信息'!$F:$S,13,FALSE)</f>
        <v>5829.78</v>
      </c>
      <c r="BI142" s="297"/>
      <c r="BJ142" s="119">
        <f t="shared" si="239"/>
        <v>0</v>
      </c>
      <c r="BK142" s="119">
        <f>VLOOKUP($I142,'1-1 项目基础信息'!$F:$S,14,FALSE)</f>
        <v>5829.78</v>
      </c>
      <c r="BL142" s="306"/>
      <c r="BM142" s="310"/>
      <c r="BN142" s="313"/>
    </row>
    <row r="143" s="48" customFormat="1" ht="33.95" hidden="1" customHeight="1" outlineLevel="3" collapsed="1" spans="2:66">
      <c r="B143" s="115" t="s">
        <v>742</v>
      </c>
      <c r="C143" s="116" t="s">
        <v>982</v>
      </c>
      <c r="D143" s="48" t="s">
        <v>983</v>
      </c>
      <c r="E143" s="115"/>
      <c r="F143" s="115"/>
      <c r="G143" s="115"/>
      <c r="H143" s="115">
        <f>H144+H149+H154</f>
        <v>41519.999976</v>
      </c>
      <c r="I143" s="115"/>
      <c r="J143" s="115"/>
      <c r="K143" s="115"/>
      <c r="L143" s="115"/>
      <c r="M143" s="115"/>
      <c r="N143" s="115"/>
      <c r="O143" s="115"/>
      <c r="P143" s="287"/>
      <c r="Q143" s="287"/>
      <c r="R143" s="287"/>
      <c r="S143" s="287"/>
      <c r="T143" s="287"/>
      <c r="U143" s="287"/>
      <c r="V143" s="287"/>
      <c r="W143" s="287"/>
      <c r="X143" s="287"/>
      <c r="Y143" s="287"/>
      <c r="Z143" s="287"/>
      <c r="AA143" s="287"/>
      <c r="AB143" s="115">
        <f t="shared" ref="AB143:AF143" si="241">AB144+AB149+AB154</f>
        <v>41519.999976</v>
      </c>
      <c r="AC143" s="115">
        <f t="shared" si="241"/>
        <v>3459.999998</v>
      </c>
      <c r="AD143" s="115"/>
      <c r="AE143" s="115"/>
      <c r="AF143" s="115">
        <f t="shared" si="241"/>
        <v>3459.999998</v>
      </c>
      <c r="AG143" s="115"/>
      <c r="AH143" s="115"/>
      <c r="AI143" s="115">
        <f>AI144+AI149+AI154</f>
        <v>3459.999998</v>
      </c>
      <c r="AJ143" s="115"/>
      <c r="AK143" s="115"/>
      <c r="AL143" s="115">
        <f>AL144+AL149+AL154</f>
        <v>3459.999998</v>
      </c>
      <c r="AM143" s="115"/>
      <c r="AN143" s="115"/>
      <c r="AO143" s="115">
        <f>AO144+AO149+AO154</f>
        <v>3459.999998</v>
      </c>
      <c r="AP143" s="115"/>
      <c r="AQ143" s="115"/>
      <c r="AR143" s="115">
        <f>AR144+AR149+AR154</f>
        <v>3459.999998</v>
      </c>
      <c r="AS143" s="115"/>
      <c r="AT143" s="115"/>
      <c r="AU143" s="115">
        <f>AU144+AU149+AU154</f>
        <v>3459.999998</v>
      </c>
      <c r="AV143" s="115"/>
      <c r="AW143" s="115"/>
      <c r="AX143" s="115">
        <f>AX144+AX149+AX154</f>
        <v>3459.999998</v>
      </c>
      <c r="AY143" s="115"/>
      <c r="AZ143" s="115"/>
      <c r="BA143" s="115">
        <f>BA144+BA149+BA154</f>
        <v>3459.999998</v>
      </c>
      <c r="BB143" s="115"/>
      <c r="BC143" s="115"/>
      <c r="BD143" s="115">
        <f>BD144+BD149+BD154</f>
        <v>3459.999998</v>
      </c>
      <c r="BE143" s="115"/>
      <c r="BF143" s="115"/>
      <c r="BG143" s="115">
        <f>BG144+BG149+BG154</f>
        <v>3459.999998</v>
      </c>
      <c r="BH143" s="115"/>
      <c r="BI143" s="115"/>
      <c r="BJ143" s="115">
        <f>BJ144+BJ149+BJ154</f>
        <v>3459.999998</v>
      </c>
      <c r="BK143" s="115"/>
      <c r="BL143" s="304"/>
      <c r="BM143" s="310"/>
      <c r="BN143" s="312"/>
    </row>
    <row r="144" s="118" customFormat="1" ht="33.95" hidden="1" customHeight="1" outlineLevel="4" collapsed="1" spans="2:66">
      <c r="B144" s="119" t="s">
        <v>742</v>
      </c>
      <c r="C144" s="120" t="s">
        <v>121</v>
      </c>
      <c r="D144" s="118" t="s">
        <v>109</v>
      </c>
      <c r="E144" s="119"/>
      <c r="F144" s="119"/>
      <c r="G144" s="119"/>
      <c r="H144" s="119">
        <f>SUM(H145:H148)</f>
        <v>41519.999976</v>
      </c>
      <c r="I144" s="119"/>
      <c r="J144" s="119"/>
      <c r="K144" s="119"/>
      <c r="L144" s="119"/>
      <c r="M144" s="119"/>
      <c r="N144" s="119"/>
      <c r="O144" s="119"/>
      <c r="P144" s="288"/>
      <c r="Q144" s="288"/>
      <c r="R144" s="288"/>
      <c r="S144" s="288"/>
      <c r="T144" s="288"/>
      <c r="U144" s="288"/>
      <c r="V144" s="288"/>
      <c r="W144" s="288"/>
      <c r="X144" s="288"/>
      <c r="Y144" s="288"/>
      <c r="Z144" s="288"/>
      <c r="AA144" s="288"/>
      <c r="AB144" s="119">
        <f t="shared" ref="AB144:AF144" si="242">SUM(AB145:AB148)</f>
        <v>41519.999976</v>
      </c>
      <c r="AC144" s="119">
        <f t="shared" si="242"/>
        <v>3459.999998</v>
      </c>
      <c r="AD144" s="119"/>
      <c r="AE144" s="119"/>
      <c r="AF144" s="119">
        <f t="shared" si="242"/>
        <v>3459.999998</v>
      </c>
      <c r="AG144" s="119"/>
      <c r="AH144" s="119"/>
      <c r="AI144" s="119">
        <f>SUM(AI145:AI148)</f>
        <v>3459.999998</v>
      </c>
      <c r="AJ144" s="119"/>
      <c r="AK144" s="119"/>
      <c r="AL144" s="119">
        <f>SUM(AL145:AL148)</f>
        <v>3459.999998</v>
      </c>
      <c r="AM144" s="119"/>
      <c r="AN144" s="119"/>
      <c r="AO144" s="119">
        <f>SUM(AO145:AO148)</f>
        <v>3459.999998</v>
      </c>
      <c r="AP144" s="119"/>
      <c r="AQ144" s="119"/>
      <c r="AR144" s="119">
        <f>SUM(AR145:AR148)</f>
        <v>3459.999998</v>
      </c>
      <c r="AS144" s="119"/>
      <c r="AT144" s="119"/>
      <c r="AU144" s="119">
        <f>SUM(AU145:AU148)</f>
        <v>3459.999998</v>
      </c>
      <c r="AV144" s="119"/>
      <c r="AW144" s="119"/>
      <c r="AX144" s="119">
        <f>SUM(AX145:AX148)</f>
        <v>3459.999998</v>
      </c>
      <c r="AY144" s="119"/>
      <c r="AZ144" s="119"/>
      <c r="BA144" s="119">
        <f>SUM(BA145:BA148)</f>
        <v>3459.999998</v>
      </c>
      <c r="BB144" s="119"/>
      <c r="BC144" s="119"/>
      <c r="BD144" s="119">
        <f>SUM(BD145:BD148)</f>
        <v>3459.999998</v>
      </c>
      <c r="BE144" s="119"/>
      <c r="BF144" s="119"/>
      <c r="BG144" s="119">
        <f>SUM(BG145:BG148)</f>
        <v>3459.999998</v>
      </c>
      <c r="BH144" s="119"/>
      <c r="BI144" s="119"/>
      <c r="BJ144" s="119">
        <f>SUM(BJ145:BJ148)</f>
        <v>3459.999998</v>
      </c>
      <c r="BK144" s="119"/>
      <c r="BL144" s="305"/>
      <c r="BM144" s="310"/>
      <c r="BN144" s="313"/>
    </row>
    <row r="145" s="262" customFormat="1" ht="33.95" hidden="1" customHeight="1" outlineLevel="5" spans="2:66">
      <c r="B145" s="175" t="s">
        <v>747</v>
      </c>
      <c r="C145" s="282" t="s">
        <v>984</v>
      </c>
      <c r="D145" s="262" t="s">
        <v>985</v>
      </c>
      <c r="E145" s="175" t="s">
        <v>986</v>
      </c>
      <c r="F145" s="175"/>
      <c r="G145" s="175" t="s">
        <v>751</v>
      </c>
      <c r="H145" s="175">
        <f t="shared" ref="H145:H148" si="243">AB145</f>
        <v>41519.999976</v>
      </c>
      <c r="I145" s="175" t="s">
        <v>752</v>
      </c>
      <c r="J145" s="175">
        <f t="shared" ref="J145:J148" si="244">SUM(AD145,AG145,AJ145,AM145,AP145,AS145,AV145,AY145,BB145,BE145,BH145,BK145)/N145</f>
        <v>7</v>
      </c>
      <c r="K145" s="175" t="s">
        <v>753</v>
      </c>
      <c r="L145" s="175">
        <f t="shared" ref="L145:L148" si="245">H145/N145/J145</f>
        <v>494.285714</v>
      </c>
      <c r="M145" s="175" t="s">
        <v>754</v>
      </c>
      <c r="N145" s="175">
        <f t="shared" ref="N145:N148" si="246">COUNTIF(AD145,"&gt;0")+COUNTIF(AG145,"&gt;0")+COUNTIF(AJ145,"&gt;0")+COUNTIF(AM145,"&gt;0")+COUNTIF(AP145,"&gt;0")+COUNTIF(AS145,"&gt;0")+COUNTIF(AV145,"&gt;0")+COUNTIF(AY145,"&gt;0")+COUNTIF(BB145,"&gt;0")+COUNTIF(BE145,"&gt;0")+COUNTIF(BH145,"&gt;0")+COUNTIF(BK145,"&gt;0")</f>
        <v>12</v>
      </c>
      <c r="O145" s="175"/>
      <c r="P145" s="289"/>
      <c r="Q145" s="289"/>
      <c r="R145" s="289"/>
      <c r="S145" s="289"/>
      <c r="T145" s="289"/>
      <c r="U145" s="289"/>
      <c r="V145" s="289"/>
      <c r="W145" s="289"/>
      <c r="X145" s="289"/>
      <c r="Y145" s="289"/>
      <c r="Z145" s="289"/>
      <c r="AA145" s="289"/>
      <c r="AB145" s="175">
        <f t="shared" si="240"/>
        <v>41519.999976</v>
      </c>
      <c r="AC145" s="175">
        <f t="shared" ref="AC145:AC148" si="247">AD145*AE145</f>
        <v>3459.999998</v>
      </c>
      <c r="AD145" s="175">
        <f>SUMIFS('1-2 人员岗位信息'!F:F,'1-2 人员岗位信息'!$C:$C,"自有人员",'1-2 人员岗位信息'!$B:$B,$D145)</f>
        <v>7</v>
      </c>
      <c r="AE145" s="297">
        <v>494.285714</v>
      </c>
      <c r="AF145" s="175">
        <f t="shared" ref="AF145:AF148" si="248">AG145*AH145</f>
        <v>3459.999998</v>
      </c>
      <c r="AG145" s="175">
        <f>SUMIFS('1-2 人员岗位信息'!G:G,'1-2 人员岗位信息'!$C:$C,"自有人员",'1-2 人员岗位信息'!$B:$B,$D145)</f>
        <v>7</v>
      </c>
      <c r="AH145" s="297">
        <v>494.285714</v>
      </c>
      <c r="AI145" s="175">
        <f t="shared" ref="AI145:AI148" si="249">AJ145*AK145</f>
        <v>3459.999998</v>
      </c>
      <c r="AJ145" s="175">
        <f>SUMIFS('1-2 人员岗位信息'!H:H,'1-2 人员岗位信息'!$C:$C,"自有人员",'1-2 人员岗位信息'!$B:$B,$D145)</f>
        <v>7</v>
      </c>
      <c r="AK145" s="297">
        <v>494.285714</v>
      </c>
      <c r="AL145" s="175">
        <f t="shared" ref="AL145:AL148" si="250">AM145*AN145</f>
        <v>3459.999998</v>
      </c>
      <c r="AM145" s="175">
        <f>SUMIFS('1-2 人员岗位信息'!I:I,'1-2 人员岗位信息'!$C:$C,"自有人员",'1-2 人员岗位信息'!$B:$B,$D145)</f>
        <v>7</v>
      </c>
      <c r="AN145" s="297">
        <v>494.285714</v>
      </c>
      <c r="AO145" s="175">
        <f t="shared" ref="AO145:AO148" si="251">AP145*AQ145</f>
        <v>3459.999998</v>
      </c>
      <c r="AP145" s="175">
        <f>SUMIFS('1-2 人员岗位信息'!J:J,'1-2 人员岗位信息'!$C:$C,"自有人员",'1-2 人员岗位信息'!$B:$B,$D145)</f>
        <v>7</v>
      </c>
      <c r="AQ145" s="297">
        <v>494.285714</v>
      </c>
      <c r="AR145" s="175">
        <f t="shared" ref="AR145:AR148" si="252">AS145*AT145</f>
        <v>3459.999998</v>
      </c>
      <c r="AS145" s="175">
        <f>SUMIFS('1-2 人员岗位信息'!K:K,'1-2 人员岗位信息'!$C:$C,"自有人员",'1-2 人员岗位信息'!$B:$B,$D145)</f>
        <v>7</v>
      </c>
      <c r="AT145" s="297">
        <v>494.285714</v>
      </c>
      <c r="AU145" s="175">
        <f t="shared" ref="AU145:AU148" si="253">AV145*AW145</f>
        <v>3459.999998</v>
      </c>
      <c r="AV145" s="175">
        <f>SUMIFS('1-2 人员岗位信息'!L:L,'1-2 人员岗位信息'!$C:$C,"自有人员",'1-2 人员岗位信息'!$B:$B,$D145)</f>
        <v>7</v>
      </c>
      <c r="AW145" s="297">
        <v>494.285714</v>
      </c>
      <c r="AX145" s="175">
        <f t="shared" ref="AX145:AX148" si="254">AY145*AZ145</f>
        <v>3459.999998</v>
      </c>
      <c r="AY145" s="175">
        <f>SUMIFS('1-2 人员岗位信息'!M:M,'1-2 人员岗位信息'!$C:$C,"自有人员",'1-2 人员岗位信息'!$B:$B,$D145)</f>
        <v>7</v>
      </c>
      <c r="AZ145" s="297">
        <v>494.285714</v>
      </c>
      <c r="BA145" s="175">
        <f t="shared" ref="BA145:BA148" si="255">BB145*BC145</f>
        <v>3459.999998</v>
      </c>
      <c r="BB145" s="175">
        <f>SUMIFS('1-2 人员岗位信息'!N:N,'1-2 人员岗位信息'!$C:$C,"自有人员",'1-2 人员岗位信息'!$B:$B,$D145)</f>
        <v>7</v>
      </c>
      <c r="BC145" s="297">
        <v>494.285714</v>
      </c>
      <c r="BD145" s="175">
        <f t="shared" ref="BD145:BD148" si="256">BE145*BF145</f>
        <v>3459.999998</v>
      </c>
      <c r="BE145" s="175">
        <f>SUMIFS('1-2 人员岗位信息'!O:O,'1-2 人员岗位信息'!$C:$C,"自有人员",'1-2 人员岗位信息'!$B:$B,$D145)</f>
        <v>7</v>
      </c>
      <c r="BF145" s="297">
        <v>494.285714</v>
      </c>
      <c r="BG145" s="175">
        <f t="shared" ref="BG145:BG148" si="257">BH145*BI145</f>
        <v>3459.999998</v>
      </c>
      <c r="BH145" s="175">
        <f>SUMIFS('1-2 人员岗位信息'!P:P,'1-2 人员岗位信息'!$C:$C,"自有人员",'1-2 人员岗位信息'!$B:$B,$D145)</f>
        <v>7</v>
      </c>
      <c r="BI145" s="297">
        <v>494.285714</v>
      </c>
      <c r="BJ145" s="175">
        <f t="shared" ref="BJ145:BJ148" si="258">BK145*BL145</f>
        <v>3459.999998</v>
      </c>
      <c r="BK145" s="175">
        <f>SUMIFS('1-2 人员岗位信息'!Q:Q,'1-2 人员岗位信息'!$C:$C,"自有人员",'1-2 人员岗位信息'!$B:$B,$D145)</f>
        <v>7</v>
      </c>
      <c r="BL145" s="297">
        <v>494.285714</v>
      </c>
      <c r="BM145" s="310"/>
      <c r="BN145" s="314"/>
    </row>
    <row r="146" s="262" customFormat="1" ht="33.95" hidden="1" customHeight="1" outlineLevel="5" spans="2:66">
      <c r="B146" s="175" t="s">
        <v>747</v>
      </c>
      <c r="C146" s="282" t="s">
        <v>987</v>
      </c>
      <c r="D146" s="262" t="s">
        <v>988</v>
      </c>
      <c r="E146" s="175" t="s">
        <v>989</v>
      </c>
      <c r="F146" s="175"/>
      <c r="G146" s="175" t="s">
        <v>751</v>
      </c>
      <c r="H146" s="175">
        <f t="shared" si="243"/>
        <v>0</v>
      </c>
      <c r="I146" s="175" t="s">
        <v>752</v>
      </c>
      <c r="J146" s="175" t="e">
        <f t="shared" si="244"/>
        <v>#DIV/0!</v>
      </c>
      <c r="K146" s="175" t="s">
        <v>753</v>
      </c>
      <c r="L146" s="175" t="e">
        <f t="shared" si="245"/>
        <v>#DIV/0!</v>
      </c>
      <c r="M146" s="175" t="s">
        <v>754</v>
      </c>
      <c r="N146" s="175">
        <f t="shared" si="246"/>
        <v>0</v>
      </c>
      <c r="O146" s="175"/>
      <c r="P146" s="289"/>
      <c r="Q146" s="289"/>
      <c r="R146" s="289"/>
      <c r="S146" s="289"/>
      <c r="T146" s="289"/>
      <c r="U146" s="289"/>
      <c r="V146" s="289"/>
      <c r="W146" s="289"/>
      <c r="X146" s="289"/>
      <c r="Y146" s="289"/>
      <c r="Z146" s="289"/>
      <c r="AA146" s="289"/>
      <c r="AB146" s="175">
        <f t="shared" si="240"/>
        <v>0</v>
      </c>
      <c r="AC146" s="175">
        <f t="shared" si="247"/>
        <v>0</v>
      </c>
      <c r="AD146" s="175">
        <f>SUMIFS('1-2 人员岗位信息'!F:F,'1-2 人员岗位信息'!$C:$C,"自有人员",'1-2 人员岗位信息'!$B:$B,$D146)</f>
        <v>0</v>
      </c>
      <c r="AE146" s="297"/>
      <c r="AF146" s="175">
        <f t="shared" si="248"/>
        <v>0</v>
      </c>
      <c r="AG146" s="175">
        <f>SUMIFS('1-2 人员岗位信息'!G:G,'1-2 人员岗位信息'!$C:$C,"自有人员",'1-2 人员岗位信息'!$B:$B,$D146)</f>
        <v>0</v>
      </c>
      <c r="AH146" s="297"/>
      <c r="AI146" s="175">
        <f t="shared" si="249"/>
        <v>0</v>
      </c>
      <c r="AJ146" s="175">
        <f>SUMIFS('1-2 人员岗位信息'!H:H,'1-2 人员岗位信息'!$C:$C,"自有人员",'1-2 人员岗位信息'!$B:$B,$D146)</f>
        <v>0</v>
      </c>
      <c r="AK146" s="297"/>
      <c r="AL146" s="175">
        <f t="shared" si="250"/>
        <v>0</v>
      </c>
      <c r="AM146" s="175">
        <f>SUMIFS('1-2 人员岗位信息'!I:I,'1-2 人员岗位信息'!$C:$C,"自有人员",'1-2 人员岗位信息'!$B:$B,$D146)</f>
        <v>0</v>
      </c>
      <c r="AN146" s="297"/>
      <c r="AO146" s="175">
        <f t="shared" si="251"/>
        <v>0</v>
      </c>
      <c r="AP146" s="175">
        <f>SUMIFS('1-2 人员岗位信息'!J:J,'1-2 人员岗位信息'!$C:$C,"自有人员",'1-2 人员岗位信息'!$B:$B,$D146)</f>
        <v>0</v>
      </c>
      <c r="AQ146" s="297"/>
      <c r="AR146" s="175">
        <f t="shared" si="252"/>
        <v>0</v>
      </c>
      <c r="AS146" s="175">
        <f>SUMIFS('1-2 人员岗位信息'!K:K,'1-2 人员岗位信息'!$C:$C,"自有人员",'1-2 人员岗位信息'!$B:$B,$D146)</f>
        <v>0</v>
      </c>
      <c r="AT146" s="297"/>
      <c r="AU146" s="175">
        <f t="shared" si="253"/>
        <v>0</v>
      </c>
      <c r="AV146" s="175">
        <f>SUMIFS('1-2 人员岗位信息'!L:L,'1-2 人员岗位信息'!$C:$C,"自有人员",'1-2 人员岗位信息'!$B:$B,$D146)</f>
        <v>0</v>
      </c>
      <c r="AW146" s="297"/>
      <c r="AX146" s="175">
        <f t="shared" si="254"/>
        <v>0</v>
      </c>
      <c r="AY146" s="175">
        <f>SUMIFS('1-2 人员岗位信息'!M:M,'1-2 人员岗位信息'!$C:$C,"自有人员",'1-2 人员岗位信息'!$B:$B,$D146)</f>
        <v>0</v>
      </c>
      <c r="AZ146" s="297"/>
      <c r="BA146" s="175">
        <f t="shared" si="255"/>
        <v>0</v>
      </c>
      <c r="BB146" s="175">
        <f>SUMIFS('1-2 人员岗位信息'!N:N,'1-2 人员岗位信息'!$C:$C,"自有人员",'1-2 人员岗位信息'!$B:$B,$D146)</f>
        <v>0</v>
      </c>
      <c r="BC146" s="297"/>
      <c r="BD146" s="175">
        <f t="shared" si="256"/>
        <v>0</v>
      </c>
      <c r="BE146" s="175">
        <f>SUMIFS('1-2 人员岗位信息'!O:O,'1-2 人员岗位信息'!$C:$C,"自有人员",'1-2 人员岗位信息'!$B:$B,$D146)</f>
        <v>0</v>
      </c>
      <c r="BF146" s="297"/>
      <c r="BG146" s="175">
        <f t="shared" si="257"/>
        <v>0</v>
      </c>
      <c r="BH146" s="175">
        <f>SUMIFS('1-2 人员岗位信息'!P:P,'1-2 人员岗位信息'!$C:$C,"自有人员",'1-2 人员岗位信息'!$B:$B,$D146)</f>
        <v>0</v>
      </c>
      <c r="BI146" s="297"/>
      <c r="BJ146" s="175">
        <f t="shared" si="258"/>
        <v>0</v>
      </c>
      <c r="BK146" s="175">
        <f>SUMIFS('1-2 人员岗位信息'!Q:Q,'1-2 人员岗位信息'!$C:$C,"自有人员",'1-2 人员岗位信息'!$B:$B,$D146)</f>
        <v>0</v>
      </c>
      <c r="BL146" s="306"/>
      <c r="BM146" s="310"/>
      <c r="BN146" s="314"/>
    </row>
    <row r="147" s="262" customFormat="1" ht="33.95" hidden="1" customHeight="1" outlineLevel="5" spans="2:66">
      <c r="B147" s="175" t="s">
        <v>747</v>
      </c>
      <c r="C147" s="282" t="s">
        <v>990</v>
      </c>
      <c r="D147" s="262" t="s">
        <v>991</v>
      </c>
      <c r="E147" s="175" t="s">
        <v>992</v>
      </c>
      <c r="F147" s="175"/>
      <c r="G147" s="175" t="s">
        <v>751</v>
      </c>
      <c r="H147" s="175">
        <f t="shared" si="243"/>
        <v>0</v>
      </c>
      <c r="I147" s="175" t="s">
        <v>752</v>
      </c>
      <c r="J147" s="175" t="e">
        <f t="shared" si="244"/>
        <v>#DIV/0!</v>
      </c>
      <c r="K147" s="175" t="s">
        <v>753</v>
      </c>
      <c r="L147" s="175" t="e">
        <f t="shared" si="245"/>
        <v>#DIV/0!</v>
      </c>
      <c r="M147" s="175" t="s">
        <v>754</v>
      </c>
      <c r="N147" s="175">
        <f t="shared" si="246"/>
        <v>0</v>
      </c>
      <c r="O147" s="175"/>
      <c r="P147" s="289"/>
      <c r="Q147" s="289"/>
      <c r="R147" s="289"/>
      <c r="S147" s="289"/>
      <c r="T147" s="289"/>
      <c r="U147" s="289"/>
      <c r="V147" s="289"/>
      <c r="W147" s="289"/>
      <c r="X147" s="289"/>
      <c r="Y147" s="289"/>
      <c r="Z147" s="289"/>
      <c r="AA147" s="289"/>
      <c r="AB147" s="175">
        <f t="shared" si="240"/>
        <v>0</v>
      </c>
      <c r="AC147" s="175">
        <f t="shared" si="247"/>
        <v>0</v>
      </c>
      <c r="AD147" s="175">
        <f>SUMIFS('1-2 人员岗位信息'!F:F,'1-2 人员岗位信息'!$C:$C,"自有人员",'1-2 人员岗位信息'!$B:$B,$D147)</f>
        <v>0</v>
      </c>
      <c r="AE147" s="297"/>
      <c r="AF147" s="175">
        <f t="shared" si="248"/>
        <v>0</v>
      </c>
      <c r="AG147" s="175">
        <f>SUMIFS('1-2 人员岗位信息'!G:G,'1-2 人员岗位信息'!$C:$C,"自有人员",'1-2 人员岗位信息'!$B:$B,$D147)</f>
        <v>0</v>
      </c>
      <c r="AH147" s="297"/>
      <c r="AI147" s="175">
        <f t="shared" si="249"/>
        <v>0</v>
      </c>
      <c r="AJ147" s="175">
        <f>SUMIFS('1-2 人员岗位信息'!H:H,'1-2 人员岗位信息'!$C:$C,"自有人员",'1-2 人员岗位信息'!$B:$B,$D147)</f>
        <v>0</v>
      </c>
      <c r="AK147" s="297"/>
      <c r="AL147" s="175">
        <f t="shared" si="250"/>
        <v>0</v>
      </c>
      <c r="AM147" s="175">
        <f>SUMIFS('1-2 人员岗位信息'!I:I,'1-2 人员岗位信息'!$C:$C,"自有人员",'1-2 人员岗位信息'!$B:$B,$D147)</f>
        <v>0</v>
      </c>
      <c r="AN147" s="297"/>
      <c r="AO147" s="175">
        <f t="shared" si="251"/>
        <v>0</v>
      </c>
      <c r="AP147" s="175">
        <f>SUMIFS('1-2 人员岗位信息'!J:J,'1-2 人员岗位信息'!$C:$C,"自有人员",'1-2 人员岗位信息'!$B:$B,$D147)</f>
        <v>0</v>
      </c>
      <c r="AQ147" s="297"/>
      <c r="AR147" s="175">
        <f t="shared" si="252"/>
        <v>0</v>
      </c>
      <c r="AS147" s="175">
        <f>SUMIFS('1-2 人员岗位信息'!K:K,'1-2 人员岗位信息'!$C:$C,"自有人员",'1-2 人员岗位信息'!$B:$B,$D147)</f>
        <v>0</v>
      </c>
      <c r="AT147" s="297"/>
      <c r="AU147" s="175">
        <f t="shared" si="253"/>
        <v>0</v>
      </c>
      <c r="AV147" s="175">
        <f>SUMIFS('1-2 人员岗位信息'!L:L,'1-2 人员岗位信息'!$C:$C,"自有人员",'1-2 人员岗位信息'!$B:$B,$D147)</f>
        <v>0</v>
      </c>
      <c r="AW147" s="297"/>
      <c r="AX147" s="175">
        <f t="shared" si="254"/>
        <v>0</v>
      </c>
      <c r="AY147" s="175">
        <f>SUMIFS('1-2 人员岗位信息'!M:M,'1-2 人员岗位信息'!$C:$C,"自有人员",'1-2 人员岗位信息'!$B:$B,$D147)</f>
        <v>0</v>
      </c>
      <c r="AZ147" s="297"/>
      <c r="BA147" s="175">
        <f t="shared" si="255"/>
        <v>0</v>
      </c>
      <c r="BB147" s="175">
        <f>SUMIFS('1-2 人员岗位信息'!N:N,'1-2 人员岗位信息'!$C:$C,"自有人员",'1-2 人员岗位信息'!$B:$B,$D147)</f>
        <v>0</v>
      </c>
      <c r="BC147" s="297"/>
      <c r="BD147" s="175">
        <f t="shared" si="256"/>
        <v>0</v>
      </c>
      <c r="BE147" s="175">
        <f>SUMIFS('1-2 人员岗位信息'!O:O,'1-2 人员岗位信息'!$C:$C,"自有人员",'1-2 人员岗位信息'!$B:$B,$D147)</f>
        <v>0</v>
      </c>
      <c r="BF147" s="297"/>
      <c r="BG147" s="175">
        <f t="shared" si="257"/>
        <v>0</v>
      </c>
      <c r="BH147" s="175">
        <f>SUMIFS('1-2 人员岗位信息'!P:P,'1-2 人员岗位信息'!$C:$C,"自有人员",'1-2 人员岗位信息'!$B:$B,$D147)</f>
        <v>0</v>
      </c>
      <c r="BI147" s="297"/>
      <c r="BJ147" s="175">
        <f t="shared" si="258"/>
        <v>0</v>
      </c>
      <c r="BK147" s="175">
        <f>SUMIFS('1-2 人员岗位信息'!Q:Q,'1-2 人员岗位信息'!$C:$C,"自有人员",'1-2 人员岗位信息'!$B:$B,$D147)</f>
        <v>0</v>
      </c>
      <c r="BL147" s="306"/>
      <c r="BM147" s="310"/>
      <c r="BN147" s="314"/>
    </row>
    <row r="148" s="262" customFormat="1" ht="33.95" hidden="1" customHeight="1" outlineLevel="5" spans="2:66">
      <c r="B148" s="175" t="s">
        <v>747</v>
      </c>
      <c r="C148" s="282" t="s">
        <v>993</v>
      </c>
      <c r="D148" s="262" t="s">
        <v>994</v>
      </c>
      <c r="E148" s="175" t="s">
        <v>995</v>
      </c>
      <c r="F148" s="175"/>
      <c r="G148" s="175" t="s">
        <v>751</v>
      </c>
      <c r="H148" s="175">
        <f t="shared" si="243"/>
        <v>0</v>
      </c>
      <c r="I148" s="175" t="s">
        <v>752</v>
      </c>
      <c r="J148" s="175" t="e">
        <f t="shared" si="244"/>
        <v>#DIV/0!</v>
      </c>
      <c r="K148" s="175" t="s">
        <v>753</v>
      </c>
      <c r="L148" s="175" t="e">
        <f t="shared" si="245"/>
        <v>#DIV/0!</v>
      </c>
      <c r="M148" s="175" t="s">
        <v>754</v>
      </c>
      <c r="N148" s="175">
        <f t="shared" si="246"/>
        <v>0</v>
      </c>
      <c r="O148" s="175"/>
      <c r="P148" s="289"/>
      <c r="Q148" s="289"/>
      <c r="R148" s="289"/>
      <c r="S148" s="289"/>
      <c r="T148" s="289"/>
      <c r="U148" s="289"/>
      <c r="V148" s="289"/>
      <c r="W148" s="289"/>
      <c r="X148" s="289"/>
      <c r="Y148" s="289"/>
      <c r="Z148" s="289"/>
      <c r="AA148" s="289"/>
      <c r="AB148" s="175">
        <f t="shared" si="240"/>
        <v>0</v>
      </c>
      <c r="AC148" s="175">
        <f t="shared" si="247"/>
        <v>0</v>
      </c>
      <c r="AD148" s="175">
        <f>SUMIFS('1-2 人员岗位信息'!F:F,'1-2 人员岗位信息'!$C:$C,"自有人员",'1-2 人员岗位信息'!$B:$B,$D148)</f>
        <v>0</v>
      </c>
      <c r="AE148" s="297"/>
      <c r="AF148" s="175">
        <f t="shared" si="248"/>
        <v>0</v>
      </c>
      <c r="AG148" s="175">
        <f>SUMIFS('1-2 人员岗位信息'!G:G,'1-2 人员岗位信息'!$C:$C,"自有人员",'1-2 人员岗位信息'!$B:$B,$D148)</f>
        <v>0</v>
      </c>
      <c r="AH148" s="297"/>
      <c r="AI148" s="175">
        <f t="shared" si="249"/>
        <v>0</v>
      </c>
      <c r="AJ148" s="175">
        <f>SUMIFS('1-2 人员岗位信息'!H:H,'1-2 人员岗位信息'!$C:$C,"自有人员",'1-2 人员岗位信息'!$B:$B,$D148)</f>
        <v>0</v>
      </c>
      <c r="AK148" s="297"/>
      <c r="AL148" s="175">
        <f t="shared" si="250"/>
        <v>0</v>
      </c>
      <c r="AM148" s="175">
        <f>SUMIFS('1-2 人员岗位信息'!I:I,'1-2 人员岗位信息'!$C:$C,"自有人员",'1-2 人员岗位信息'!$B:$B,$D148)</f>
        <v>0</v>
      </c>
      <c r="AN148" s="297"/>
      <c r="AO148" s="175">
        <f t="shared" si="251"/>
        <v>0</v>
      </c>
      <c r="AP148" s="175">
        <f>SUMIFS('1-2 人员岗位信息'!J:J,'1-2 人员岗位信息'!$C:$C,"自有人员",'1-2 人员岗位信息'!$B:$B,$D148)</f>
        <v>0</v>
      </c>
      <c r="AQ148" s="297"/>
      <c r="AR148" s="175">
        <f t="shared" si="252"/>
        <v>0</v>
      </c>
      <c r="AS148" s="175">
        <f>SUMIFS('1-2 人员岗位信息'!K:K,'1-2 人员岗位信息'!$C:$C,"自有人员",'1-2 人员岗位信息'!$B:$B,$D148)</f>
        <v>0</v>
      </c>
      <c r="AT148" s="297"/>
      <c r="AU148" s="175">
        <f t="shared" si="253"/>
        <v>0</v>
      </c>
      <c r="AV148" s="175">
        <f>SUMIFS('1-2 人员岗位信息'!L:L,'1-2 人员岗位信息'!$C:$C,"自有人员",'1-2 人员岗位信息'!$B:$B,$D148)</f>
        <v>0</v>
      </c>
      <c r="AW148" s="297"/>
      <c r="AX148" s="175">
        <f t="shared" si="254"/>
        <v>0</v>
      </c>
      <c r="AY148" s="175">
        <f>SUMIFS('1-2 人员岗位信息'!M:M,'1-2 人员岗位信息'!$C:$C,"自有人员",'1-2 人员岗位信息'!$B:$B,$D148)</f>
        <v>0</v>
      </c>
      <c r="AZ148" s="297"/>
      <c r="BA148" s="175">
        <f t="shared" si="255"/>
        <v>0</v>
      </c>
      <c r="BB148" s="175">
        <f>SUMIFS('1-2 人员岗位信息'!N:N,'1-2 人员岗位信息'!$C:$C,"自有人员",'1-2 人员岗位信息'!$B:$B,$D148)</f>
        <v>0</v>
      </c>
      <c r="BC148" s="297"/>
      <c r="BD148" s="175">
        <f t="shared" si="256"/>
        <v>0</v>
      </c>
      <c r="BE148" s="175">
        <f>SUMIFS('1-2 人员岗位信息'!O:O,'1-2 人员岗位信息'!$C:$C,"自有人员",'1-2 人员岗位信息'!$B:$B,$D148)</f>
        <v>0</v>
      </c>
      <c r="BF148" s="297"/>
      <c r="BG148" s="175">
        <f t="shared" si="257"/>
        <v>0</v>
      </c>
      <c r="BH148" s="175">
        <f>SUMIFS('1-2 人员岗位信息'!P:P,'1-2 人员岗位信息'!$C:$C,"自有人员",'1-2 人员岗位信息'!$B:$B,$D148)</f>
        <v>0</v>
      </c>
      <c r="BI148" s="297"/>
      <c r="BJ148" s="175">
        <f t="shared" si="258"/>
        <v>0</v>
      </c>
      <c r="BK148" s="175">
        <f>SUMIFS('1-2 人员岗位信息'!Q:Q,'1-2 人员岗位信息'!$C:$C,"自有人员",'1-2 人员岗位信息'!$B:$B,$D148)</f>
        <v>0</v>
      </c>
      <c r="BL148" s="306"/>
      <c r="BM148" s="310"/>
      <c r="BN148" s="314"/>
    </row>
    <row r="149" s="118" customFormat="1" ht="33.95" hidden="1" customHeight="1" outlineLevel="4" collapsed="1" spans="2:66">
      <c r="B149" s="119" t="s">
        <v>742</v>
      </c>
      <c r="C149" s="120" t="s">
        <v>72</v>
      </c>
      <c r="D149" s="118" t="s">
        <v>68</v>
      </c>
      <c r="E149" s="119"/>
      <c r="F149" s="119"/>
      <c r="G149" s="119"/>
      <c r="H149" s="119">
        <f>SUM(H150:H153)</f>
        <v>0</v>
      </c>
      <c r="I149" s="119"/>
      <c r="J149" s="119"/>
      <c r="K149" s="119"/>
      <c r="L149" s="119"/>
      <c r="M149" s="119"/>
      <c r="N149" s="119"/>
      <c r="O149" s="119"/>
      <c r="P149" s="288"/>
      <c r="Q149" s="288"/>
      <c r="R149" s="288"/>
      <c r="S149" s="288"/>
      <c r="T149" s="288"/>
      <c r="U149" s="288"/>
      <c r="V149" s="288"/>
      <c r="W149" s="288"/>
      <c r="X149" s="288"/>
      <c r="Y149" s="288"/>
      <c r="Z149" s="288"/>
      <c r="AA149" s="288"/>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5"/>
      <c r="BM149" s="310"/>
      <c r="BN149" s="313"/>
    </row>
    <row r="150" s="262" customFormat="1" ht="33.95" hidden="1" customHeight="1" outlineLevel="5" spans="2:66">
      <c r="B150" s="175" t="s">
        <v>747</v>
      </c>
      <c r="C150" s="282" t="s">
        <v>996</v>
      </c>
      <c r="D150" s="262" t="s">
        <v>985</v>
      </c>
      <c r="E150" s="175" t="s">
        <v>997</v>
      </c>
      <c r="F150" s="175"/>
      <c r="G150" s="175" t="s">
        <v>751</v>
      </c>
      <c r="H150" s="175">
        <f t="shared" ref="H150:H153" si="260">AB150</f>
        <v>0</v>
      </c>
      <c r="I150" s="175" t="s">
        <v>752</v>
      </c>
      <c r="J150" s="175" t="e">
        <f t="shared" ref="J150:J153" si="261">SUM(AD150,AG150,AJ150,AM150,AP150,AS150,AV150,AY150,BB150,BE150,BH150,BK150)/N150</f>
        <v>#DIV/0!</v>
      </c>
      <c r="K150" s="175" t="s">
        <v>753</v>
      </c>
      <c r="L150" s="175" t="e">
        <f t="shared" ref="L150:L153" si="262">H150/N150/J150</f>
        <v>#DIV/0!</v>
      </c>
      <c r="M150" s="175" t="s">
        <v>754</v>
      </c>
      <c r="N150" s="175">
        <f t="shared" ref="N150:N153" si="263">COUNTIF(AD150,"&gt;0")+COUNTIF(AG150,"&gt;0")+COUNTIF(AJ150,"&gt;0")+COUNTIF(AM150,"&gt;0")+COUNTIF(AP150,"&gt;0")+COUNTIF(AS150,"&gt;0")+COUNTIF(AV150,"&gt;0")+COUNTIF(AY150,"&gt;0")+COUNTIF(BB150,"&gt;0")+COUNTIF(BE150,"&gt;0")+COUNTIF(BH150,"&gt;0")+COUNTIF(BK150,"&gt;0")</f>
        <v>0</v>
      </c>
      <c r="O150" s="175"/>
      <c r="P150" s="289"/>
      <c r="Q150" s="289"/>
      <c r="R150" s="289"/>
      <c r="S150" s="289"/>
      <c r="T150" s="289"/>
      <c r="U150" s="289"/>
      <c r="V150" s="289"/>
      <c r="W150" s="289"/>
      <c r="X150" s="289"/>
      <c r="Y150" s="289"/>
      <c r="Z150" s="289"/>
      <c r="AA150" s="289"/>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297"/>
      <c r="AF150" s="175">
        <f t="shared" ref="AF150:AF153" si="266">AG150*AH150</f>
        <v>0</v>
      </c>
      <c r="AG150" s="175">
        <f>SUMIFS('1-2 人员岗位信息'!G:G,'1-2 人员岗位信息'!$C:$C,"劳务派遣",'1-2 人员岗位信息'!$B:$B,$D150)</f>
        <v>0</v>
      </c>
      <c r="AH150" s="297"/>
      <c r="AI150" s="175">
        <f t="shared" ref="AI150:AI153" si="267">AJ150*AK150</f>
        <v>0</v>
      </c>
      <c r="AJ150" s="175">
        <f>SUMIFS('1-2 人员岗位信息'!H:H,'1-2 人员岗位信息'!$C:$C,"劳务派遣",'1-2 人员岗位信息'!$B:$B,$D150)</f>
        <v>0</v>
      </c>
      <c r="AK150" s="297"/>
      <c r="AL150" s="175">
        <f t="shared" ref="AL150:AL153" si="268">AM150*AN150</f>
        <v>0</v>
      </c>
      <c r="AM150" s="175">
        <f>SUMIFS('1-2 人员岗位信息'!I:I,'1-2 人员岗位信息'!$C:$C,"劳务派遣",'1-2 人员岗位信息'!$B:$B,$D150)</f>
        <v>0</v>
      </c>
      <c r="AN150" s="297"/>
      <c r="AO150" s="175">
        <f t="shared" ref="AO150:AO153" si="269">AP150*AQ150</f>
        <v>0</v>
      </c>
      <c r="AP150" s="175">
        <f>SUMIFS('1-2 人员岗位信息'!J:J,'1-2 人员岗位信息'!$C:$C,"劳务派遣",'1-2 人员岗位信息'!$B:$B,$D150)</f>
        <v>0</v>
      </c>
      <c r="AQ150" s="297"/>
      <c r="AR150" s="175">
        <f t="shared" ref="AR150:AR153" si="270">AS150*AT150</f>
        <v>0</v>
      </c>
      <c r="AS150" s="175">
        <f>SUMIFS('1-2 人员岗位信息'!K:K,'1-2 人员岗位信息'!$C:$C,"劳务派遣",'1-2 人员岗位信息'!$B:$B,$D150)</f>
        <v>0</v>
      </c>
      <c r="AT150" s="297"/>
      <c r="AU150" s="175">
        <f t="shared" ref="AU150:AU153" si="271">AV150*AW150</f>
        <v>0</v>
      </c>
      <c r="AV150" s="175">
        <f>SUMIFS('1-2 人员岗位信息'!L:L,'1-2 人员岗位信息'!$C:$C,"劳务派遣",'1-2 人员岗位信息'!$B:$B,$D150)</f>
        <v>0</v>
      </c>
      <c r="AW150" s="297"/>
      <c r="AX150" s="175">
        <f t="shared" ref="AX150:AX153" si="272">AY150*AZ150</f>
        <v>0</v>
      </c>
      <c r="AY150" s="175">
        <f>SUMIFS('1-2 人员岗位信息'!M:M,'1-2 人员岗位信息'!$C:$C,"劳务派遣",'1-2 人员岗位信息'!$B:$B,$D150)</f>
        <v>0</v>
      </c>
      <c r="AZ150" s="297"/>
      <c r="BA150" s="175">
        <f t="shared" ref="BA150:BA153" si="273">BB150*BC150</f>
        <v>0</v>
      </c>
      <c r="BB150" s="175">
        <f>SUMIFS('1-2 人员岗位信息'!N:N,'1-2 人员岗位信息'!$C:$C,"劳务派遣",'1-2 人员岗位信息'!$B:$B,$D150)</f>
        <v>0</v>
      </c>
      <c r="BC150" s="297"/>
      <c r="BD150" s="175">
        <f t="shared" ref="BD150:BD153" si="274">BE150*BF150</f>
        <v>0</v>
      </c>
      <c r="BE150" s="175">
        <f>SUMIFS('1-2 人员岗位信息'!O:O,'1-2 人员岗位信息'!$C:$C,"劳务派遣",'1-2 人员岗位信息'!$B:$B,$D150)</f>
        <v>0</v>
      </c>
      <c r="BF150" s="297"/>
      <c r="BG150" s="175">
        <f t="shared" ref="BG150:BG153" si="275">BH150*BI150</f>
        <v>0</v>
      </c>
      <c r="BH150" s="175">
        <f>SUMIFS('1-2 人员岗位信息'!P:P,'1-2 人员岗位信息'!$C:$C,"劳务派遣",'1-2 人员岗位信息'!$B:$B,$D150)</f>
        <v>0</v>
      </c>
      <c r="BI150" s="297"/>
      <c r="BJ150" s="175">
        <f t="shared" ref="BJ150:BJ153" si="276">BK150*BL150</f>
        <v>0</v>
      </c>
      <c r="BK150" s="175">
        <f>SUMIFS('1-2 人员岗位信息'!Q:Q,'1-2 人员岗位信息'!$C:$C,"劳务派遣",'1-2 人员岗位信息'!$B:$B,$D150)</f>
        <v>0</v>
      </c>
      <c r="BL150" s="306"/>
      <c r="BM150" s="310"/>
      <c r="BN150" s="314"/>
    </row>
    <row r="151" s="262" customFormat="1" ht="33.95" hidden="1" customHeight="1" outlineLevel="5" spans="2:66">
      <c r="B151" s="175" t="s">
        <v>747</v>
      </c>
      <c r="C151" s="282" t="s">
        <v>998</v>
      </c>
      <c r="D151" s="262" t="s">
        <v>988</v>
      </c>
      <c r="E151" s="175" t="s">
        <v>999</v>
      </c>
      <c r="F151" s="175"/>
      <c r="G151" s="175" t="s">
        <v>751</v>
      </c>
      <c r="H151" s="175">
        <f t="shared" si="260"/>
        <v>0</v>
      </c>
      <c r="I151" s="175" t="s">
        <v>752</v>
      </c>
      <c r="J151" s="175" t="e">
        <f t="shared" si="261"/>
        <v>#DIV/0!</v>
      </c>
      <c r="K151" s="175" t="s">
        <v>753</v>
      </c>
      <c r="L151" s="175" t="e">
        <f t="shared" si="262"/>
        <v>#DIV/0!</v>
      </c>
      <c r="M151" s="175" t="s">
        <v>754</v>
      </c>
      <c r="N151" s="175">
        <f t="shared" si="263"/>
        <v>0</v>
      </c>
      <c r="O151" s="175"/>
      <c r="P151" s="289"/>
      <c r="Q151" s="289"/>
      <c r="R151" s="289"/>
      <c r="S151" s="289"/>
      <c r="T151" s="289"/>
      <c r="U151" s="289"/>
      <c r="V151" s="289"/>
      <c r="W151" s="289"/>
      <c r="X151" s="289"/>
      <c r="Y151" s="289"/>
      <c r="Z151" s="289"/>
      <c r="AA151" s="289"/>
      <c r="AB151" s="175">
        <f t="shared" si="264"/>
        <v>0</v>
      </c>
      <c r="AC151" s="175">
        <f t="shared" si="265"/>
        <v>0</v>
      </c>
      <c r="AD151" s="175">
        <f>SUMIFS('1-2 人员岗位信息'!F:F,'1-2 人员岗位信息'!$C:$C,"劳务派遣",'1-2 人员岗位信息'!$B:$B,$D151)</f>
        <v>0</v>
      </c>
      <c r="AE151" s="297"/>
      <c r="AF151" s="175">
        <f t="shared" si="266"/>
        <v>0</v>
      </c>
      <c r="AG151" s="175">
        <f>SUMIFS('1-2 人员岗位信息'!G:G,'1-2 人员岗位信息'!$C:$C,"劳务派遣",'1-2 人员岗位信息'!$B:$B,$D151)</f>
        <v>0</v>
      </c>
      <c r="AH151" s="297"/>
      <c r="AI151" s="175">
        <f t="shared" si="267"/>
        <v>0</v>
      </c>
      <c r="AJ151" s="175">
        <f>SUMIFS('1-2 人员岗位信息'!H:H,'1-2 人员岗位信息'!$C:$C,"劳务派遣",'1-2 人员岗位信息'!$B:$B,$D151)</f>
        <v>0</v>
      </c>
      <c r="AK151" s="297"/>
      <c r="AL151" s="175">
        <f t="shared" si="268"/>
        <v>0</v>
      </c>
      <c r="AM151" s="175">
        <f>SUMIFS('1-2 人员岗位信息'!I:I,'1-2 人员岗位信息'!$C:$C,"劳务派遣",'1-2 人员岗位信息'!$B:$B,$D151)</f>
        <v>0</v>
      </c>
      <c r="AN151" s="297"/>
      <c r="AO151" s="175">
        <f t="shared" si="269"/>
        <v>0</v>
      </c>
      <c r="AP151" s="175">
        <f>SUMIFS('1-2 人员岗位信息'!J:J,'1-2 人员岗位信息'!$C:$C,"劳务派遣",'1-2 人员岗位信息'!$B:$B,$D151)</f>
        <v>0</v>
      </c>
      <c r="AQ151" s="297"/>
      <c r="AR151" s="175">
        <f t="shared" si="270"/>
        <v>0</v>
      </c>
      <c r="AS151" s="175">
        <f>SUMIFS('1-2 人员岗位信息'!K:K,'1-2 人员岗位信息'!$C:$C,"劳务派遣",'1-2 人员岗位信息'!$B:$B,$D151)</f>
        <v>0</v>
      </c>
      <c r="AT151" s="297"/>
      <c r="AU151" s="175">
        <f t="shared" si="271"/>
        <v>0</v>
      </c>
      <c r="AV151" s="175">
        <f>SUMIFS('1-2 人员岗位信息'!L:L,'1-2 人员岗位信息'!$C:$C,"劳务派遣",'1-2 人员岗位信息'!$B:$B,$D151)</f>
        <v>0</v>
      </c>
      <c r="AW151" s="297"/>
      <c r="AX151" s="175">
        <f t="shared" si="272"/>
        <v>0</v>
      </c>
      <c r="AY151" s="175">
        <f>SUMIFS('1-2 人员岗位信息'!M:M,'1-2 人员岗位信息'!$C:$C,"劳务派遣",'1-2 人员岗位信息'!$B:$B,$D151)</f>
        <v>0</v>
      </c>
      <c r="AZ151" s="297"/>
      <c r="BA151" s="175">
        <f t="shared" si="273"/>
        <v>0</v>
      </c>
      <c r="BB151" s="175">
        <f>SUMIFS('1-2 人员岗位信息'!N:N,'1-2 人员岗位信息'!$C:$C,"劳务派遣",'1-2 人员岗位信息'!$B:$B,$D151)</f>
        <v>0</v>
      </c>
      <c r="BC151" s="297"/>
      <c r="BD151" s="175">
        <f t="shared" si="274"/>
        <v>0</v>
      </c>
      <c r="BE151" s="175">
        <f>SUMIFS('1-2 人员岗位信息'!O:O,'1-2 人员岗位信息'!$C:$C,"劳务派遣",'1-2 人员岗位信息'!$B:$B,$D151)</f>
        <v>0</v>
      </c>
      <c r="BF151" s="297"/>
      <c r="BG151" s="175">
        <f t="shared" si="275"/>
        <v>0</v>
      </c>
      <c r="BH151" s="175">
        <f>SUMIFS('1-2 人员岗位信息'!P:P,'1-2 人员岗位信息'!$C:$C,"劳务派遣",'1-2 人员岗位信息'!$B:$B,$D151)</f>
        <v>0</v>
      </c>
      <c r="BI151" s="297"/>
      <c r="BJ151" s="175">
        <f t="shared" si="276"/>
        <v>0</v>
      </c>
      <c r="BK151" s="175">
        <f>SUMIFS('1-2 人员岗位信息'!Q:Q,'1-2 人员岗位信息'!$C:$C,"劳务派遣",'1-2 人员岗位信息'!$B:$B,$D151)</f>
        <v>0</v>
      </c>
      <c r="BL151" s="306"/>
      <c r="BM151" s="310"/>
      <c r="BN151" s="314"/>
    </row>
    <row r="152" s="262" customFormat="1" ht="33.95" hidden="1" customHeight="1" outlineLevel="5" spans="2:66">
      <c r="B152" s="175" t="s">
        <v>747</v>
      </c>
      <c r="C152" s="282" t="s">
        <v>1000</v>
      </c>
      <c r="D152" s="262" t="s">
        <v>991</v>
      </c>
      <c r="E152" s="175" t="s">
        <v>1001</v>
      </c>
      <c r="F152" s="175"/>
      <c r="G152" s="175" t="s">
        <v>751</v>
      </c>
      <c r="H152" s="175">
        <f t="shared" si="260"/>
        <v>0</v>
      </c>
      <c r="I152" s="175" t="s">
        <v>752</v>
      </c>
      <c r="J152" s="175" t="e">
        <f t="shared" si="261"/>
        <v>#DIV/0!</v>
      </c>
      <c r="K152" s="175" t="s">
        <v>753</v>
      </c>
      <c r="L152" s="175" t="e">
        <f t="shared" si="262"/>
        <v>#DIV/0!</v>
      </c>
      <c r="M152" s="175" t="s">
        <v>754</v>
      </c>
      <c r="N152" s="175">
        <f t="shared" si="263"/>
        <v>0</v>
      </c>
      <c r="O152" s="175"/>
      <c r="P152" s="289"/>
      <c r="Q152" s="289"/>
      <c r="R152" s="289"/>
      <c r="S152" s="289"/>
      <c r="T152" s="289"/>
      <c r="U152" s="289"/>
      <c r="V152" s="289"/>
      <c r="W152" s="289"/>
      <c r="X152" s="289"/>
      <c r="Y152" s="289"/>
      <c r="Z152" s="289"/>
      <c r="AA152" s="289"/>
      <c r="AB152" s="175">
        <f t="shared" si="264"/>
        <v>0</v>
      </c>
      <c r="AC152" s="175">
        <f t="shared" si="265"/>
        <v>0</v>
      </c>
      <c r="AD152" s="175">
        <f>SUMIFS('1-2 人员岗位信息'!F:F,'1-2 人员岗位信息'!$C:$C,"劳务派遣",'1-2 人员岗位信息'!$B:$B,$D152)</f>
        <v>0</v>
      </c>
      <c r="AE152" s="297"/>
      <c r="AF152" s="175">
        <f t="shared" si="266"/>
        <v>0</v>
      </c>
      <c r="AG152" s="175">
        <f>SUMIFS('1-2 人员岗位信息'!G:G,'1-2 人员岗位信息'!$C:$C,"劳务派遣",'1-2 人员岗位信息'!$B:$B,$D152)</f>
        <v>0</v>
      </c>
      <c r="AH152" s="297"/>
      <c r="AI152" s="175">
        <f t="shared" si="267"/>
        <v>0</v>
      </c>
      <c r="AJ152" s="175">
        <f>SUMIFS('1-2 人员岗位信息'!H:H,'1-2 人员岗位信息'!$C:$C,"劳务派遣",'1-2 人员岗位信息'!$B:$B,$D152)</f>
        <v>0</v>
      </c>
      <c r="AK152" s="297"/>
      <c r="AL152" s="175">
        <f t="shared" si="268"/>
        <v>0</v>
      </c>
      <c r="AM152" s="175">
        <f>SUMIFS('1-2 人员岗位信息'!I:I,'1-2 人员岗位信息'!$C:$C,"劳务派遣",'1-2 人员岗位信息'!$B:$B,$D152)</f>
        <v>0</v>
      </c>
      <c r="AN152" s="297"/>
      <c r="AO152" s="175">
        <f t="shared" si="269"/>
        <v>0</v>
      </c>
      <c r="AP152" s="175">
        <f>SUMIFS('1-2 人员岗位信息'!J:J,'1-2 人员岗位信息'!$C:$C,"劳务派遣",'1-2 人员岗位信息'!$B:$B,$D152)</f>
        <v>0</v>
      </c>
      <c r="AQ152" s="297"/>
      <c r="AR152" s="175">
        <f t="shared" si="270"/>
        <v>0</v>
      </c>
      <c r="AS152" s="175">
        <f>SUMIFS('1-2 人员岗位信息'!K:K,'1-2 人员岗位信息'!$C:$C,"劳务派遣",'1-2 人员岗位信息'!$B:$B,$D152)</f>
        <v>0</v>
      </c>
      <c r="AT152" s="297"/>
      <c r="AU152" s="175">
        <f t="shared" si="271"/>
        <v>0</v>
      </c>
      <c r="AV152" s="175">
        <f>SUMIFS('1-2 人员岗位信息'!L:L,'1-2 人员岗位信息'!$C:$C,"劳务派遣",'1-2 人员岗位信息'!$B:$B,$D152)</f>
        <v>0</v>
      </c>
      <c r="AW152" s="297"/>
      <c r="AX152" s="175">
        <f t="shared" si="272"/>
        <v>0</v>
      </c>
      <c r="AY152" s="175">
        <f>SUMIFS('1-2 人员岗位信息'!M:M,'1-2 人员岗位信息'!$C:$C,"劳务派遣",'1-2 人员岗位信息'!$B:$B,$D152)</f>
        <v>0</v>
      </c>
      <c r="AZ152" s="297"/>
      <c r="BA152" s="175">
        <f t="shared" si="273"/>
        <v>0</v>
      </c>
      <c r="BB152" s="175">
        <f>SUMIFS('1-2 人员岗位信息'!N:N,'1-2 人员岗位信息'!$C:$C,"劳务派遣",'1-2 人员岗位信息'!$B:$B,$D152)</f>
        <v>0</v>
      </c>
      <c r="BC152" s="297"/>
      <c r="BD152" s="175">
        <f t="shared" si="274"/>
        <v>0</v>
      </c>
      <c r="BE152" s="175">
        <f>SUMIFS('1-2 人员岗位信息'!O:O,'1-2 人员岗位信息'!$C:$C,"劳务派遣",'1-2 人员岗位信息'!$B:$B,$D152)</f>
        <v>0</v>
      </c>
      <c r="BF152" s="297"/>
      <c r="BG152" s="175">
        <f t="shared" si="275"/>
        <v>0</v>
      </c>
      <c r="BH152" s="175">
        <f>SUMIFS('1-2 人员岗位信息'!P:P,'1-2 人员岗位信息'!$C:$C,"劳务派遣",'1-2 人员岗位信息'!$B:$B,$D152)</f>
        <v>0</v>
      </c>
      <c r="BI152" s="297"/>
      <c r="BJ152" s="175">
        <f t="shared" si="276"/>
        <v>0</v>
      </c>
      <c r="BK152" s="175">
        <f>SUMIFS('1-2 人员岗位信息'!Q:Q,'1-2 人员岗位信息'!$C:$C,"劳务派遣",'1-2 人员岗位信息'!$B:$B,$D152)</f>
        <v>0</v>
      </c>
      <c r="BL152" s="306"/>
      <c r="BM152" s="310"/>
      <c r="BN152" s="314"/>
    </row>
    <row r="153" s="262" customFormat="1" ht="33.95" hidden="1" customHeight="1" outlineLevel="5" spans="2:66">
      <c r="B153" s="175" t="s">
        <v>747</v>
      </c>
      <c r="C153" s="282" t="s">
        <v>1002</v>
      </c>
      <c r="D153" s="262" t="s">
        <v>994</v>
      </c>
      <c r="E153" s="175" t="s">
        <v>1003</v>
      </c>
      <c r="F153" s="175"/>
      <c r="G153" s="175" t="s">
        <v>751</v>
      </c>
      <c r="H153" s="175">
        <f t="shared" si="260"/>
        <v>0</v>
      </c>
      <c r="I153" s="175" t="s">
        <v>752</v>
      </c>
      <c r="J153" s="175" t="e">
        <f t="shared" si="261"/>
        <v>#DIV/0!</v>
      </c>
      <c r="K153" s="175" t="s">
        <v>753</v>
      </c>
      <c r="L153" s="175" t="e">
        <f t="shared" si="262"/>
        <v>#DIV/0!</v>
      </c>
      <c r="M153" s="175" t="s">
        <v>754</v>
      </c>
      <c r="N153" s="175">
        <f t="shared" si="263"/>
        <v>0</v>
      </c>
      <c r="O153" s="175"/>
      <c r="P153" s="289"/>
      <c r="Q153" s="289"/>
      <c r="R153" s="289"/>
      <c r="S153" s="289"/>
      <c r="T153" s="289"/>
      <c r="U153" s="289"/>
      <c r="V153" s="289"/>
      <c r="W153" s="289"/>
      <c r="X153" s="289"/>
      <c r="Y153" s="289"/>
      <c r="Z153" s="289"/>
      <c r="AA153" s="289"/>
      <c r="AB153" s="175">
        <f t="shared" si="264"/>
        <v>0</v>
      </c>
      <c r="AC153" s="175">
        <f t="shared" si="265"/>
        <v>0</v>
      </c>
      <c r="AD153" s="175">
        <f>SUMIFS('1-2 人员岗位信息'!F:F,'1-2 人员岗位信息'!$C:$C,"劳务派遣",'1-2 人员岗位信息'!$B:$B,$D153)</f>
        <v>0</v>
      </c>
      <c r="AE153" s="297"/>
      <c r="AF153" s="175">
        <f t="shared" si="266"/>
        <v>0</v>
      </c>
      <c r="AG153" s="175">
        <f>SUMIFS('1-2 人员岗位信息'!G:G,'1-2 人员岗位信息'!$C:$C,"劳务派遣",'1-2 人员岗位信息'!$B:$B,$D153)</f>
        <v>0</v>
      </c>
      <c r="AH153" s="297"/>
      <c r="AI153" s="175">
        <f t="shared" si="267"/>
        <v>0</v>
      </c>
      <c r="AJ153" s="175">
        <f>SUMIFS('1-2 人员岗位信息'!H:H,'1-2 人员岗位信息'!$C:$C,"劳务派遣",'1-2 人员岗位信息'!$B:$B,$D153)</f>
        <v>0</v>
      </c>
      <c r="AK153" s="297"/>
      <c r="AL153" s="175">
        <f t="shared" si="268"/>
        <v>0</v>
      </c>
      <c r="AM153" s="175">
        <f>SUMIFS('1-2 人员岗位信息'!I:I,'1-2 人员岗位信息'!$C:$C,"劳务派遣",'1-2 人员岗位信息'!$B:$B,$D153)</f>
        <v>0</v>
      </c>
      <c r="AN153" s="297"/>
      <c r="AO153" s="175">
        <f t="shared" si="269"/>
        <v>0</v>
      </c>
      <c r="AP153" s="175">
        <f>SUMIFS('1-2 人员岗位信息'!J:J,'1-2 人员岗位信息'!$C:$C,"劳务派遣",'1-2 人员岗位信息'!$B:$B,$D153)</f>
        <v>0</v>
      </c>
      <c r="AQ153" s="297"/>
      <c r="AR153" s="175">
        <f t="shared" si="270"/>
        <v>0</v>
      </c>
      <c r="AS153" s="175">
        <f>SUMIFS('1-2 人员岗位信息'!K:K,'1-2 人员岗位信息'!$C:$C,"劳务派遣",'1-2 人员岗位信息'!$B:$B,$D153)</f>
        <v>0</v>
      </c>
      <c r="AT153" s="297"/>
      <c r="AU153" s="175">
        <f t="shared" si="271"/>
        <v>0</v>
      </c>
      <c r="AV153" s="175">
        <f>SUMIFS('1-2 人员岗位信息'!L:L,'1-2 人员岗位信息'!$C:$C,"劳务派遣",'1-2 人员岗位信息'!$B:$B,$D153)</f>
        <v>0</v>
      </c>
      <c r="AW153" s="297"/>
      <c r="AX153" s="175">
        <f t="shared" si="272"/>
        <v>0</v>
      </c>
      <c r="AY153" s="175">
        <f>SUMIFS('1-2 人员岗位信息'!M:M,'1-2 人员岗位信息'!$C:$C,"劳务派遣",'1-2 人员岗位信息'!$B:$B,$D153)</f>
        <v>0</v>
      </c>
      <c r="AZ153" s="297"/>
      <c r="BA153" s="175">
        <f t="shared" si="273"/>
        <v>0</v>
      </c>
      <c r="BB153" s="175">
        <f>SUMIFS('1-2 人员岗位信息'!N:N,'1-2 人员岗位信息'!$C:$C,"劳务派遣",'1-2 人员岗位信息'!$B:$B,$D153)</f>
        <v>0</v>
      </c>
      <c r="BC153" s="297"/>
      <c r="BD153" s="175">
        <f t="shared" si="274"/>
        <v>0</v>
      </c>
      <c r="BE153" s="175">
        <f>SUMIFS('1-2 人员岗位信息'!O:O,'1-2 人员岗位信息'!$C:$C,"劳务派遣",'1-2 人员岗位信息'!$B:$B,$D153)</f>
        <v>0</v>
      </c>
      <c r="BF153" s="297"/>
      <c r="BG153" s="175">
        <f t="shared" si="275"/>
        <v>0</v>
      </c>
      <c r="BH153" s="175">
        <f>SUMIFS('1-2 人员岗位信息'!P:P,'1-2 人员岗位信息'!$C:$C,"劳务派遣",'1-2 人员岗位信息'!$B:$B,$D153)</f>
        <v>0</v>
      </c>
      <c r="BI153" s="297"/>
      <c r="BJ153" s="175">
        <f t="shared" si="276"/>
        <v>0</v>
      </c>
      <c r="BK153" s="175">
        <f>SUMIFS('1-2 人员岗位信息'!Q:Q,'1-2 人员岗位信息'!$C:$C,"劳务派遣",'1-2 人员岗位信息'!$B:$B,$D153)</f>
        <v>0</v>
      </c>
      <c r="BL153" s="306"/>
      <c r="BM153" s="310"/>
      <c r="BN153" s="314"/>
    </row>
    <row r="154" s="118" customFormat="1" ht="33.95" hidden="1" customHeight="1" outlineLevel="4" collapsed="1" spans="2:66">
      <c r="B154" s="119" t="s">
        <v>742</v>
      </c>
      <c r="C154" s="120" t="s">
        <v>1004</v>
      </c>
      <c r="D154" s="118" t="s">
        <v>19</v>
      </c>
      <c r="E154" s="119"/>
      <c r="F154" s="119"/>
      <c r="G154" s="119"/>
      <c r="H154" s="119">
        <f>SUM(H155:H158)</f>
        <v>0</v>
      </c>
      <c r="I154" s="119"/>
      <c r="J154" s="119"/>
      <c r="K154" s="119"/>
      <c r="L154" s="119"/>
      <c r="M154" s="119"/>
      <c r="N154" s="119"/>
      <c r="O154" s="119"/>
      <c r="P154" s="288"/>
      <c r="Q154" s="288"/>
      <c r="R154" s="288"/>
      <c r="S154" s="288"/>
      <c r="T154" s="288"/>
      <c r="U154" s="288"/>
      <c r="V154" s="288"/>
      <c r="W154" s="288"/>
      <c r="X154" s="288"/>
      <c r="Y154" s="288"/>
      <c r="Z154" s="288"/>
      <c r="AA154" s="288"/>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5"/>
      <c r="BM154" s="310"/>
      <c r="BN154" s="313"/>
    </row>
    <row r="155" s="262" customFormat="1" ht="33.95" hidden="1" customHeight="1" outlineLevel="5" spans="2:66">
      <c r="B155" s="175" t="s">
        <v>747</v>
      </c>
      <c r="C155" s="282" t="s">
        <v>1005</v>
      </c>
      <c r="D155" s="262" t="s">
        <v>1006</v>
      </c>
      <c r="E155" s="175" t="s">
        <v>1007</v>
      </c>
      <c r="F155" s="175"/>
      <c r="G155" s="175" t="s">
        <v>751</v>
      </c>
      <c r="H155" s="175">
        <f t="shared" ref="H155:H158" si="278">AB155</f>
        <v>0</v>
      </c>
      <c r="I155" s="175" t="s">
        <v>752</v>
      </c>
      <c r="J155" s="175" t="e">
        <f t="shared" ref="J155:J158" si="279">SUM(AD155,AG155,AJ155,AM155,AP155,AS155,AV155,AY155,BB155,BE155,BH155,BK155)/N155</f>
        <v>#DIV/0!</v>
      </c>
      <c r="K155" s="175" t="s">
        <v>753</v>
      </c>
      <c r="L155" s="175" t="e">
        <f t="shared" ref="L155:L158" si="280">H155/N155/J155</f>
        <v>#DIV/0!</v>
      </c>
      <c r="M155" s="175" t="s">
        <v>754</v>
      </c>
      <c r="N155" s="175">
        <f t="shared" ref="N155:N158" si="281">COUNTIF(AD155,"&gt;0")+COUNTIF(AG155,"&gt;0")+COUNTIF(AJ155,"&gt;0")+COUNTIF(AM155,"&gt;0")+COUNTIF(AP155,"&gt;0")+COUNTIF(AS155,"&gt;0")+COUNTIF(AV155,"&gt;0")+COUNTIF(AY155,"&gt;0")+COUNTIF(BB155,"&gt;0")+COUNTIF(BE155,"&gt;0")+COUNTIF(BH155,"&gt;0")+COUNTIF(BK155,"&gt;0")</f>
        <v>0</v>
      </c>
      <c r="O155" s="175"/>
      <c r="P155" s="289"/>
      <c r="Q155" s="289"/>
      <c r="R155" s="289"/>
      <c r="S155" s="289"/>
      <c r="T155" s="289"/>
      <c r="U155" s="289"/>
      <c r="V155" s="289"/>
      <c r="W155" s="289"/>
      <c r="X155" s="289"/>
      <c r="Y155" s="289"/>
      <c r="Z155" s="289"/>
      <c r="AA155" s="289"/>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297"/>
      <c r="AF155" s="175">
        <f t="shared" ref="AF155:AF158" si="284">AG155*AH155</f>
        <v>0</v>
      </c>
      <c r="AG155" s="175">
        <f>SUMIFS('1-2 人员岗位信息'!G:G,'1-2 人员岗位信息'!$C:$C,"专业外包",'1-2 人员岗位信息'!$B:$B,$D155)</f>
        <v>0</v>
      </c>
      <c r="AH155" s="297"/>
      <c r="AI155" s="175">
        <f t="shared" ref="AI155:AI158" si="285">AJ155*AK155</f>
        <v>0</v>
      </c>
      <c r="AJ155" s="175">
        <f>SUMIFS('1-2 人员岗位信息'!H:H,'1-2 人员岗位信息'!$C:$C,"专业外包",'1-2 人员岗位信息'!$B:$B,$D155)</f>
        <v>0</v>
      </c>
      <c r="AK155" s="297"/>
      <c r="AL155" s="175">
        <f t="shared" ref="AL155:AL158" si="286">AM155*AN155</f>
        <v>0</v>
      </c>
      <c r="AM155" s="175">
        <f>SUMIFS('1-2 人员岗位信息'!I:I,'1-2 人员岗位信息'!$C:$C,"专业外包",'1-2 人员岗位信息'!$B:$B,$D155)</f>
        <v>0</v>
      </c>
      <c r="AN155" s="297"/>
      <c r="AO155" s="175">
        <f t="shared" ref="AO155:AO158" si="287">AP155*AQ155</f>
        <v>0</v>
      </c>
      <c r="AP155" s="175">
        <f>SUMIFS('1-2 人员岗位信息'!J:J,'1-2 人员岗位信息'!$C:$C,"专业外包",'1-2 人员岗位信息'!$B:$B,$D155)</f>
        <v>0</v>
      </c>
      <c r="AQ155" s="297"/>
      <c r="AR155" s="175">
        <f t="shared" ref="AR155:AR158" si="288">AS155*AT155</f>
        <v>0</v>
      </c>
      <c r="AS155" s="175">
        <f>SUMIFS('1-2 人员岗位信息'!K:K,'1-2 人员岗位信息'!$C:$C,"专业外包",'1-2 人员岗位信息'!$B:$B,$D155)</f>
        <v>0</v>
      </c>
      <c r="AT155" s="297"/>
      <c r="AU155" s="175">
        <f t="shared" ref="AU155:AU158" si="289">AV155*AW155</f>
        <v>0</v>
      </c>
      <c r="AV155" s="175">
        <f>SUMIFS('1-2 人员岗位信息'!L:L,'1-2 人员岗位信息'!$C:$C,"专业外包",'1-2 人员岗位信息'!$B:$B,$D155)</f>
        <v>0</v>
      </c>
      <c r="AW155" s="297"/>
      <c r="AX155" s="175">
        <f t="shared" ref="AX155:AX158" si="290">AY155*AZ155</f>
        <v>0</v>
      </c>
      <c r="AY155" s="175">
        <f>SUMIFS('1-2 人员岗位信息'!M:M,'1-2 人员岗位信息'!$C:$C,"专业外包",'1-2 人员岗位信息'!$B:$B,$D155)</f>
        <v>0</v>
      </c>
      <c r="AZ155" s="297"/>
      <c r="BA155" s="175">
        <f t="shared" ref="BA155:BA158" si="291">BB155*BC155</f>
        <v>0</v>
      </c>
      <c r="BB155" s="175">
        <f>SUMIFS('1-2 人员岗位信息'!N:N,'1-2 人员岗位信息'!$C:$C,"专业外包",'1-2 人员岗位信息'!$B:$B,$D155)</f>
        <v>0</v>
      </c>
      <c r="BC155" s="297"/>
      <c r="BD155" s="175">
        <f t="shared" ref="BD155:BD158" si="292">BE155*BF155</f>
        <v>0</v>
      </c>
      <c r="BE155" s="175">
        <f>SUMIFS('1-2 人员岗位信息'!O:O,'1-2 人员岗位信息'!$C:$C,"专业外包",'1-2 人员岗位信息'!$B:$B,$D155)</f>
        <v>0</v>
      </c>
      <c r="BF155" s="297"/>
      <c r="BG155" s="175">
        <f t="shared" ref="BG155:BG158" si="293">BH155*BI155</f>
        <v>0</v>
      </c>
      <c r="BH155" s="175">
        <f>SUMIFS('1-2 人员岗位信息'!P:P,'1-2 人员岗位信息'!$C:$C,"专业外包",'1-2 人员岗位信息'!$B:$B,$D155)</f>
        <v>0</v>
      </c>
      <c r="BI155" s="297"/>
      <c r="BJ155" s="175">
        <f t="shared" ref="BJ155:BJ158" si="294">BK155*BL155</f>
        <v>0</v>
      </c>
      <c r="BK155" s="175">
        <f>SUMIFS('1-2 人员岗位信息'!Q:Q,'1-2 人员岗位信息'!$C:$C,"专业外包",'1-2 人员岗位信息'!$B:$B,$D155)</f>
        <v>0</v>
      </c>
      <c r="BL155" s="306"/>
      <c r="BM155" s="310"/>
      <c r="BN155" s="314"/>
    </row>
    <row r="156" s="262" customFormat="1" ht="33.95" hidden="1" customHeight="1" outlineLevel="5" spans="2:66">
      <c r="B156" s="175" t="s">
        <v>747</v>
      </c>
      <c r="C156" s="282" t="s">
        <v>1008</v>
      </c>
      <c r="D156" s="262" t="s">
        <v>988</v>
      </c>
      <c r="E156" s="175" t="s">
        <v>1009</v>
      </c>
      <c r="F156" s="175"/>
      <c r="G156" s="175" t="s">
        <v>751</v>
      </c>
      <c r="H156" s="175">
        <f t="shared" si="278"/>
        <v>0</v>
      </c>
      <c r="I156" s="175" t="s">
        <v>752</v>
      </c>
      <c r="J156" s="175" t="e">
        <f t="shared" si="279"/>
        <v>#DIV/0!</v>
      </c>
      <c r="K156" s="175" t="s">
        <v>753</v>
      </c>
      <c r="L156" s="175" t="e">
        <f t="shared" si="280"/>
        <v>#DIV/0!</v>
      </c>
      <c r="M156" s="175" t="s">
        <v>754</v>
      </c>
      <c r="N156" s="175">
        <f t="shared" si="281"/>
        <v>0</v>
      </c>
      <c r="O156" s="175"/>
      <c r="P156" s="289"/>
      <c r="Q156" s="289"/>
      <c r="R156" s="289"/>
      <c r="S156" s="289"/>
      <c r="T156" s="289"/>
      <c r="U156" s="289"/>
      <c r="V156" s="289"/>
      <c r="W156" s="289"/>
      <c r="X156" s="289"/>
      <c r="Y156" s="289"/>
      <c r="Z156" s="289"/>
      <c r="AA156" s="289"/>
      <c r="AB156" s="175">
        <f t="shared" si="282"/>
        <v>0</v>
      </c>
      <c r="AC156" s="175">
        <f t="shared" si="283"/>
        <v>0</v>
      </c>
      <c r="AD156" s="175">
        <f>SUMIFS('1-2 人员岗位信息'!F:F,'1-2 人员岗位信息'!$C:$C,"专业外包",'1-2 人员岗位信息'!$B:$B,$D156)</f>
        <v>0</v>
      </c>
      <c r="AE156" s="297"/>
      <c r="AF156" s="175">
        <f t="shared" si="284"/>
        <v>0</v>
      </c>
      <c r="AG156" s="175">
        <f>SUMIFS('1-2 人员岗位信息'!G:G,'1-2 人员岗位信息'!$C:$C,"专业外包",'1-2 人员岗位信息'!$B:$B,$D156)</f>
        <v>0</v>
      </c>
      <c r="AH156" s="297"/>
      <c r="AI156" s="175">
        <f t="shared" si="285"/>
        <v>0</v>
      </c>
      <c r="AJ156" s="175">
        <f>SUMIFS('1-2 人员岗位信息'!H:H,'1-2 人员岗位信息'!$C:$C,"专业外包",'1-2 人员岗位信息'!$B:$B,$D156)</f>
        <v>0</v>
      </c>
      <c r="AK156" s="297"/>
      <c r="AL156" s="175">
        <f t="shared" si="286"/>
        <v>0</v>
      </c>
      <c r="AM156" s="175">
        <f>SUMIFS('1-2 人员岗位信息'!I:I,'1-2 人员岗位信息'!$C:$C,"专业外包",'1-2 人员岗位信息'!$B:$B,$D156)</f>
        <v>0</v>
      </c>
      <c r="AN156" s="297"/>
      <c r="AO156" s="175">
        <f t="shared" si="287"/>
        <v>0</v>
      </c>
      <c r="AP156" s="175">
        <f>SUMIFS('1-2 人员岗位信息'!J:J,'1-2 人员岗位信息'!$C:$C,"专业外包",'1-2 人员岗位信息'!$B:$B,$D156)</f>
        <v>0</v>
      </c>
      <c r="AQ156" s="297"/>
      <c r="AR156" s="175">
        <f t="shared" si="288"/>
        <v>0</v>
      </c>
      <c r="AS156" s="175">
        <f>SUMIFS('1-2 人员岗位信息'!K:K,'1-2 人员岗位信息'!$C:$C,"专业外包",'1-2 人员岗位信息'!$B:$B,$D156)</f>
        <v>0</v>
      </c>
      <c r="AT156" s="297"/>
      <c r="AU156" s="175">
        <f t="shared" si="289"/>
        <v>0</v>
      </c>
      <c r="AV156" s="175">
        <f>SUMIFS('1-2 人员岗位信息'!L:L,'1-2 人员岗位信息'!$C:$C,"专业外包",'1-2 人员岗位信息'!$B:$B,$D156)</f>
        <v>0</v>
      </c>
      <c r="AW156" s="297"/>
      <c r="AX156" s="175">
        <f t="shared" si="290"/>
        <v>0</v>
      </c>
      <c r="AY156" s="175">
        <f>SUMIFS('1-2 人员岗位信息'!M:M,'1-2 人员岗位信息'!$C:$C,"专业外包",'1-2 人员岗位信息'!$B:$B,$D156)</f>
        <v>0</v>
      </c>
      <c r="AZ156" s="297"/>
      <c r="BA156" s="175">
        <f t="shared" si="291"/>
        <v>0</v>
      </c>
      <c r="BB156" s="175">
        <f>SUMIFS('1-2 人员岗位信息'!N:N,'1-2 人员岗位信息'!$C:$C,"专业外包",'1-2 人员岗位信息'!$B:$B,$D156)</f>
        <v>0</v>
      </c>
      <c r="BC156" s="297"/>
      <c r="BD156" s="175">
        <f t="shared" si="292"/>
        <v>0</v>
      </c>
      <c r="BE156" s="175">
        <f>SUMIFS('1-2 人员岗位信息'!O:O,'1-2 人员岗位信息'!$C:$C,"专业外包",'1-2 人员岗位信息'!$B:$B,$D156)</f>
        <v>0</v>
      </c>
      <c r="BF156" s="297"/>
      <c r="BG156" s="175">
        <f t="shared" si="293"/>
        <v>0</v>
      </c>
      <c r="BH156" s="175">
        <f>SUMIFS('1-2 人员岗位信息'!P:P,'1-2 人员岗位信息'!$C:$C,"专业外包",'1-2 人员岗位信息'!$B:$B,$D156)</f>
        <v>0</v>
      </c>
      <c r="BI156" s="297"/>
      <c r="BJ156" s="175">
        <f t="shared" si="294"/>
        <v>0</v>
      </c>
      <c r="BK156" s="175">
        <f>SUMIFS('1-2 人员岗位信息'!Q:Q,'1-2 人员岗位信息'!$C:$C,"专业外包",'1-2 人员岗位信息'!$B:$B,$D156)</f>
        <v>0</v>
      </c>
      <c r="BL156" s="306"/>
      <c r="BM156" s="310"/>
      <c r="BN156" s="314"/>
    </row>
    <row r="157" s="262" customFormat="1" ht="33.95" hidden="1" customHeight="1" outlineLevel="5" spans="2:66">
      <c r="B157" s="175" t="s">
        <v>747</v>
      </c>
      <c r="C157" s="282" t="s">
        <v>1010</v>
      </c>
      <c r="D157" s="262" t="s">
        <v>991</v>
      </c>
      <c r="E157" s="175" t="s">
        <v>1011</v>
      </c>
      <c r="F157" s="175"/>
      <c r="G157" s="175" t="s">
        <v>751</v>
      </c>
      <c r="H157" s="175">
        <f t="shared" si="278"/>
        <v>0</v>
      </c>
      <c r="I157" s="175" t="s">
        <v>752</v>
      </c>
      <c r="J157" s="175" t="e">
        <f t="shared" si="279"/>
        <v>#DIV/0!</v>
      </c>
      <c r="K157" s="175" t="s">
        <v>753</v>
      </c>
      <c r="L157" s="175" t="e">
        <f t="shared" si="280"/>
        <v>#DIV/0!</v>
      </c>
      <c r="M157" s="175" t="s">
        <v>754</v>
      </c>
      <c r="N157" s="175">
        <f t="shared" si="281"/>
        <v>0</v>
      </c>
      <c r="O157" s="175"/>
      <c r="P157" s="289"/>
      <c r="Q157" s="289"/>
      <c r="R157" s="289"/>
      <c r="S157" s="289"/>
      <c r="T157" s="289"/>
      <c r="U157" s="289"/>
      <c r="V157" s="289"/>
      <c r="W157" s="289"/>
      <c r="X157" s="289"/>
      <c r="Y157" s="289"/>
      <c r="Z157" s="289"/>
      <c r="AA157" s="289"/>
      <c r="AB157" s="175">
        <f t="shared" si="282"/>
        <v>0</v>
      </c>
      <c r="AC157" s="175">
        <f t="shared" si="283"/>
        <v>0</v>
      </c>
      <c r="AD157" s="175">
        <f>SUMIFS('1-2 人员岗位信息'!F:F,'1-2 人员岗位信息'!$C:$C,"专业外包",'1-2 人员岗位信息'!$B:$B,$D157)</f>
        <v>0</v>
      </c>
      <c r="AE157" s="297"/>
      <c r="AF157" s="175">
        <f t="shared" si="284"/>
        <v>0</v>
      </c>
      <c r="AG157" s="175">
        <f>SUMIFS('1-2 人员岗位信息'!G:G,'1-2 人员岗位信息'!$C:$C,"专业外包",'1-2 人员岗位信息'!$B:$B,$D157)</f>
        <v>0</v>
      </c>
      <c r="AH157" s="297"/>
      <c r="AI157" s="175">
        <f t="shared" si="285"/>
        <v>0</v>
      </c>
      <c r="AJ157" s="175">
        <f>SUMIFS('1-2 人员岗位信息'!H:H,'1-2 人员岗位信息'!$C:$C,"专业外包",'1-2 人员岗位信息'!$B:$B,$D157)</f>
        <v>0</v>
      </c>
      <c r="AK157" s="297"/>
      <c r="AL157" s="175">
        <f t="shared" si="286"/>
        <v>0</v>
      </c>
      <c r="AM157" s="175">
        <f>SUMIFS('1-2 人员岗位信息'!I:I,'1-2 人员岗位信息'!$C:$C,"专业外包",'1-2 人员岗位信息'!$B:$B,$D157)</f>
        <v>0</v>
      </c>
      <c r="AN157" s="297"/>
      <c r="AO157" s="175">
        <f t="shared" si="287"/>
        <v>0</v>
      </c>
      <c r="AP157" s="175">
        <f>SUMIFS('1-2 人员岗位信息'!J:J,'1-2 人员岗位信息'!$C:$C,"专业外包",'1-2 人员岗位信息'!$B:$B,$D157)</f>
        <v>0</v>
      </c>
      <c r="AQ157" s="297"/>
      <c r="AR157" s="175">
        <f t="shared" si="288"/>
        <v>0</v>
      </c>
      <c r="AS157" s="175">
        <f>SUMIFS('1-2 人员岗位信息'!K:K,'1-2 人员岗位信息'!$C:$C,"专业外包",'1-2 人员岗位信息'!$B:$B,$D157)</f>
        <v>0</v>
      </c>
      <c r="AT157" s="297"/>
      <c r="AU157" s="175">
        <f t="shared" si="289"/>
        <v>0</v>
      </c>
      <c r="AV157" s="175">
        <f>SUMIFS('1-2 人员岗位信息'!L:L,'1-2 人员岗位信息'!$C:$C,"专业外包",'1-2 人员岗位信息'!$B:$B,$D157)</f>
        <v>0</v>
      </c>
      <c r="AW157" s="297"/>
      <c r="AX157" s="175">
        <f t="shared" si="290"/>
        <v>0</v>
      </c>
      <c r="AY157" s="175">
        <f>SUMIFS('1-2 人员岗位信息'!M:M,'1-2 人员岗位信息'!$C:$C,"专业外包",'1-2 人员岗位信息'!$B:$B,$D157)</f>
        <v>0</v>
      </c>
      <c r="AZ157" s="297"/>
      <c r="BA157" s="175">
        <f t="shared" si="291"/>
        <v>0</v>
      </c>
      <c r="BB157" s="175">
        <f>SUMIFS('1-2 人员岗位信息'!N:N,'1-2 人员岗位信息'!$C:$C,"专业外包",'1-2 人员岗位信息'!$B:$B,$D157)</f>
        <v>0</v>
      </c>
      <c r="BC157" s="297"/>
      <c r="BD157" s="175">
        <f t="shared" si="292"/>
        <v>0</v>
      </c>
      <c r="BE157" s="175">
        <f>SUMIFS('1-2 人员岗位信息'!O:O,'1-2 人员岗位信息'!$C:$C,"专业外包",'1-2 人员岗位信息'!$B:$B,$D157)</f>
        <v>0</v>
      </c>
      <c r="BF157" s="297"/>
      <c r="BG157" s="175">
        <f t="shared" si="293"/>
        <v>0</v>
      </c>
      <c r="BH157" s="175">
        <f>SUMIFS('1-2 人员岗位信息'!P:P,'1-2 人员岗位信息'!$C:$C,"专业外包",'1-2 人员岗位信息'!$B:$B,$D157)</f>
        <v>0</v>
      </c>
      <c r="BI157" s="297"/>
      <c r="BJ157" s="175">
        <f t="shared" si="294"/>
        <v>0</v>
      </c>
      <c r="BK157" s="175">
        <f>SUMIFS('1-2 人员岗位信息'!Q:Q,'1-2 人员岗位信息'!$C:$C,"专业外包",'1-2 人员岗位信息'!$B:$B,$D157)</f>
        <v>0</v>
      </c>
      <c r="BL157" s="306"/>
      <c r="BM157" s="310"/>
      <c r="BN157" s="314"/>
    </row>
    <row r="158" s="262" customFormat="1" ht="33.95" hidden="1" customHeight="1" outlineLevel="5" spans="2:66">
      <c r="B158" s="175" t="s">
        <v>747</v>
      </c>
      <c r="C158" s="282" t="s">
        <v>1012</v>
      </c>
      <c r="D158" s="262" t="s">
        <v>994</v>
      </c>
      <c r="E158" s="175" t="s">
        <v>1013</v>
      </c>
      <c r="F158" s="175"/>
      <c r="G158" s="175" t="s">
        <v>751</v>
      </c>
      <c r="H158" s="175">
        <f t="shared" si="278"/>
        <v>0</v>
      </c>
      <c r="I158" s="175" t="s">
        <v>752</v>
      </c>
      <c r="J158" s="175" t="e">
        <f t="shared" si="279"/>
        <v>#DIV/0!</v>
      </c>
      <c r="K158" s="175" t="s">
        <v>753</v>
      </c>
      <c r="L158" s="175" t="e">
        <f t="shared" si="280"/>
        <v>#DIV/0!</v>
      </c>
      <c r="M158" s="175" t="s">
        <v>754</v>
      </c>
      <c r="N158" s="175">
        <f t="shared" si="281"/>
        <v>0</v>
      </c>
      <c r="O158" s="175"/>
      <c r="P158" s="289"/>
      <c r="Q158" s="289"/>
      <c r="R158" s="289"/>
      <c r="S158" s="289"/>
      <c r="T158" s="289"/>
      <c r="U158" s="289"/>
      <c r="V158" s="289"/>
      <c r="W158" s="289"/>
      <c r="X158" s="289"/>
      <c r="Y158" s="289"/>
      <c r="Z158" s="289"/>
      <c r="AA158" s="289"/>
      <c r="AB158" s="175">
        <f t="shared" si="282"/>
        <v>0</v>
      </c>
      <c r="AC158" s="175">
        <f t="shared" si="283"/>
        <v>0</v>
      </c>
      <c r="AD158" s="175">
        <f>SUMIFS('1-2 人员岗位信息'!F:F,'1-2 人员岗位信息'!$C:$C,"专业外包",'1-2 人员岗位信息'!$B:$B,$D158)</f>
        <v>0</v>
      </c>
      <c r="AE158" s="297"/>
      <c r="AF158" s="175">
        <f t="shared" si="284"/>
        <v>0</v>
      </c>
      <c r="AG158" s="175">
        <f>SUMIFS('1-2 人员岗位信息'!G:G,'1-2 人员岗位信息'!$C:$C,"专业外包",'1-2 人员岗位信息'!$B:$B,$D158)</f>
        <v>0</v>
      </c>
      <c r="AH158" s="297"/>
      <c r="AI158" s="175">
        <f t="shared" si="285"/>
        <v>0</v>
      </c>
      <c r="AJ158" s="175">
        <f>SUMIFS('1-2 人员岗位信息'!H:H,'1-2 人员岗位信息'!$C:$C,"专业外包",'1-2 人员岗位信息'!$B:$B,$D158)</f>
        <v>0</v>
      </c>
      <c r="AK158" s="297"/>
      <c r="AL158" s="175">
        <f t="shared" si="286"/>
        <v>0</v>
      </c>
      <c r="AM158" s="175">
        <f>SUMIFS('1-2 人员岗位信息'!I:I,'1-2 人员岗位信息'!$C:$C,"专业外包",'1-2 人员岗位信息'!$B:$B,$D158)</f>
        <v>0</v>
      </c>
      <c r="AN158" s="297"/>
      <c r="AO158" s="175">
        <f t="shared" si="287"/>
        <v>0</v>
      </c>
      <c r="AP158" s="175">
        <f>SUMIFS('1-2 人员岗位信息'!J:J,'1-2 人员岗位信息'!$C:$C,"专业外包",'1-2 人员岗位信息'!$B:$B,$D158)</f>
        <v>0</v>
      </c>
      <c r="AQ158" s="297"/>
      <c r="AR158" s="175">
        <f t="shared" si="288"/>
        <v>0</v>
      </c>
      <c r="AS158" s="175">
        <f>SUMIFS('1-2 人员岗位信息'!K:K,'1-2 人员岗位信息'!$C:$C,"专业外包",'1-2 人员岗位信息'!$B:$B,$D158)</f>
        <v>0</v>
      </c>
      <c r="AT158" s="297"/>
      <c r="AU158" s="175">
        <f t="shared" si="289"/>
        <v>0</v>
      </c>
      <c r="AV158" s="175">
        <f>SUMIFS('1-2 人员岗位信息'!L:L,'1-2 人员岗位信息'!$C:$C,"专业外包",'1-2 人员岗位信息'!$B:$B,$D158)</f>
        <v>0</v>
      </c>
      <c r="AW158" s="297"/>
      <c r="AX158" s="175">
        <f t="shared" si="290"/>
        <v>0</v>
      </c>
      <c r="AY158" s="175">
        <f>SUMIFS('1-2 人员岗位信息'!M:M,'1-2 人员岗位信息'!$C:$C,"专业外包",'1-2 人员岗位信息'!$B:$B,$D158)</f>
        <v>0</v>
      </c>
      <c r="AZ158" s="297"/>
      <c r="BA158" s="175">
        <f t="shared" si="291"/>
        <v>0</v>
      </c>
      <c r="BB158" s="175">
        <f>SUMIFS('1-2 人员岗位信息'!N:N,'1-2 人员岗位信息'!$C:$C,"专业外包",'1-2 人员岗位信息'!$B:$B,$D158)</f>
        <v>0</v>
      </c>
      <c r="BC158" s="297"/>
      <c r="BD158" s="175">
        <f t="shared" si="292"/>
        <v>0</v>
      </c>
      <c r="BE158" s="175">
        <f>SUMIFS('1-2 人员岗位信息'!O:O,'1-2 人员岗位信息'!$C:$C,"专业外包",'1-2 人员岗位信息'!$B:$B,$D158)</f>
        <v>0</v>
      </c>
      <c r="BF158" s="297"/>
      <c r="BG158" s="175">
        <f t="shared" si="293"/>
        <v>0</v>
      </c>
      <c r="BH158" s="175">
        <f>SUMIFS('1-2 人员岗位信息'!P:P,'1-2 人员岗位信息'!$C:$C,"专业外包",'1-2 人员岗位信息'!$B:$B,$D158)</f>
        <v>0</v>
      </c>
      <c r="BI158" s="297"/>
      <c r="BJ158" s="175">
        <f t="shared" si="294"/>
        <v>0</v>
      </c>
      <c r="BK158" s="175">
        <f>SUMIFS('1-2 人员岗位信息'!Q:Q,'1-2 人员岗位信息'!$C:$C,"专业外包",'1-2 人员岗位信息'!$B:$B,$D158)</f>
        <v>0</v>
      </c>
      <c r="BL158" s="306"/>
      <c r="BM158" s="310"/>
      <c r="BN158" s="314"/>
    </row>
    <row r="159" s="48" customFormat="1" ht="33.95" hidden="1" customHeight="1" outlineLevel="3" collapsed="1" spans="2:66">
      <c r="B159" s="115" t="s">
        <v>742</v>
      </c>
      <c r="C159" s="116" t="s">
        <v>1014</v>
      </c>
      <c r="D159" s="48" t="s">
        <v>1015</v>
      </c>
      <c r="E159" s="115"/>
      <c r="F159" s="115"/>
      <c r="G159" s="115"/>
      <c r="H159" s="115">
        <f>H160+H165+H170+H175</f>
        <v>0</v>
      </c>
      <c r="I159" s="115"/>
      <c r="J159" s="115"/>
      <c r="K159" s="115"/>
      <c r="L159" s="115"/>
      <c r="M159" s="115"/>
      <c r="N159" s="115"/>
      <c r="O159" s="115"/>
      <c r="P159" s="287"/>
      <c r="Q159" s="287"/>
      <c r="R159" s="287"/>
      <c r="S159" s="287"/>
      <c r="T159" s="287"/>
      <c r="U159" s="287"/>
      <c r="V159" s="287"/>
      <c r="W159" s="287"/>
      <c r="X159" s="287"/>
      <c r="Y159" s="287"/>
      <c r="Z159" s="287"/>
      <c r="AA159" s="287"/>
      <c r="AB159" s="115">
        <f t="shared" ref="AB159:AF159" si="295">AB160+AB165+AB170+AB175</f>
        <v>0</v>
      </c>
      <c r="AC159" s="115">
        <f t="shared" si="295"/>
        <v>0</v>
      </c>
      <c r="AD159" s="115"/>
      <c r="AE159" s="115"/>
      <c r="AF159" s="115">
        <f t="shared" si="295"/>
        <v>0</v>
      </c>
      <c r="AG159" s="115"/>
      <c r="AH159" s="115"/>
      <c r="AI159" s="115">
        <f>AI160+AI165+AI170+AI175</f>
        <v>0</v>
      </c>
      <c r="AJ159" s="115"/>
      <c r="AK159" s="115"/>
      <c r="AL159" s="115">
        <f>AL160+AL165+AL170+AL175</f>
        <v>0</v>
      </c>
      <c r="AM159" s="115"/>
      <c r="AN159" s="115"/>
      <c r="AO159" s="115">
        <f>AO160+AO165+AO170+AO175</f>
        <v>0</v>
      </c>
      <c r="AP159" s="115"/>
      <c r="AQ159" s="115"/>
      <c r="AR159" s="115">
        <f>AR160+AR165+AR170+AR175</f>
        <v>0</v>
      </c>
      <c r="AS159" s="115"/>
      <c r="AT159" s="115"/>
      <c r="AU159" s="115">
        <f>AU160+AU165+AU170+AU175</f>
        <v>0</v>
      </c>
      <c r="AV159" s="115"/>
      <c r="AW159" s="115"/>
      <c r="AX159" s="115">
        <f>AX160+AX165+AX170+AX175</f>
        <v>0</v>
      </c>
      <c r="AY159" s="115"/>
      <c r="AZ159" s="115"/>
      <c r="BA159" s="115">
        <f>BA160+BA165+BA170+BA175</f>
        <v>0</v>
      </c>
      <c r="BB159" s="115"/>
      <c r="BC159" s="115"/>
      <c r="BD159" s="115">
        <f>BD160+BD165+BD170+BD175</f>
        <v>0</v>
      </c>
      <c r="BE159" s="115"/>
      <c r="BF159" s="115"/>
      <c r="BG159" s="115">
        <f>BG160+BG165+BG170+BG175</f>
        <v>0</v>
      </c>
      <c r="BH159" s="115"/>
      <c r="BI159" s="115"/>
      <c r="BJ159" s="115">
        <f>BJ160+BJ165+BJ170+BJ175</f>
        <v>0</v>
      </c>
      <c r="BK159" s="115"/>
      <c r="BL159" s="304"/>
      <c r="BM159" s="310"/>
      <c r="BN159" s="312"/>
    </row>
    <row r="160" s="118" customFormat="1" ht="33.95" hidden="1" customHeight="1" outlineLevel="4" collapsed="1" spans="2:66">
      <c r="B160" s="119" t="s">
        <v>742</v>
      </c>
      <c r="C160" s="120" t="s">
        <v>124</v>
      </c>
      <c r="D160" s="118" t="s">
        <v>109</v>
      </c>
      <c r="E160" s="119"/>
      <c r="F160" s="119"/>
      <c r="G160" s="119"/>
      <c r="H160" s="119">
        <f>SUM(H161:H164)</f>
        <v>0</v>
      </c>
      <c r="I160" s="119"/>
      <c r="J160" s="119"/>
      <c r="K160" s="119"/>
      <c r="L160" s="119"/>
      <c r="M160" s="119"/>
      <c r="N160" s="119"/>
      <c r="O160" s="119"/>
      <c r="P160" s="288"/>
      <c r="Q160" s="288"/>
      <c r="R160" s="288"/>
      <c r="S160" s="288"/>
      <c r="T160" s="288"/>
      <c r="U160" s="288"/>
      <c r="V160" s="288"/>
      <c r="W160" s="288"/>
      <c r="X160" s="288"/>
      <c r="Y160" s="288"/>
      <c r="Z160" s="288"/>
      <c r="AA160" s="288"/>
      <c r="AB160" s="119">
        <f t="shared" ref="AB160:AF160" si="296">SUM(AB161:AB164)</f>
        <v>0</v>
      </c>
      <c r="AC160" s="119">
        <f t="shared" si="296"/>
        <v>0</v>
      </c>
      <c r="AD160" s="119"/>
      <c r="AE160" s="119"/>
      <c r="AF160" s="119">
        <f t="shared" si="296"/>
        <v>0</v>
      </c>
      <c r="AG160" s="119"/>
      <c r="AH160" s="119"/>
      <c r="AI160" s="119">
        <f>SUM(AI161:AI164)</f>
        <v>0</v>
      </c>
      <c r="AJ160" s="119"/>
      <c r="AK160" s="119"/>
      <c r="AL160" s="119">
        <f>SUM(AL161:AL164)</f>
        <v>0</v>
      </c>
      <c r="AM160" s="119"/>
      <c r="AN160" s="119"/>
      <c r="AO160" s="119">
        <f>SUM(AO161:AO164)</f>
        <v>0</v>
      </c>
      <c r="AP160" s="119"/>
      <c r="AQ160" s="119"/>
      <c r="AR160" s="119">
        <f>SUM(AR161:AR164)</f>
        <v>0</v>
      </c>
      <c r="AS160" s="119"/>
      <c r="AT160" s="119"/>
      <c r="AU160" s="119">
        <f>SUM(AU161:AU164)</f>
        <v>0</v>
      </c>
      <c r="AV160" s="119"/>
      <c r="AW160" s="119"/>
      <c r="AX160" s="119">
        <f>SUM(AX161:AX164)</f>
        <v>0</v>
      </c>
      <c r="AY160" s="119"/>
      <c r="AZ160" s="119"/>
      <c r="BA160" s="119">
        <f>SUM(BA161:BA164)</f>
        <v>0</v>
      </c>
      <c r="BB160" s="119"/>
      <c r="BC160" s="119"/>
      <c r="BD160" s="119">
        <f>SUM(BD161:BD164)</f>
        <v>0</v>
      </c>
      <c r="BE160" s="119"/>
      <c r="BF160" s="119"/>
      <c r="BG160" s="119">
        <f>SUM(BG161:BG164)</f>
        <v>0</v>
      </c>
      <c r="BH160" s="119"/>
      <c r="BI160" s="119"/>
      <c r="BJ160" s="119">
        <f>SUM(BJ161:BJ164)</f>
        <v>0</v>
      </c>
      <c r="BK160" s="119"/>
      <c r="BL160" s="305"/>
      <c r="BM160" s="310"/>
      <c r="BN160" s="313"/>
    </row>
    <row r="161" s="262" customFormat="1" ht="33.95" hidden="1" customHeight="1" outlineLevel="5" spans="2:66">
      <c r="B161" s="175" t="s">
        <v>747</v>
      </c>
      <c r="C161" s="282" t="s">
        <v>1016</v>
      </c>
      <c r="D161" s="262" t="s">
        <v>1017</v>
      </c>
      <c r="E161" s="175" t="s">
        <v>1018</v>
      </c>
      <c r="F161" s="175"/>
      <c r="G161" s="175" t="s">
        <v>751</v>
      </c>
      <c r="H161" s="175">
        <f t="shared" ref="H161:H164" si="297">AB161</f>
        <v>0</v>
      </c>
      <c r="I161" s="175" t="s">
        <v>752</v>
      </c>
      <c r="J161" s="175" t="e">
        <f t="shared" ref="J161:J164" si="298">SUM(AD161,AG161,AJ161,AM161,AP161,AS161,AV161,AY161,BB161,BE161,BH161,BK161)/N161</f>
        <v>#DIV/0!</v>
      </c>
      <c r="K161" s="175" t="s">
        <v>753</v>
      </c>
      <c r="L161" s="175" t="e">
        <f t="shared" ref="L161:L164" si="299">H161/N161/J161</f>
        <v>#DIV/0!</v>
      </c>
      <c r="M161" s="175" t="s">
        <v>754</v>
      </c>
      <c r="N161" s="175">
        <f t="shared" ref="N161:N164" si="300">COUNTIF(AD161,"&gt;0")+COUNTIF(AG161,"&gt;0")+COUNTIF(AJ161,"&gt;0")+COUNTIF(AM161,"&gt;0")+COUNTIF(AP161,"&gt;0")+COUNTIF(AS161,"&gt;0")+COUNTIF(AV161,"&gt;0")+COUNTIF(AY161,"&gt;0")+COUNTIF(BB161,"&gt;0")+COUNTIF(BE161,"&gt;0")+COUNTIF(BH161,"&gt;0")+COUNTIF(BK161,"&gt;0")</f>
        <v>0</v>
      </c>
      <c r="O161" s="175"/>
      <c r="P161" s="289"/>
      <c r="Q161" s="289"/>
      <c r="R161" s="289"/>
      <c r="S161" s="289"/>
      <c r="T161" s="289"/>
      <c r="U161" s="289"/>
      <c r="V161" s="289"/>
      <c r="W161" s="289"/>
      <c r="X161" s="289"/>
      <c r="Y161" s="289"/>
      <c r="Z161" s="289"/>
      <c r="AA161" s="289"/>
      <c r="AB161" s="175">
        <f t="shared" ref="AB161:AB164" si="301">SUM(AC161,AF161,AI161,AL161,AO161,AR161,AU161,AX161,BA161,BD161,BG161,BJ161)</f>
        <v>0</v>
      </c>
      <c r="AC161" s="175">
        <f t="shared" ref="AC161:AC164" si="302">AD161*AE161</f>
        <v>0</v>
      </c>
      <c r="AD161" s="175">
        <f>SUMIFS('1-2 人员岗位信息'!F:F,'1-2 人员岗位信息'!$C:$C,"自有人员",'1-2 人员岗位信息'!$B:$B,$D161)</f>
        <v>0</v>
      </c>
      <c r="AE161" s="297"/>
      <c r="AF161" s="175">
        <f t="shared" ref="AF161:AF164" si="303">AG161*AH161</f>
        <v>0</v>
      </c>
      <c r="AG161" s="175">
        <f>SUMIFS('1-2 人员岗位信息'!G:G,'1-2 人员岗位信息'!$C:$C,"自有人员",'1-2 人员岗位信息'!$B:$B,$D161)</f>
        <v>0</v>
      </c>
      <c r="AH161" s="297"/>
      <c r="AI161" s="175">
        <f t="shared" ref="AI161:AI164" si="304">AJ161*AK161</f>
        <v>0</v>
      </c>
      <c r="AJ161" s="175">
        <f>SUMIFS('1-2 人员岗位信息'!H:H,'1-2 人员岗位信息'!$C:$C,"自有人员",'1-2 人员岗位信息'!$B:$B,$D161)</f>
        <v>0</v>
      </c>
      <c r="AK161" s="297"/>
      <c r="AL161" s="175">
        <f t="shared" ref="AL161:AL164" si="305">AM161*AN161</f>
        <v>0</v>
      </c>
      <c r="AM161" s="175">
        <f>SUMIFS('1-2 人员岗位信息'!I:I,'1-2 人员岗位信息'!$C:$C,"自有人员",'1-2 人员岗位信息'!$B:$B,$D161)</f>
        <v>0</v>
      </c>
      <c r="AN161" s="297"/>
      <c r="AO161" s="175">
        <f t="shared" ref="AO161:AO164" si="306">AP161*AQ161</f>
        <v>0</v>
      </c>
      <c r="AP161" s="175">
        <f>SUMIFS('1-2 人员岗位信息'!J:J,'1-2 人员岗位信息'!$C:$C,"自有人员",'1-2 人员岗位信息'!$B:$B,$D161)</f>
        <v>0</v>
      </c>
      <c r="AQ161" s="297"/>
      <c r="AR161" s="175">
        <f t="shared" ref="AR161:AR164" si="307">AS161*AT161</f>
        <v>0</v>
      </c>
      <c r="AS161" s="175">
        <f>SUMIFS('1-2 人员岗位信息'!K:K,'1-2 人员岗位信息'!$C:$C,"自有人员",'1-2 人员岗位信息'!$B:$B,$D161)</f>
        <v>0</v>
      </c>
      <c r="AT161" s="297"/>
      <c r="AU161" s="175">
        <f t="shared" ref="AU161:AU164" si="308">AV161*AW161</f>
        <v>0</v>
      </c>
      <c r="AV161" s="175">
        <f>SUMIFS('1-2 人员岗位信息'!L:L,'1-2 人员岗位信息'!$C:$C,"自有人员",'1-2 人员岗位信息'!$B:$B,$D161)</f>
        <v>0</v>
      </c>
      <c r="AW161" s="297"/>
      <c r="AX161" s="175">
        <f t="shared" ref="AX161:AX164" si="309">AY161*AZ161</f>
        <v>0</v>
      </c>
      <c r="AY161" s="175">
        <f>SUMIFS('1-2 人员岗位信息'!M:M,'1-2 人员岗位信息'!$C:$C,"自有人员",'1-2 人员岗位信息'!$B:$B,$D161)</f>
        <v>0</v>
      </c>
      <c r="AZ161" s="297"/>
      <c r="BA161" s="175">
        <f t="shared" ref="BA161:BA164" si="310">BB161*BC161</f>
        <v>0</v>
      </c>
      <c r="BB161" s="175">
        <f>SUMIFS('1-2 人员岗位信息'!N:N,'1-2 人员岗位信息'!$C:$C,"自有人员",'1-2 人员岗位信息'!$B:$B,$D161)</f>
        <v>0</v>
      </c>
      <c r="BC161" s="297"/>
      <c r="BD161" s="175">
        <f t="shared" ref="BD161:BD164" si="311">BE161*BF161</f>
        <v>0</v>
      </c>
      <c r="BE161" s="175">
        <f>SUMIFS('1-2 人员岗位信息'!O:O,'1-2 人员岗位信息'!$C:$C,"自有人员",'1-2 人员岗位信息'!$B:$B,$D161)</f>
        <v>0</v>
      </c>
      <c r="BF161" s="297"/>
      <c r="BG161" s="175">
        <f t="shared" ref="BG161:BG164" si="312">BH161*BI161</f>
        <v>0</v>
      </c>
      <c r="BH161" s="175">
        <f>SUMIFS('1-2 人员岗位信息'!P:P,'1-2 人员岗位信息'!$C:$C,"自有人员",'1-2 人员岗位信息'!$B:$B,$D161)</f>
        <v>0</v>
      </c>
      <c r="BI161" s="297"/>
      <c r="BJ161" s="175">
        <f t="shared" ref="BJ161:BJ164" si="313">BK161*BL161</f>
        <v>0</v>
      </c>
      <c r="BK161" s="175">
        <f>SUMIFS('1-2 人员岗位信息'!Q:Q,'1-2 人员岗位信息'!$C:$C,"自有人员",'1-2 人员岗位信息'!$B:$B,$D161)</f>
        <v>0</v>
      </c>
      <c r="BL161" s="297"/>
      <c r="BM161" s="310"/>
      <c r="BN161" s="314"/>
    </row>
    <row r="162" s="262" customFormat="1" ht="33.95" hidden="1" customHeight="1" outlineLevel="5" spans="2:66">
      <c r="B162" s="175" t="s">
        <v>747</v>
      </c>
      <c r="C162" s="282" t="s">
        <v>1019</v>
      </c>
      <c r="D162" s="262" t="s">
        <v>1020</v>
      </c>
      <c r="E162" s="175" t="s">
        <v>1021</v>
      </c>
      <c r="F162" s="175"/>
      <c r="G162" s="175" t="s">
        <v>751</v>
      </c>
      <c r="H162" s="175">
        <f t="shared" si="297"/>
        <v>0</v>
      </c>
      <c r="I162" s="175" t="s">
        <v>752</v>
      </c>
      <c r="J162" s="175" t="e">
        <f t="shared" si="298"/>
        <v>#DIV/0!</v>
      </c>
      <c r="K162" s="175" t="s">
        <v>753</v>
      </c>
      <c r="L162" s="175" t="e">
        <f t="shared" si="299"/>
        <v>#DIV/0!</v>
      </c>
      <c r="M162" s="175" t="s">
        <v>754</v>
      </c>
      <c r="N162" s="175">
        <f t="shared" si="300"/>
        <v>0</v>
      </c>
      <c r="O162" s="175"/>
      <c r="P162" s="289"/>
      <c r="Q162" s="289"/>
      <c r="R162" s="289"/>
      <c r="S162" s="289"/>
      <c r="T162" s="289"/>
      <c r="U162" s="289"/>
      <c r="V162" s="289"/>
      <c r="W162" s="289"/>
      <c r="X162" s="289"/>
      <c r="Y162" s="289"/>
      <c r="Z162" s="289"/>
      <c r="AA162" s="289"/>
      <c r="AB162" s="175">
        <f t="shared" si="301"/>
        <v>0</v>
      </c>
      <c r="AC162" s="175">
        <f t="shared" si="302"/>
        <v>0</v>
      </c>
      <c r="AD162" s="175">
        <f>SUMIFS('1-2 人员岗位信息'!F:F,'1-2 人员岗位信息'!$C:$C,"自有人员",'1-2 人员岗位信息'!$B:$B,$D162)</f>
        <v>0</v>
      </c>
      <c r="AE162" s="297"/>
      <c r="AF162" s="175">
        <f t="shared" si="303"/>
        <v>0</v>
      </c>
      <c r="AG162" s="175">
        <f>SUMIFS('1-2 人员岗位信息'!G:G,'1-2 人员岗位信息'!$C:$C,"自有人员",'1-2 人员岗位信息'!$B:$B,$D162)</f>
        <v>0</v>
      </c>
      <c r="AH162" s="297"/>
      <c r="AI162" s="175">
        <f t="shared" si="304"/>
        <v>0</v>
      </c>
      <c r="AJ162" s="175">
        <f>SUMIFS('1-2 人员岗位信息'!H:H,'1-2 人员岗位信息'!$C:$C,"自有人员",'1-2 人员岗位信息'!$B:$B,$D162)</f>
        <v>0</v>
      </c>
      <c r="AK162" s="297"/>
      <c r="AL162" s="175">
        <f t="shared" si="305"/>
        <v>0</v>
      </c>
      <c r="AM162" s="175">
        <f>SUMIFS('1-2 人员岗位信息'!I:I,'1-2 人员岗位信息'!$C:$C,"自有人员",'1-2 人员岗位信息'!$B:$B,$D162)</f>
        <v>0</v>
      </c>
      <c r="AN162" s="297"/>
      <c r="AO162" s="175">
        <f t="shared" si="306"/>
        <v>0</v>
      </c>
      <c r="AP162" s="175">
        <f>SUMIFS('1-2 人员岗位信息'!J:J,'1-2 人员岗位信息'!$C:$C,"自有人员",'1-2 人员岗位信息'!$B:$B,$D162)</f>
        <v>0</v>
      </c>
      <c r="AQ162" s="297"/>
      <c r="AR162" s="175">
        <f t="shared" si="307"/>
        <v>0</v>
      </c>
      <c r="AS162" s="175">
        <f>SUMIFS('1-2 人员岗位信息'!K:K,'1-2 人员岗位信息'!$C:$C,"自有人员",'1-2 人员岗位信息'!$B:$B,$D162)</f>
        <v>0</v>
      </c>
      <c r="AT162" s="297"/>
      <c r="AU162" s="175">
        <f t="shared" si="308"/>
        <v>0</v>
      </c>
      <c r="AV162" s="175">
        <f>SUMIFS('1-2 人员岗位信息'!L:L,'1-2 人员岗位信息'!$C:$C,"自有人员",'1-2 人员岗位信息'!$B:$B,$D162)</f>
        <v>0</v>
      </c>
      <c r="AW162" s="297"/>
      <c r="AX162" s="175">
        <f t="shared" si="309"/>
        <v>0</v>
      </c>
      <c r="AY162" s="175">
        <f>SUMIFS('1-2 人员岗位信息'!M:M,'1-2 人员岗位信息'!$C:$C,"自有人员",'1-2 人员岗位信息'!$B:$B,$D162)</f>
        <v>0</v>
      </c>
      <c r="AZ162" s="297"/>
      <c r="BA162" s="175">
        <f t="shared" si="310"/>
        <v>0</v>
      </c>
      <c r="BB162" s="175">
        <f>SUMIFS('1-2 人员岗位信息'!N:N,'1-2 人员岗位信息'!$C:$C,"自有人员",'1-2 人员岗位信息'!$B:$B,$D162)</f>
        <v>0</v>
      </c>
      <c r="BC162" s="297"/>
      <c r="BD162" s="175">
        <f t="shared" si="311"/>
        <v>0</v>
      </c>
      <c r="BE162" s="175">
        <f>SUMIFS('1-2 人员岗位信息'!O:O,'1-2 人员岗位信息'!$C:$C,"自有人员",'1-2 人员岗位信息'!$B:$B,$D162)</f>
        <v>0</v>
      </c>
      <c r="BF162" s="297"/>
      <c r="BG162" s="175">
        <f t="shared" si="312"/>
        <v>0</v>
      </c>
      <c r="BH162" s="175">
        <f>SUMIFS('1-2 人员岗位信息'!P:P,'1-2 人员岗位信息'!$C:$C,"自有人员",'1-2 人员岗位信息'!$B:$B,$D162)</f>
        <v>0</v>
      </c>
      <c r="BI162" s="297"/>
      <c r="BJ162" s="175">
        <f t="shared" si="313"/>
        <v>0</v>
      </c>
      <c r="BK162" s="175">
        <f>SUMIFS('1-2 人员岗位信息'!Q:Q,'1-2 人员岗位信息'!$C:$C,"自有人员",'1-2 人员岗位信息'!$B:$B,$D162)</f>
        <v>0</v>
      </c>
      <c r="BL162" s="306"/>
      <c r="BM162" s="310"/>
      <c r="BN162" s="314"/>
    </row>
    <row r="163" s="262" customFormat="1" ht="33.95" hidden="1" customHeight="1" outlineLevel="5" spans="2:66">
      <c r="B163" s="175" t="s">
        <v>747</v>
      </c>
      <c r="C163" s="282" t="s">
        <v>1022</v>
      </c>
      <c r="D163" s="262" t="s">
        <v>1023</v>
      </c>
      <c r="E163" s="175" t="s">
        <v>1024</v>
      </c>
      <c r="F163" s="175"/>
      <c r="G163" s="175" t="s">
        <v>751</v>
      </c>
      <c r="H163" s="175">
        <f t="shared" si="297"/>
        <v>0</v>
      </c>
      <c r="I163" s="175" t="s">
        <v>752</v>
      </c>
      <c r="J163" s="175" t="e">
        <f t="shared" si="298"/>
        <v>#DIV/0!</v>
      </c>
      <c r="K163" s="175" t="s">
        <v>753</v>
      </c>
      <c r="L163" s="175" t="e">
        <f t="shared" si="299"/>
        <v>#DIV/0!</v>
      </c>
      <c r="M163" s="175" t="s">
        <v>754</v>
      </c>
      <c r="N163" s="175">
        <f t="shared" si="300"/>
        <v>0</v>
      </c>
      <c r="O163" s="175"/>
      <c r="P163" s="289"/>
      <c r="Q163" s="289"/>
      <c r="R163" s="289"/>
      <c r="S163" s="289"/>
      <c r="T163" s="289"/>
      <c r="U163" s="289"/>
      <c r="V163" s="289"/>
      <c r="W163" s="289"/>
      <c r="X163" s="289"/>
      <c r="Y163" s="289"/>
      <c r="Z163" s="289"/>
      <c r="AA163" s="289"/>
      <c r="AB163" s="175">
        <f t="shared" si="301"/>
        <v>0</v>
      </c>
      <c r="AC163" s="175">
        <f t="shared" si="302"/>
        <v>0</v>
      </c>
      <c r="AD163" s="175">
        <f>SUMIFS('1-2 人员岗位信息'!F:F,'1-2 人员岗位信息'!$C:$C,"自有人员",'1-2 人员岗位信息'!$B:$B,$D163)</f>
        <v>0</v>
      </c>
      <c r="AE163" s="297"/>
      <c r="AF163" s="175">
        <f t="shared" si="303"/>
        <v>0</v>
      </c>
      <c r="AG163" s="175">
        <f>SUMIFS('1-2 人员岗位信息'!G:G,'1-2 人员岗位信息'!$C:$C,"自有人员",'1-2 人员岗位信息'!$B:$B,$D163)</f>
        <v>0</v>
      </c>
      <c r="AH163" s="297"/>
      <c r="AI163" s="175">
        <f t="shared" si="304"/>
        <v>0</v>
      </c>
      <c r="AJ163" s="175">
        <f>SUMIFS('1-2 人员岗位信息'!H:H,'1-2 人员岗位信息'!$C:$C,"自有人员",'1-2 人员岗位信息'!$B:$B,$D163)</f>
        <v>0</v>
      </c>
      <c r="AK163" s="297"/>
      <c r="AL163" s="175">
        <f t="shared" si="305"/>
        <v>0</v>
      </c>
      <c r="AM163" s="175">
        <f>SUMIFS('1-2 人员岗位信息'!I:I,'1-2 人员岗位信息'!$C:$C,"自有人员",'1-2 人员岗位信息'!$B:$B,$D163)</f>
        <v>0</v>
      </c>
      <c r="AN163" s="297"/>
      <c r="AO163" s="175">
        <f t="shared" si="306"/>
        <v>0</v>
      </c>
      <c r="AP163" s="175">
        <f>SUMIFS('1-2 人员岗位信息'!J:J,'1-2 人员岗位信息'!$C:$C,"自有人员",'1-2 人员岗位信息'!$B:$B,$D163)</f>
        <v>0</v>
      </c>
      <c r="AQ163" s="297"/>
      <c r="AR163" s="175">
        <f t="shared" si="307"/>
        <v>0</v>
      </c>
      <c r="AS163" s="175">
        <f>SUMIFS('1-2 人员岗位信息'!K:K,'1-2 人员岗位信息'!$C:$C,"自有人员",'1-2 人员岗位信息'!$B:$B,$D163)</f>
        <v>0</v>
      </c>
      <c r="AT163" s="297"/>
      <c r="AU163" s="175">
        <f t="shared" si="308"/>
        <v>0</v>
      </c>
      <c r="AV163" s="175">
        <f>SUMIFS('1-2 人员岗位信息'!L:L,'1-2 人员岗位信息'!$C:$C,"自有人员",'1-2 人员岗位信息'!$B:$B,$D163)</f>
        <v>0</v>
      </c>
      <c r="AW163" s="297"/>
      <c r="AX163" s="175">
        <f t="shared" si="309"/>
        <v>0</v>
      </c>
      <c r="AY163" s="175">
        <f>SUMIFS('1-2 人员岗位信息'!M:M,'1-2 人员岗位信息'!$C:$C,"自有人员",'1-2 人员岗位信息'!$B:$B,$D163)</f>
        <v>0</v>
      </c>
      <c r="AZ163" s="297"/>
      <c r="BA163" s="175">
        <f t="shared" si="310"/>
        <v>0</v>
      </c>
      <c r="BB163" s="175">
        <f>SUMIFS('1-2 人员岗位信息'!N:N,'1-2 人员岗位信息'!$C:$C,"自有人员",'1-2 人员岗位信息'!$B:$B,$D163)</f>
        <v>0</v>
      </c>
      <c r="BC163" s="297"/>
      <c r="BD163" s="175">
        <f t="shared" si="311"/>
        <v>0</v>
      </c>
      <c r="BE163" s="175">
        <f>SUMIFS('1-2 人员岗位信息'!O:O,'1-2 人员岗位信息'!$C:$C,"自有人员",'1-2 人员岗位信息'!$B:$B,$D163)</f>
        <v>0</v>
      </c>
      <c r="BF163" s="297"/>
      <c r="BG163" s="175">
        <f t="shared" si="312"/>
        <v>0</v>
      </c>
      <c r="BH163" s="175">
        <f>SUMIFS('1-2 人员岗位信息'!P:P,'1-2 人员岗位信息'!$C:$C,"自有人员",'1-2 人员岗位信息'!$B:$B,$D163)</f>
        <v>0</v>
      </c>
      <c r="BI163" s="297"/>
      <c r="BJ163" s="175">
        <f t="shared" si="313"/>
        <v>0</v>
      </c>
      <c r="BK163" s="175">
        <f>SUMIFS('1-2 人员岗位信息'!Q:Q,'1-2 人员岗位信息'!$C:$C,"自有人员",'1-2 人员岗位信息'!$B:$B,$D163)</f>
        <v>0</v>
      </c>
      <c r="BL163" s="306"/>
      <c r="BM163" s="310"/>
      <c r="BN163" s="314"/>
    </row>
    <row r="164" s="262" customFormat="1" ht="33.95" hidden="1" customHeight="1" outlineLevel="5" spans="2:66">
      <c r="B164" s="175" t="s">
        <v>747</v>
      </c>
      <c r="C164" s="282" t="s">
        <v>1025</v>
      </c>
      <c r="D164" s="262" t="s">
        <v>1026</v>
      </c>
      <c r="E164" s="175" t="s">
        <v>1027</v>
      </c>
      <c r="F164" s="175"/>
      <c r="G164" s="175" t="s">
        <v>751</v>
      </c>
      <c r="H164" s="175">
        <f t="shared" si="297"/>
        <v>0</v>
      </c>
      <c r="I164" s="175" t="s">
        <v>752</v>
      </c>
      <c r="J164" s="175" t="e">
        <f t="shared" si="298"/>
        <v>#DIV/0!</v>
      </c>
      <c r="K164" s="175" t="s">
        <v>753</v>
      </c>
      <c r="L164" s="175" t="e">
        <f t="shared" si="299"/>
        <v>#DIV/0!</v>
      </c>
      <c r="M164" s="175" t="s">
        <v>754</v>
      </c>
      <c r="N164" s="175">
        <f t="shared" si="300"/>
        <v>0</v>
      </c>
      <c r="O164" s="175"/>
      <c r="P164" s="289"/>
      <c r="Q164" s="289"/>
      <c r="R164" s="289"/>
      <c r="S164" s="289"/>
      <c r="T164" s="289"/>
      <c r="U164" s="289"/>
      <c r="V164" s="289"/>
      <c r="W164" s="289"/>
      <c r="X164" s="289"/>
      <c r="Y164" s="289"/>
      <c r="Z164" s="289"/>
      <c r="AA164" s="289"/>
      <c r="AB164" s="175">
        <f t="shared" si="301"/>
        <v>0</v>
      </c>
      <c r="AC164" s="175">
        <f t="shared" si="302"/>
        <v>0</v>
      </c>
      <c r="AD164" s="175">
        <f>SUMIFS('1-2 人员岗位信息'!F:F,'1-2 人员岗位信息'!$C:$C,"自有人员",'1-2 人员岗位信息'!$B:$B,$D164)</f>
        <v>0</v>
      </c>
      <c r="AE164" s="297"/>
      <c r="AF164" s="175">
        <f t="shared" si="303"/>
        <v>0</v>
      </c>
      <c r="AG164" s="175">
        <f>SUMIFS('1-2 人员岗位信息'!G:G,'1-2 人员岗位信息'!$C:$C,"自有人员",'1-2 人员岗位信息'!$B:$B,$D164)</f>
        <v>0</v>
      </c>
      <c r="AH164" s="297"/>
      <c r="AI164" s="175">
        <f t="shared" si="304"/>
        <v>0</v>
      </c>
      <c r="AJ164" s="175">
        <f>SUMIFS('1-2 人员岗位信息'!H:H,'1-2 人员岗位信息'!$C:$C,"自有人员",'1-2 人员岗位信息'!$B:$B,$D164)</f>
        <v>0</v>
      </c>
      <c r="AK164" s="297"/>
      <c r="AL164" s="175">
        <f t="shared" si="305"/>
        <v>0</v>
      </c>
      <c r="AM164" s="175">
        <f>SUMIFS('1-2 人员岗位信息'!I:I,'1-2 人员岗位信息'!$C:$C,"自有人员",'1-2 人员岗位信息'!$B:$B,$D164)</f>
        <v>0</v>
      </c>
      <c r="AN164" s="297"/>
      <c r="AO164" s="175">
        <f t="shared" si="306"/>
        <v>0</v>
      </c>
      <c r="AP164" s="175">
        <f>SUMIFS('1-2 人员岗位信息'!J:J,'1-2 人员岗位信息'!$C:$C,"自有人员",'1-2 人员岗位信息'!$B:$B,$D164)</f>
        <v>0</v>
      </c>
      <c r="AQ164" s="297"/>
      <c r="AR164" s="175">
        <f t="shared" si="307"/>
        <v>0</v>
      </c>
      <c r="AS164" s="175">
        <f>SUMIFS('1-2 人员岗位信息'!K:K,'1-2 人员岗位信息'!$C:$C,"自有人员",'1-2 人员岗位信息'!$B:$B,$D164)</f>
        <v>0</v>
      </c>
      <c r="AT164" s="297"/>
      <c r="AU164" s="175">
        <f t="shared" si="308"/>
        <v>0</v>
      </c>
      <c r="AV164" s="175">
        <f>SUMIFS('1-2 人员岗位信息'!L:L,'1-2 人员岗位信息'!$C:$C,"自有人员",'1-2 人员岗位信息'!$B:$B,$D164)</f>
        <v>0</v>
      </c>
      <c r="AW164" s="297"/>
      <c r="AX164" s="175">
        <f t="shared" si="309"/>
        <v>0</v>
      </c>
      <c r="AY164" s="175">
        <f>SUMIFS('1-2 人员岗位信息'!M:M,'1-2 人员岗位信息'!$C:$C,"自有人员",'1-2 人员岗位信息'!$B:$B,$D164)</f>
        <v>0</v>
      </c>
      <c r="AZ164" s="297"/>
      <c r="BA164" s="175">
        <f t="shared" si="310"/>
        <v>0</v>
      </c>
      <c r="BB164" s="175">
        <f>SUMIFS('1-2 人员岗位信息'!N:N,'1-2 人员岗位信息'!$C:$C,"自有人员",'1-2 人员岗位信息'!$B:$B,$D164)</f>
        <v>0</v>
      </c>
      <c r="BC164" s="297"/>
      <c r="BD164" s="175">
        <f t="shared" si="311"/>
        <v>0</v>
      </c>
      <c r="BE164" s="175">
        <f>SUMIFS('1-2 人员岗位信息'!O:O,'1-2 人员岗位信息'!$C:$C,"自有人员",'1-2 人员岗位信息'!$B:$B,$D164)</f>
        <v>0</v>
      </c>
      <c r="BF164" s="297"/>
      <c r="BG164" s="175">
        <f t="shared" si="312"/>
        <v>0</v>
      </c>
      <c r="BH164" s="175">
        <f>SUMIFS('1-2 人员岗位信息'!P:P,'1-2 人员岗位信息'!$C:$C,"自有人员",'1-2 人员岗位信息'!$B:$B,$D164)</f>
        <v>0</v>
      </c>
      <c r="BI164" s="297"/>
      <c r="BJ164" s="175">
        <f t="shared" si="313"/>
        <v>0</v>
      </c>
      <c r="BK164" s="175">
        <f>SUMIFS('1-2 人员岗位信息'!Q:Q,'1-2 人员岗位信息'!$C:$C,"自有人员",'1-2 人员岗位信息'!$B:$B,$D164)</f>
        <v>0</v>
      </c>
      <c r="BL164" s="306"/>
      <c r="BM164" s="310"/>
      <c r="BN164" s="314"/>
    </row>
    <row r="165" s="118" customFormat="1" ht="33.95" hidden="1" customHeight="1" outlineLevel="4" collapsed="1" spans="2:66">
      <c r="B165" s="119" t="s">
        <v>742</v>
      </c>
      <c r="C165" s="120" t="s">
        <v>73</v>
      </c>
      <c r="D165" s="118" t="s">
        <v>68</v>
      </c>
      <c r="E165" s="119"/>
      <c r="F165" s="119"/>
      <c r="G165" s="119"/>
      <c r="H165" s="119">
        <f>SUM(H166:H169)</f>
        <v>0</v>
      </c>
      <c r="I165" s="119"/>
      <c r="J165" s="119"/>
      <c r="K165" s="119"/>
      <c r="L165" s="119"/>
      <c r="M165" s="119"/>
      <c r="N165" s="119"/>
      <c r="O165" s="119"/>
      <c r="P165" s="288"/>
      <c r="Q165" s="288"/>
      <c r="R165" s="288"/>
      <c r="S165" s="288"/>
      <c r="T165" s="288"/>
      <c r="U165" s="288"/>
      <c r="V165" s="288"/>
      <c r="W165" s="288"/>
      <c r="X165" s="288"/>
      <c r="Y165" s="288"/>
      <c r="Z165" s="288"/>
      <c r="AA165" s="288"/>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5"/>
      <c r="BM165" s="310"/>
      <c r="BN165" s="313"/>
    </row>
    <row r="166" s="262" customFormat="1" ht="33.95" hidden="1" customHeight="1" outlineLevel="5" spans="2:66">
      <c r="B166" s="175" t="s">
        <v>747</v>
      </c>
      <c r="C166" s="282" t="s">
        <v>1028</v>
      </c>
      <c r="D166" s="262" t="s">
        <v>1017</v>
      </c>
      <c r="E166" s="175" t="s">
        <v>1029</v>
      </c>
      <c r="F166" s="175"/>
      <c r="G166" s="175" t="s">
        <v>751</v>
      </c>
      <c r="H166" s="175">
        <f t="shared" ref="H166:H169" si="315">AB166</f>
        <v>0</v>
      </c>
      <c r="I166" s="175" t="s">
        <v>752</v>
      </c>
      <c r="J166" s="175" t="e">
        <f t="shared" ref="J166:J169" si="316">SUM(AD166,AG166,AJ166,AM166,AP166,AS166,AV166,AY166,BB166,BE166,BH166,BK166)/N166</f>
        <v>#DIV/0!</v>
      </c>
      <c r="K166" s="175" t="s">
        <v>753</v>
      </c>
      <c r="L166" s="175" t="e">
        <f t="shared" ref="L166:L169" si="317">H166/N166/J166</f>
        <v>#DIV/0!</v>
      </c>
      <c r="M166" s="175" t="s">
        <v>754</v>
      </c>
      <c r="N166" s="175">
        <f t="shared" ref="N166:N169" si="318">COUNTIF(AD166,"&gt;0")+COUNTIF(AG166,"&gt;0")+COUNTIF(AJ166,"&gt;0")+COUNTIF(AM166,"&gt;0")+COUNTIF(AP166,"&gt;0")+COUNTIF(AS166,"&gt;0")+COUNTIF(AV166,"&gt;0")+COUNTIF(AY166,"&gt;0")+COUNTIF(BB166,"&gt;0")+COUNTIF(BE166,"&gt;0")+COUNTIF(BH166,"&gt;0")+COUNTIF(BK166,"&gt;0")</f>
        <v>0</v>
      </c>
      <c r="O166" s="175"/>
      <c r="P166" s="289"/>
      <c r="Q166" s="289"/>
      <c r="R166" s="289"/>
      <c r="S166" s="289"/>
      <c r="T166" s="289"/>
      <c r="U166" s="289"/>
      <c r="V166" s="289"/>
      <c r="W166" s="289"/>
      <c r="X166" s="289"/>
      <c r="Y166" s="289"/>
      <c r="Z166" s="289"/>
      <c r="AA166" s="289"/>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297"/>
      <c r="AF166" s="175">
        <f t="shared" ref="AF166:AF169" si="321">AG166*AH166</f>
        <v>0</v>
      </c>
      <c r="AG166" s="175">
        <f>SUMIFS('1-2 人员岗位信息'!G:G,'1-2 人员岗位信息'!$C:$C,"劳务派遣",'1-2 人员岗位信息'!$B:$B,$D166)</f>
        <v>0</v>
      </c>
      <c r="AH166" s="297"/>
      <c r="AI166" s="175">
        <f t="shared" ref="AI166:AI169" si="322">AJ166*AK166</f>
        <v>0</v>
      </c>
      <c r="AJ166" s="175">
        <f>SUMIFS('1-2 人员岗位信息'!H:H,'1-2 人员岗位信息'!$C:$C,"劳务派遣",'1-2 人员岗位信息'!$B:$B,$D166)</f>
        <v>0</v>
      </c>
      <c r="AK166" s="297"/>
      <c r="AL166" s="175">
        <f t="shared" ref="AL166:AL169" si="323">AM166*AN166</f>
        <v>0</v>
      </c>
      <c r="AM166" s="175">
        <f>SUMIFS('1-2 人员岗位信息'!I:I,'1-2 人员岗位信息'!$C:$C,"劳务派遣",'1-2 人员岗位信息'!$B:$B,$D166)</f>
        <v>0</v>
      </c>
      <c r="AN166" s="297"/>
      <c r="AO166" s="175">
        <f t="shared" ref="AO166:AO169" si="324">AP166*AQ166</f>
        <v>0</v>
      </c>
      <c r="AP166" s="175">
        <f>SUMIFS('1-2 人员岗位信息'!J:J,'1-2 人员岗位信息'!$C:$C,"劳务派遣",'1-2 人员岗位信息'!$B:$B,$D166)</f>
        <v>0</v>
      </c>
      <c r="AQ166" s="297"/>
      <c r="AR166" s="175">
        <f t="shared" ref="AR166:AR169" si="325">AS166*AT166</f>
        <v>0</v>
      </c>
      <c r="AS166" s="175">
        <f>SUMIFS('1-2 人员岗位信息'!K:K,'1-2 人员岗位信息'!$C:$C,"劳务派遣",'1-2 人员岗位信息'!$B:$B,$D166)</f>
        <v>0</v>
      </c>
      <c r="AT166" s="297"/>
      <c r="AU166" s="175">
        <f t="shared" ref="AU166:AU169" si="326">AV166*AW166</f>
        <v>0</v>
      </c>
      <c r="AV166" s="175">
        <f>SUMIFS('1-2 人员岗位信息'!L:L,'1-2 人员岗位信息'!$C:$C,"劳务派遣",'1-2 人员岗位信息'!$B:$B,$D166)</f>
        <v>0</v>
      </c>
      <c r="AW166" s="297"/>
      <c r="AX166" s="175">
        <f t="shared" ref="AX166:AX169" si="327">AY166*AZ166</f>
        <v>0</v>
      </c>
      <c r="AY166" s="175">
        <f>SUMIFS('1-2 人员岗位信息'!M:M,'1-2 人员岗位信息'!$C:$C,"劳务派遣",'1-2 人员岗位信息'!$B:$B,$D166)</f>
        <v>0</v>
      </c>
      <c r="AZ166" s="297"/>
      <c r="BA166" s="175">
        <f t="shared" ref="BA166:BA169" si="328">BB166*BC166</f>
        <v>0</v>
      </c>
      <c r="BB166" s="175">
        <f>SUMIFS('1-2 人员岗位信息'!N:N,'1-2 人员岗位信息'!$C:$C,"劳务派遣",'1-2 人员岗位信息'!$B:$B,$D166)</f>
        <v>0</v>
      </c>
      <c r="BC166" s="297"/>
      <c r="BD166" s="175">
        <f t="shared" ref="BD166:BD169" si="329">BE166*BF166</f>
        <v>0</v>
      </c>
      <c r="BE166" s="175">
        <f>SUMIFS('1-2 人员岗位信息'!O:O,'1-2 人员岗位信息'!$C:$C,"劳务派遣",'1-2 人员岗位信息'!$B:$B,$D166)</f>
        <v>0</v>
      </c>
      <c r="BF166" s="297"/>
      <c r="BG166" s="175">
        <f t="shared" ref="BG166:BG169" si="330">BH166*BI166</f>
        <v>0</v>
      </c>
      <c r="BH166" s="175">
        <f>SUMIFS('1-2 人员岗位信息'!P:P,'1-2 人员岗位信息'!$C:$C,"劳务派遣",'1-2 人员岗位信息'!$B:$B,$D166)</f>
        <v>0</v>
      </c>
      <c r="BI166" s="297"/>
      <c r="BJ166" s="175">
        <f t="shared" ref="BJ166:BJ169" si="331">BK166*BL166</f>
        <v>0</v>
      </c>
      <c r="BK166" s="175">
        <f>SUMIFS('1-2 人员岗位信息'!Q:Q,'1-2 人员岗位信息'!$C:$C,"劳务派遣",'1-2 人员岗位信息'!$B:$B,$D166)</f>
        <v>0</v>
      </c>
      <c r="BL166" s="306"/>
      <c r="BM166" s="310"/>
      <c r="BN166" s="314"/>
    </row>
    <row r="167" s="262" customFormat="1" ht="33.95" hidden="1" customHeight="1" outlineLevel="5" spans="2:66">
      <c r="B167" s="175" t="s">
        <v>747</v>
      </c>
      <c r="C167" s="282" t="s">
        <v>1030</v>
      </c>
      <c r="D167" s="262" t="s">
        <v>1020</v>
      </c>
      <c r="E167" s="175" t="s">
        <v>1031</v>
      </c>
      <c r="F167" s="175"/>
      <c r="G167" s="175" t="s">
        <v>751</v>
      </c>
      <c r="H167" s="175">
        <f t="shared" si="315"/>
        <v>0</v>
      </c>
      <c r="I167" s="175" t="s">
        <v>752</v>
      </c>
      <c r="J167" s="175" t="e">
        <f t="shared" si="316"/>
        <v>#DIV/0!</v>
      </c>
      <c r="K167" s="175" t="s">
        <v>753</v>
      </c>
      <c r="L167" s="175" t="e">
        <f t="shared" si="317"/>
        <v>#DIV/0!</v>
      </c>
      <c r="M167" s="175" t="s">
        <v>754</v>
      </c>
      <c r="N167" s="175">
        <f t="shared" si="318"/>
        <v>0</v>
      </c>
      <c r="O167" s="175"/>
      <c r="P167" s="289"/>
      <c r="Q167" s="289"/>
      <c r="R167" s="289"/>
      <c r="S167" s="289"/>
      <c r="T167" s="289"/>
      <c r="U167" s="289"/>
      <c r="V167" s="289"/>
      <c r="W167" s="289"/>
      <c r="X167" s="289"/>
      <c r="Y167" s="289"/>
      <c r="Z167" s="289"/>
      <c r="AA167" s="289"/>
      <c r="AB167" s="175">
        <f t="shared" si="319"/>
        <v>0</v>
      </c>
      <c r="AC167" s="175">
        <f t="shared" si="320"/>
        <v>0</v>
      </c>
      <c r="AD167" s="175">
        <f>SUMIFS('1-2 人员岗位信息'!F:F,'1-2 人员岗位信息'!$C:$C,"劳务派遣",'1-2 人员岗位信息'!$B:$B,$D167)</f>
        <v>0</v>
      </c>
      <c r="AE167" s="297"/>
      <c r="AF167" s="175">
        <f t="shared" si="321"/>
        <v>0</v>
      </c>
      <c r="AG167" s="175">
        <f>SUMIFS('1-2 人员岗位信息'!G:G,'1-2 人员岗位信息'!$C:$C,"劳务派遣",'1-2 人员岗位信息'!$B:$B,$D167)</f>
        <v>0</v>
      </c>
      <c r="AH167" s="297"/>
      <c r="AI167" s="175">
        <f t="shared" si="322"/>
        <v>0</v>
      </c>
      <c r="AJ167" s="175">
        <f>SUMIFS('1-2 人员岗位信息'!H:H,'1-2 人员岗位信息'!$C:$C,"劳务派遣",'1-2 人员岗位信息'!$B:$B,$D167)</f>
        <v>0</v>
      </c>
      <c r="AK167" s="297"/>
      <c r="AL167" s="175">
        <f t="shared" si="323"/>
        <v>0</v>
      </c>
      <c r="AM167" s="175">
        <f>SUMIFS('1-2 人员岗位信息'!I:I,'1-2 人员岗位信息'!$C:$C,"劳务派遣",'1-2 人员岗位信息'!$B:$B,$D167)</f>
        <v>0</v>
      </c>
      <c r="AN167" s="297"/>
      <c r="AO167" s="175">
        <f t="shared" si="324"/>
        <v>0</v>
      </c>
      <c r="AP167" s="175">
        <f>SUMIFS('1-2 人员岗位信息'!J:J,'1-2 人员岗位信息'!$C:$C,"劳务派遣",'1-2 人员岗位信息'!$B:$B,$D167)</f>
        <v>0</v>
      </c>
      <c r="AQ167" s="297"/>
      <c r="AR167" s="175">
        <f t="shared" si="325"/>
        <v>0</v>
      </c>
      <c r="AS167" s="175">
        <f>SUMIFS('1-2 人员岗位信息'!K:K,'1-2 人员岗位信息'!$C:$C,"劳务派遣",'1-2 人员岗位信息'!$B:$B,$D167)</f>
        <v>0</v>
      </c>
      <c r="AT167" s="297"/>
      <c r="AU167" s="175">
        <f t="shared" si="326"/>
        <v>0</v>
      </c>
      <c r="AV167" s="175">
        <f>SUMIFS('1-2 人员岗位信息'!L:L,'1-2 人员岗位信息'!$C:$C,"劳务派遣",'1-2 人员岗位信息'!$B:$B,$D167)</f>
        <v>0</v>
      </c>
      <c r="AW167" s="297"/>
      <c r="AX167" s="175">
        <f t="shared" si="327"/>
        <v>0</v>
      </c>
      <c r="AY167" s="175">
        <f>SUMIFS('1-2 人员岗位信息'!M:M,'1-2 人员岗位信息'!$C:$C,"劳务派遣",'1-2 人员岗位信息'!$B:$B,$D167)</f>
        <v>0</v>
      </c>
      <c r="AZ167" s="297"/>
      <c r="BA167" s="175">
        <f t="shared" si="328"/>
        <v>0</v>
      </c>
      <c r="BB167" s="175">
        <f>SUMIFS('1-2 人员岗位信息'!N:N,'1-2 人员岗位信息'!$C:$C,"劳务派遣",'1-2 人员岗位信息'!$B:$B,$D167)</f>
        <v>0</v>
      </c>
      <c r="BC167" s="297"/>
      <c r="BD167" s="175">
        <f t="shared" si="329"/>
        <v>0</v>
      </c>
      <c r="BE167" s="175">
        <f>SUMIFS('1-2 人员岗位信息'!O:O,'1-2 人员岗位信息'!$C:$C,"劳务派遣",'1-2 人员岗位信息'!$B:$B,$D167)</f>
        <v>0</v>
      </c>
      <c r="BF167" s="297"/>
      <c r="BG167" s="175">
        <f t="shared" si="330"/>
        <v>0</v>
      </c>
      <c r="BH167" s="175">
        <f>SUMIFS('1-2 人员岗位信息'!P:P,'1-2 人员岗位信息'!$C:$C,"劳务派遣",'1-2 人员岗位信息'!$B:$B,$D167)</f>
        <v>0</v>
      </c>
      <c r="BI167" s="297"/>
      <c r="BJ167" s="175">
        <f t="shared" si="331"/>
        <v>0</v>
      </c>
      <c r="BK167" s="175">
        <f>SUMIFS('1-2 人员岗位信息'!Q:Q,'1-2 人员岗位信息'!$C:$C,"劳务派遣",'1-2 人员岗位信息'!$B:$B,$D167)</f>
        <v>0</v>
      </c>
      <c r="BL167" s="306"/>
      <c r="BM167" s="310"/>
      <c r="BN167" s="314"/>
    </row>
    <row r="168" s="262" customFormat="1" ht="33.95" hidden="1" customHeight="1" outlineLevel="5" spans="2:66">
      <c r="B168" s="175" t="s">
        <v>747</v>
      </c>
      <c r="C168" s="282" t="s">
        <v>1032</v>
      </c>
      <c r="D168" s="262" t="s">
        <v>1023</v>
      </c>
      <c r="E168" s="175" t="s">
        <v>1033</v>
      </c>
      <c r="F168" s="175"/>
      <c r="G168" s="175" t="s">
        <v>751</v>
      </c>
      <c r="H168" s="175">
        <f t="shared" si="315"/>
        <v>0</v>
      </c>
      <c r="I168" s="175" t="s">
        <v>752</v>
      </c>
      <c r="J168" s="175" t="e">
        <f t="shared" si="316"/>
        <v>#DIV/0!</v>
      </c>
      <c r="K168" s="175" t="s">
        <v>753</v>
      </c>
      <c r="L168" s="175" t="e">
        <f t="shared" si="317"/>
        <v>#DIV/0!</v>
      </c>
      <c r="M168" s="175" t="s">
        <v>754</v>
      </c>
      <c r="N168" s="175">
        <f t="shared" si="318"/>
        <v>0</v>
      </c>
      <c r="O168" s="175"/>
      <c r="P168" s="289"/>
      <c r="Q168" s="289"/>
      <c r="R168" s="289"/>
      <c r="S168" s="289"/>
      <c r="T168" s="289"/>
      <c r="U168" s="289"/>
      <c r="V168" s="289"/>
      <c r="W168" s="289"/>
      <c r="X168" s="289"/>
      <c r="Y168" s="289"/>
      <c r="Z168" s="289"/>
      <c r="AA168" s="289"/>
      <c r="AB168" s="175">
        <f t="shared" si="319"/>
        <v>0</v>
      </c>
      <c r="AC168" s="175">
        <f t="shared" si="320"/>
        <v>0</v>
      </c>
      <c r="AD168" s="175">
        <f>SUMIFS('1-2 人员岗位信息'!F:F,'1-2 人员岗位信息'!$C:$C,"劳务派遣",'1-2 人员岗位信息'!$B:$B,$D168)</f>
        <v>0</v>
      </c>
      <c r="AE168" s="297"/>
      <c r="AF168" s="175">
        <f t="shared" si="321"/>
        <v>0</v>
      </c>
      <c r="AG168" s="175">
        <f>SUMIFS('1-2 人员岗位信息'!G:G,'1-2 人员岗位信息'!$C:$C,"劳务派遣",'1-2 人员岗位信息'!$B:$B,$D168)</f>
        <v>0</v>
      </c>
      <c r="AH168" s="297"/>
      <c r="AI168" s="175">
        <f t="shared" si="322"/>
        <v>0</v>
      </c>
      <c r="AJ168" s="175">
        <f>SUMIFS('1-2 人员岗位信息'!H:H,'1-2 人员岗位信息'!$C:$C,"劳务派遣",'1-2 人员岗位信息'!$B:$B,$D168)</f>
        <v>0</v>
      </c>
      <c r="AK168" s="297"/>
      <c r="AL168" s="175">
        <f t="shared" si="323"/>
        <v>0</v>
      </c>
      <c r="AM168" s="175">
        <f>SUMIFS('1-2 人员岗位信息'!I:I,'1-2 人员岗位信息'!$C:$C,"劳务派遣",'1-2 人员岗位信息'!$B:$B,$D168)</f>
        <v>0</v>
      </c>
      <c r="AN168" s="297"/>
      <c r="AO168" s="175">
        <f t="shared" si="324"/>
        <v>0</v>
      </c>
      <c r="AP168" s="175">
        <f>SUMIFS('1-2 人员岗位信息'!J:J,'1-2 人员岗位信息'!$C:$C,"劳务派遣",'1-2 人员岗位信息'!$B:$B,$D168)</f>
        <v>0</v>
      </c>
      <c r="AQ168" s="297"/>
      <c r="AR168" s="175">
        <f t="shared" si="325"/>
        <v>0</v>
      </c>
      <c r="AS168" s="175">
        <f>SUMIFS('1-2 人员岗位信息'!K:K,'1-2 人员岗位信息'!$C:$C,"劳务派遣",'1-2 人员岗位信息'!$B:$B,$D168)</f>
        <v>0</v>
      </c>
      <c r="AT168" s="297"/>
      <c r="AU168" s="175">
        <f t="shared" si="326"/>
        <v>0</v>
      </c>
      <c r="AV168" s="175">
        <f>SUMIFS('1-2 人员岗位信息'!L:L,'1-2 人员岗位信息'!$C:$C,"劳务派遣",'1-2 人员岗位信息'!$B:$B,$D168)</f>
        <v>0</v>
      </c>
      <c r="AW168" s="297"/>
      <c r="AX168" s="175">
        <f t="shared" si="327"/>
        <v>0</v>
      </c>
      <c r="AY168" s="175">
        <f>SUMIFS('1-2 人员岗位信息'!M:M,'1-2 人员岗位信息'!$C:$C,"劳务派遣",'1-2 人员岗位信息'!$B:$B,$D168)</f>
        <v>0</v>
      </c>
      <c r="AZ168" s="297"/>
      <c r="BA168" s="175">
        <f t="shared" si="328"/>
        <v>0</v>
      </c>
      <c r="BB168" s="175">
        <f>SUMIFS('1-2 人员岗位信息'!N:N,'1-2 人员岗位信息'!$C:$C,"劳务派遣",'1-2 人员岗位信息'!$B:$B,$D168)</f>
        <v>0</v>
      </c>
      <c r="BC168" s="297"/>
      <c r="BD168" s="175">
        <f t="shared" si="329"/>
        <v>0</v>
      </c>
      <c r="BE168" s="175">
        <f>SUMIFS('1-2 人员岗位信息'!O:O,'1-2 人员岗位信息'!$C:$C,"劳务派遣",'1-2 人员岗位信息'!$B:$B,$D168)</f>
        <v>0</v>
      </c>
      <c r="BF168" s="297"/>
      <c r="BG168" s="175">
        <f t="shared" si="330"/>
        <v>0</v>
      </c>
      <c r="BH168" s="175">
        <f>SUMIFS('1-2 人员岗位信息'!P:P,'1-2 人员岗位信息'!$C:$C,"劳务派遣",'1-2 人员岗位信息'!$B:$B,$D168)</f>
        <v>0</v>
      </c>
      <c r="BI168" s="297"/>
      <c r="BJ168" s="175">
        <f t="shared" si="331"/>
        <v>0</v>
      </c>
      <c r="BK168" s="175">
        <f>SUMIFS('1-2 人员岗位信息'!Q:Q,'1-2 人员岗位信息'!$C:$C,"劳务派遣",'1-2 人员岗位信息'!$B:$B,$D168)</f>
        <v>0</v>
      </c>
      <c r="BL168" s="306"/>
      <c r="BM168" s="310"/>
      <c r="BN168" s="314"/>
    </row>
    <row r="169" s="262" customFormat="1" ht="33.95" hidden="1" customHeight="1" outlineLevel="5" spans="2:66">
      <c r="B169" s="175" t="s">
        <v>747</v>
      </c>
      <c r="C169" s="282" t="s">
        <v>1034</v>
      </c>
      <c r="D169" s="262" t="s">
        <v>1026</v>
      </c>
      <c r="E169" s="175" t="s">
        <v>1035</v>
      </c>
      <c r="F169" s="175"/>
      <c r="G169" s="175" t="s">
        <v>751</v>
      </c>
      <c r="H169" s="175">
        <f t="shared" si="315"/>
        <v>0</v>
      </c>
      <c r="I169" s="175" t="s">
        <v>752</v>
      </c>
      <c r="J169" s="175" t="e">
        <f t="shared" si="316"/>
        <v>#DIV/0!</v>
      </c>
      <c r="K169" s="175" t="s">
        <v>753</v>
      </c>
      <c r="L169" s="175" t="e">
        <f t="shared" si="317"/>
        <v>#DIV/0!</v>
      </c>
      <c r="M169" s="175" t="s">
        <v>754</v>
      </c>
      <c r="N169" s="175">
        <f t="shared" si="318"/>
        <v>0</v>
      </c>
      <c r="O169" s="175"/>
      <c r="P169" s="289"/>
      <c r="Q169" s="289"/>
      <c r="R169" s="289"/>
      <c r="S169" s="289"/>
      <c r="T169" s="289"/>
      <c r="U169" s="289"/>
      <c r="V169" s="289"/>
      <c r="W169" s="289"/>
      <c r="X169" s="289"/>
      <c r="Y169" s="289"/>
      <c r="Z169" s="289"/>
      <c r="AA169" s="289"/>
      <c r="AB169" s="175">
        <f t="shared" si="319"/>
        <v>0</v>
      </c>
      <c r="AC169" s="175">
        <f t="shared" si="320"/>
        <v>0</v>
      </c>
      <c r="AD169" s="175">
        <f>SUMIFS('1-2 人员岗位信息'!F:F,'1-2 人员岗位信息'!$C:$C,"劳务派遣",'1-2 人员岗位信息'!$B:$B,$D169)</f>
        <v>0</v>
      </c>
      <c r="AE169" s="297"/>
      <c r="AF169" s="175">
        <f t="shared" si="321"/>
        <v>0</v>
      </c>
      <c r="AG169" s="175">
        <f>SUMIFS('1-2 人员岗位信息'!G:G,'1-2 人员岗位信息'!$C:$C,"劳务派遣",'1-2 人员岗位信息'!$B:$B,$D169)</f>
        <v>0</v>
      </c>
      <c r="AH169" s="297"/>
      <c r="AI169" s="175">
        <f t="shared" si="322"/>
        <v>0</v>
      </c>
      <c r="AJ169" s="175">
        <f>SUMIFS('1-2 人员岗位信息'!H:H,'1-2 人员岗位信息'!$C:$C,"劳务派遣",'1-2 人员岗位信息'!$B:$B,$D169)</f>
        <v>0</v>
      </c>
      <c r="AK169" s="297"/>
      <c r="AL169" s="175">
        <f t="shared" si="323"/>
        <v>0</v>
      </c>
      <c r="AM169" s="175">
        <f>SUMIFS('1-2 人员岗位信息'!I:I,'1-2 人员岗位信息'!$C:$C,"劳务派遣",'1-2 人员岗位信息'!$B:$B,$D169)</f>
        <v>0</v>
      </c>
      <c r="AN169" s="297"/>
      <c r="AO169" s="175">
        <f t="shared" si="324"/>
        <v>0</v>
      </c>
      <c r="AP169" s="175">
        <f>SUMIFS('1-2 人员岗位信息'!J:J,'1-2 人员岗位信息'!$C:$C,"劳务派遣",'1-2 人员岗位信息'!$B:$B,$D169)</f>
        <v>0</v>
      </c>
      <c r="AQ169" s="297"/>
      <c r="AR169" s="175">
        <f t="shared" si="325"/>
        <v>0</v>
      </c>
      <c r="AS169" s="175">
        <f>SUMIFS('1-2 人员岗位信息'!K:K,'1-2 人员岗位信息'!$C:$C,"劳务派遣",'1-2 人员岗位信息'!$B:$B,$D169)</f>
        <v>0</v>
      </c>
      <c r="AT169" s="297"/>
      <c r="AU169" s="175">
        <f t="shared" si="326"/>
        <v>0</v>
      </c>
      <c r="AV169" s="175">
        <f>SUMIFS('1-2 人员岗位信息'!L:L,'1-2 人员岗位信息'!$C:$C,"劳务派遣",'1-2 人员岗位信息'!$B:$B,$D169)</f>
        <v>0</v>
      </c>
      <c r="AW169" s="297"/>
      <c r="AX169" s="175">
        <f t="shared" si="327"/>
        <v>0</v>
      </c>
      <c r="AY169" s="175">
        <f>SUMIFS('1-2 人员岗位信息'!M:M,'1-2 人员岗位信息'!$C:$C,"劳务派遣",'1-2 人员岗位信息'!$B:$B,$D169)</f>
        <v>0</v>
      </c>
      <c r="AZ169" s="297"/>
      <c r="BA169" s="175">
        <f t="shared" si="328"/>
        <v>0</v>
      </c>
      <c r="BB169" s="175">
        <f>SUMIFS('1-2 人员岗位信息'!N:N,'1-2 人员岗位信息'!$C:$C,"劳务派遣",'1-2 人员岗位信息'!$B:$B,$D169)</f>
        <v>0</v>
      </c>
      <c r="BC169" s="297"/>
      <c r="BD169" s="175">
        <f t="shared" si="329"/>
        <v>0</v>
      </c>
      <c r="BE169" s="175">
        <f>SUMIFS('1-2 人员岗位信息'!O:O,'1-2 人员岗位信息'!$C:$C,"劳务派遣",'1-2 人员岗位信息'!$B:$B,$D169)</f>
        <v>0</v>
      </c>
      <c r="BF169" s="297"/>
      <c r="BG169" s="175">
        <f t="shared" si="330"/>
        <v>0</v>
      </c>
      <c r="BH169" s="175">
        <f>SUMIFS('1-2 人员岗位信息'!P:P,'1-2 人员岗位信息'!$C:$C,"劳务派遣",'1-2 人员岗位信息'!$B:$B,$D169)</f>
        <v>0</v>
      </c>
      <c r="BI169" s="297"/>
      <c r="BJ169" s="175">
        <f t="shared" si="331"/>
        <v>0</v>
      </c>
      <c r="BK169" s="175">
        <f>SUMIFS('1-2 人员岗位信息'!Q:Q,'1-2 人员岗位信息'!$C:$C,"劳务派遣",'1-2 人员岗位信息'!$B:$B,$D169)</f>
        <v>0</v>
      </c>
      <c r="BL169" s="306"/>
      <c r="BM169" s="310"/>
      <c r="BN169" s="314"/>
    </row>
    <row r="170" s="118" customFormat="1" ht="33.95" hidden="1" customHeight="1" outlineLevel="4" collapsed="1" spans="2:66">
      <c r="B170" s="119" t="s">
        <v>742</v>
      </c>
      <c r="C170" s="120" t="s">
        <v>22</v>
      </c>
      <c r="D170" s="118" t="s">
        <v>23</v>
      </c>
      <c r="E170" s="119"/>
      <c r="F170" s="119"/>
      <c r="G170" s="119"/>
      <c r="H170" s="119">
        <f>SUM(H171:H174)</f>
        <v>0</v>
      </c>
      <c r="I170" s="119"/>
      <c r="J170" s="119"/>
      <c r="K170" s="119"/>
      <c r="L170" s="119"/>
      <c r="M170" s="119"/>
      <c r="N170" s="119"/>
      <c r="O170" s="119"/>
      <c r="P170" s="288"/>
      <c r="Q170" s="288"/>
      <c r="R170" s="288"/>
      <c r="S170" s="288"/>
      <c r="T170" s="288"/>
      <c r="U170" s="288"/>
      <c r="V170" s="288"/>
      <c r="W170" s="288"/>
      <c r="X170" s="288"/>
      <c r="Y170" s="288"/>
      <c r="Z170" s="288"/>
      <c r="AA170" s="288"/>
      <c r="AB170" s="119">
        <f t="shared" ref="AB170:AF170" si="332">SUM(AB171:AB174)</f>
        <v>0</v>
      </c>
      <c r="AC170" s="119">
        <f t="shared" si="332"/>
        <v>0</v>
      </c>
      <c r="AD170" s="119"/>
      <c r="AE170" s="119"/>
      <c r="AF170" s="119">
        <f t="shared" si="332"/>
        <v>0</v>
      </c>
      <c r="AG170" s="119"/>
      <c r="AH170" s="119"/>
      <c r="AI170" s="119">
        <f>SUM(AI171:AI174)</f>
        <v>0</v>
      </c>
      <c r="AJ170" s="119"/>
      <c r="AK170" s="119"/>
      <c r="AL170" s="119">
        <f>SUM(AL171:AL174)</f>
        <v>0</v>
      </c>
      <c r="AM170" s="119"/>
      <c r="AN170" s="119"/>
      <c r="AO170" s="119">
        <f>SUM(AO171:AO174)</f>
        <v>0</v>
      </c>
      <c r="AP170" s="119"/>
      <c r="AQ170" s="119"/>
      <c r="AR170" s="119">
        <f>SUM(AR171:AR174)</f>
        <v>0</v>
      </c>
      <c r="AS170" s="119"/>
      <c r="AT170" s="119"/>
      <c r="AU170" s="119">
        <f>SUM(AU171:AU174)</f>
        <v>0</v>
      </c>
      <c r="AV170" s="119"/>
      <c r="AW170" s="119"/>
      <c r="AX170" s="119">
        <f>SUM(AX171:AX174)</f>
        <v>0</v>
      </c>
      <c r="AY170" s="119"/>
      <c r="AZ170" s="119"/>
      <c r="BA170" s="119">
        <f>SUM(BA171:BA174)</f>
        <v>0</v>
      </c>
      <c r="BB170" s="119"/>
      <c r="BC170" s="119"/>
      <c r="BD170" s="119">
        <f>SUM(BD171:BD174)</f>
        <v>0</v>
      </c>
      <c r="BE170" s="119"/>
      <c r="BF170" s="119"/>
      <c r="BG170" s="119">
        <f>SUM(BG171:BG174)</f>
        <v>0</v>
      </c>
      <c r="BH170" s="119"/>
      <c r="BI170" s="119"/>
      <c r="BJ170" s="119">
        <f>SUM(BJ171:BJ174)</f>
        <v>0</v>
      </c>
      <c r="BK170" s="119"/>
      <c r="BL170" s="305"/>
      <c r="BM170" s="310"/>
      <c r="BN170" s="313"/>
    </row>
    <row r="171" s="262" customFormat="1" ht="33.95" hidden="1" customHeight="1" outlineLevel="5" spans="2:66">
      <c r="B171" s="175" t="s">
        <v>747</v>
      </c>
      <c r="C171" s="282" t="s">
        <v>1036</v>
      </c>
      <c r="D171" s="262" t="s">
        <v>1017</v>
      </c>
      <c r="E171" s="175" t="s">
        <v>1037</v>
      </c>
      <c r="F171" s="175"/>
      <c r="G171" s="175" t="s">
        <v>751</v>
      </c>
      <c r="H171" s="175">
        <f t="shared" ref="H171:H175" si="333">AB171</f>
        <v>0</v>
      </c>
      <c r="I171" s="175" t="s">
        <v>752</v>
      </c>
      <c r="J171" s="175" t="e">
        <f t="shared" ref="J171:J175" si="334">SUM(AD171,AG171,AJ171,AM171,AP171,AS171,AV171,AY171,BB171,BE171,BH171,BK171)/N171</f>
        <v>#DIV/0!</v>
      </c>
      <c r="K171" s="175" t="s">
        <v>753</v>
      </c>
      <c r="L171" s="175" t="e">
        <f t="shared" ref="L171:L175" si="335">H171/N171/J171</f>
        <v>#DIV/0!</v>
      </c>
      <c r="M171" s="175" t="s">
        <v>754</v>
      </c>
      <c r="N171" s="175">
        <f t="shared" ref="N171:N175" si="336">COUNTIF(AD171,"&gt;0")+COUNTIF(AG171,"&gt;0")+COUNTIF(AJ171,"&gt;0")+COUNTIF(AM171,"&gt;0")+COUNTIF(AP171,"&gt;0")+COUNTIF(AS171,"&gt;0")+COUNTIF(AV171,"&gt;0")+COUNTIF(AY171,"&gt;0")+COUNTIF(BB171,"&gt;0")+COUNTIF(BE171,"&gt;0")+COUNTIF(BH171,"&gt;0")+COUNTIF(BK171,"&gt;0")</f>
        <v>0</v>
      </c>
      <c r="O171" s="175"/>
      <c r="P171" s="289"/>
      <c r="Q171" s="289"/>
      <c r="R171" s="289"/>
      <c r="S171" s="289"/>
      <c r="T171" s="289"/>
      <c r="U171" s="289"/>
      <c r="V171" s="289"/>
      <c r="W171" s="289"/>
      <c r="X171" s="289"/>
      <c r="Y171" s="289"/>
      <c r="Z171" s="289"/>
      <c r="AA171" s="289"/>
      <c r="AB171" s="175">
        <f t="shared" ref="AB171:AB175" si="337">SUM(AC171,AF171,AI171,AL171,AO171,AR171,AU171,AX171,BA171,BD171,BG171,BJ171)</f>
        <v>0</v>
      </c>
      <c r="AC171" s="175">
        <f t="shared" ref="AC171:AC175" si="338">AD171*AE171</f>
        <v>0</v>
      </c>
      <c r="AD171" s="175">
        <f>SUMIFS('1-2 人员岗位信息'!F:F,'1-2 人员岗位信息'!$C:$C,"专业外包",'1-2 人员岗位信息'!$B:$B,$D171)</f>
        <v>0</v>
      </c>
      <c r="AE171" s="297"/>
      <c r="AF171" s="175">
        <f t="shared" ref="AF171:AF175" si="339">AG171*AH171</f>
        <v>0</v>
      </c>
      <c r="AG171" s="175">
        <f>SUMIFS('1-2 人员岗位信息'!G:G,'1-2 人员岗位信息'!$C:$C,"专业外包",'1-2 人员岗位信息'!$B:$B,$D171)</f>
        <v>0</v>
      </c>
      <c r="AH171" s="297"/>
      <c r="AI171" s="175">
        <f t="shared" ref="AI171:AI175" si="340">AJ171*AK171</f>
        <v>0</v>
      </c>
      <c r="AJ171" s="175">
        <f>SUMIFS('1-2 人员岗位信息'!H:H,'1-2 人员岗位信息'!$C:$C,"专业外包",'1-2 人员岗位信息'!$B:$B,$D171)</f>
        <v>0</v>
      </c>
      <c r="AK171" s="297"/>
      <c r="AL171" s="175">
        <f t="shared" ref="AL171:AL175" si="341">AM171*AN171</f>
        <v>0</v>
      </c>
      <c r="AM171" s="175">
        <f>SUMIFS('1-2 人员岗位信息'!I:I,'1-2 人员岗位信息'!$C:$C,"专业外包",'1-2 人员岗位信息'!$B:$B,$D171)</f>
        <v>0</v>
      </c>
      <c r="AN171" s="297"/>
      <c r="AO171" s="175">
        <f t="shared" ref="AO171:AO175" si="342">AP171*AQ171</f>
        <v>0</v>
      </c>
      <c r="AP171" s="175">
        <f>SUMIFS('1-2 人员岗位信息'!J:J,'1-2 人员岗位信息'!$C:$C,"专业外包",'1-2 人员岗位信息'!$B:$B,$D171)</f>
        <v>0</v>
      </c>
      <c r="AQ171" s="297"/>
      <c r="AR171" s="175">
        <f t="shared" ref="AR171:AR175" si="343">AS171*AT171</f>
        <v>0</v>
      </c>
      <c r="AS171" s="175">
        <f>SUMIFS('1-2 人员岗位信息'!K:K,'1-2 人员岗位信息'!$C:$C,"专业外包",'1-2 人员岗位信息'!$B:$B,$D171)</f>
        <v>0</v>
      </c>
      <c r="AT171" s="297"/>
      <c r="AU171" s="175">
        <f t="shared" ref="AU171:AU175" si="344">AV171*AW171</f>
        <v>0</v>
      </c>
      <c r="AV171" s="175">
        <f>SUMIFS('1-2 人员岗位信息'!L:L,'1-2 人员岗位信息'!$C:$C,"专业外包",'1-2 人员岗位信息'!$B:$B,$D171)</f>
        <v>0</v>
      </c>
      <c r="AW171" s="297"/>
      <c r="AX171" s="175">
        <f t="shared" ref="AX171:AX175" si="345">AY171*AZ171</f>
        <v>0</v>
      </c>
      <c r="AY171" s="175">
        <f>SUMIFS('1-2 人员岗位信息'!M:M,'1-2 人员岗位信息'!$C:$C,"专业外包",'1-2 人员岗位信息'!$B:$B,$D171)</f>
        <v>0</v>
      </c>
      <c r="AZ171" s="297"/>
      <c r="BA171" s="175">
        <f t="shared" ref="BA171:BA175" si="346">BB171*BC171</f>
        <v>0</v>
      </c>
      <c r="BB171" s="175">
        <f>SUMIFS('1-2 人员岗位信息'!N:N,'1-2 人员岗位信息'!$C:$C,"专业外包",'1-2 人员岗位信息'!$B:$B,$D171)</f>
        <v>0</v>
      </c>
      <c r="BC171" s="297"/>
      <c r="BD171" s="175">
        <f t="shared" ref="BD171:BD175" si="347">BE171*BF171</f>
        <v>0</v>
      </c>
      <c r="BE171" s="175">
        <f>SUMIFS('1-2 人员岗位信息'!O:O,'1-2 人员岗位信息'!$C:$C,"专业外包",'1-2 人员岗位信息'!$B:$B,$D171)</f>
        <v>0</v>
      </c>
      <c r="BF171" s="297"/>
      <c r="BG171" s="175">
        <f t="shared" ref="BG171:BG175" si="348">BH171*BI171</f>
        <v>0</v>
      </c>
      <c r="BH171" s="175">
        <f>SUMIFS('1-2 人员岗位信息'!P:P,'1-2 人员岗位信息'!$C:$C,"专业外包",'1-2 人员岗位信息'!$B:$B,$D171)</f>
        <v>0</v>
      </c>
      <c r="BI171" s="297"/>
      <c r="BJ171" s="175">
        <f t="shared" ref="BJ171:BJ175" si="349">BK171*BL171</f>
        <v>0</v>
      </c>
      <c r="BK171" s="175">
        <f>SUMIFS('1-2 人员岗位信息'!Q:Q,'1-2 人员岗位信息'!$C:$C,"专业外包",'1-2 人员岗位信息'!$B:$B,$D171)</f>
        <v>0</v>
      </c>
      <c r="BL171" s="306"/>
      <c r="BM171" s="310"/>
      <c r="BN171" s="314"/>
    </row>
    <row r="172" s="262" customFormat="1" ht="33.95" hidden="1" customHeight="1" outlineLevel="5" spans="2:66">
      <c r="B172" s="175" t="s">
        <v>747</v>
      </c>
      <c r="C172" s="282" t="s">
        <v>1038</v>
      </c>
      <c r="D172" s="262" t="s">
        <v>1020</v>
      </c>
      <c r="E172" s="175" t="s">
        <v>1039</v>
      </c>
      <c r="F172" s="175"/>
      <c r="G172" s="175" t="s">
        <v>751</v>
      </c>
      <c r="H172" s="175">
        <f t="shared" si="333"/>
        <v>0</v>
      </c>
      <c r="I172" s="175" t="s">
        <v>752</v>
      </c>
      <c r="J172" s="175" t="e">
        <f t="shared" si="334"/>
        <v>#DIV/0!</v>
      </c>
      <c r="K172" s="175" t="s">
        <v>753</v>
      </c>
      <c r="L172" s="175" t="e">
        <f t="shared" si="335"/>
        <v>#DIV/0!</v>
      </c>
      <c r="M172" s="175" t="s">
        <v>754</v>
      </c>
      <c r="N172" s="175">
        <f t="shared" si="336"/>
        <v>0</v>
      </c>
      <c r="O172" s="175"/>
      <c r="P172" s="289"/>
      <c r="Q172" s="289"/>
      <c r="R172" s="289"/>
      <c r="S172" s="289"/>
      <c r="T172" s="289"/>
      <c r="U172" s="289"/>
      <c r="V172" s="289"/>
      <c r="W172" s="289"/>
      <c r="X172" s="289"/>
      <c r="Y172" s="289"/>
      <c r="Z172" s="289"/>
      <c r="AA172" s="289"/>
      <c r="AB172" s="175">
        <f t="shared" si="337"/>
        <v>0</v>
      </c>
      <c r="AC172" s="175">
        <f t="shared" si="338"/>
        <v>0</v>
      </c>
      <c r="AD172" s="175">
        <f>SUMIFS('1-2 人员岗位信息'!F:F,'1-2 人员岗位信息'!$C:$C,"专业外包",'1-2 人员岗位信息'!$B:$B,$D172)</f>
        <v>0</v>
      </c>
      <c r="AE172" s="297"/>
      <c r="AF172" s="175">
        <f t="shared" si="339"/>
        <v>0</v>
      </c>
      <c r="AG172" s="175">
        <f>SUMIFS('1-2 人员岗位信息'!G:G,'1-2 人员岗位信息'!$C:$C,"专业外包",'1-2 人员岗位信息'!$B:$B,$D172)</f>
        <v>0</v>
      </c>
      <c r="AH172" s="297"/>
      <c r="AI172" s="175">
        <f t="shared" si="340"/>
        <v>0</v>
      </c>
      <c r="AJ172" s="175">
        <f>SUMIFS('1-2 人员岗位信息'!H:H,'1-2 人员岗位信息'!$C:$C,"专业外包",'1-2 人员岗位信息'!$B:$B,$D172)</f>
        <v>0</v>
      </c>
      <c r="AK172" s="297"/>
      <c r="AL172" s="175">
        <f t="shared" si="341"/>
        <v>0</v>
      </c>
      <c r="AM172" s="175">
        <f>SUMIFS('1-2 人员岗位信息'!I:I,'1-2 人员岗位信息'!$C:$C,"专业外包",'1-2 人员岗位信息'!$B:$B,$D172)</f>
        <v>0</v>
      </c>
      <c r="AN172" s="297"/>
      <c r="AO172" s="175">
        <f t="shared" si="342"/>
        <v>0</v>
      </c>
      <c r="AP172" s="175">
        <f>SUMIFS('1-2 人员岗位信息'!J:J,'1-2 人员岗位信息'!$C:$C,"专业外包",'1-2 人员岗位信息'!$B:$B,$D172)</f>
        <v>0</v>
      </c>
      <c r="AQ172" s="297"/>
      <c r="AR172" s="175">
        <f t="shared" si="343"/>
        <v>0</v>
      </c>
      <c r="AS172" s="175">
        <f>SUMIFS('1-2 人员岗位信息'!K:K,'1-2 人员岗位信息'!$C:$C,"专业外包",'1-2 人员岗位信息'!$B:$B,$D172)</f>
        <v>0</v>
      </c>
      <c r="AT172" s="297"/>
      <c r="AU172" s="175">
        <f t="shared" si="344"/>
        <v>0</v>
      </c>
      <c r="AV172" s="175">
        <f>SUMIFS('1-2 人员岗位信息'!L:L,'1-2 人员岗位信息'!$C:$C,"专业外包",'1-2 人员岗位信息'!$B:$B,$D172)</f>
        <v>0</v>
      </c>
      <c r="AW172" s="297"/>
      <c r="AX172" s="175">
        <f t="shared" si="345"/>
        <v>0</v>
      </c>
      <c r="AY172" s="175">
        <f>SUMIFS('1-2 人员岗位信息'!M:M,'1-2 人员岗位信息'!$C:$C,"专业外包",'1-2 人员岗位信息'!$B:$B,$D172)</f>
        <v>0</v>
      </c>
      <c r="AZ172" s="297"/>
      <c r="BA172" s="175">
        <f t="shared" si="346"/>
        <v>0</v>
      </c>
      <c r="BB172" s="175">
        <f>SUMIFS('1-2 人员岗位信息'!N:N,'1-2 人员岗位信息'!$C:$C,"专业外包",'1-2 人员岗位信息'!$B:$B,$D172)</f>
        <v>0</v>
      </c>
      <c r="BC172" s="297"/>
      <c r="BD172" s="175">
        <f t="shared" si="347"/>
        <v>0</v>
      </c>
      <c r="BE172" s="175">
        <f>SUMIFS('1-2 人员岗位信息'!O:O,'1-2 人员岗位信息'!$C:$C,"专业外包",'1-2 人员岗位信息'!$B:$B,$D172)</f>
        <v>0</v>
      </c>
      <c r="BF172" s="297"/>
      <c r="BG172" s="175">
        <f t="shared" si="348"/>
        <v>0</v>
      </c>
      <c r="BH172" s="175">
        <f>SUMIFS('1-2 人员岗位信息'!P:P,'1-2 人员岗位信息'!$C:$C,"专业外包",'1-2 人员岗位信息'!$B:$B,$D172)</f>
        <v>0</v>
      </c>
      <c r="BI172" s="297"/>
      <c r="BJ172" s="175">
        <f t="shared" si="349"/>
        <v>0</v>
      </c>
      <c r="BK172" s="175">
        <f>SUMIFS('1-2 人员岗位信息'!Q:Q,'1-2 人员岗位信息'!$C:$C,"专业外包",'1-2 人员岗位信息'!$B:$B,$D172)</f>
        <v>0</v>
      </c>
      <c r="BL172" s="306"/>
      <c r="BM172" s="310"/>
      <c r="BN172" s="314"/>
    </row>
    <row r="173" s="262" customFormat="1" ht="33.95" hidden="1" customHeight="1" outlineLevel="5" spans="2:66">
      <c r="B173" s="175" t="s">
        <v>747</v>
      </c>
      <c r="C173" s="282" t="s">
        <v>1040</v>
      </c>
      <c r="D173" s="262" t="s">
        <v>1023</v>
      </c>
      <c r="E173" s="175" t="s">
        <v>1041</v>
      </c>
      <c r="F173" s="175"/>
      <c r="G173" s="175" t="s">
        <v>751</v>
      </c>
      <c r="H173" s="175">
        <f t="shared" si="333"/>
        <v>0</v>
      </c>
      <c r="I173" s="175" t="s">
        <v>752</v>
      </c>
      <c r="J173" s="175" t="e">
        <f t="shared" si="334"/>
        <v>#DIV/0!</v>
      </c>
      <c r="K173" s="175" t="s">
        <v>753</v>
      </c>
      <c r="L173" s="175" t="e">
        <f t="shared" si="335"/>
        <v>#DIV/0!</v>
      </c>
      <c r="M173" s="175" t="s">
        <v>754</v>
      </c>
      <c r="N173" s="175">
        <f t="shared" si="336"/>
        <v>0</v>
      </c>
      <c r="O173" s="175"/>
      <c r="P173" s="289"/>
      <c r="Q173" s="289"/>
      <c r="R173" s="289"/>
      <c r="S173" s="289"/>
      <c r="T173" s="289"/>
      <c r="U173" s="289"/>
      <c r="V173" s="289"/>
      <c r="W173" s="289"/>
      <c r="X173" s="289"/>
      <c r="Y173" s="289"/>
      <c r="Z173" s="289"/>
      <c r="AA173" s="289"/>
      <c r="AB173" s="175">
        <f t="shared" si="337"/>
        <v>0</v>
      </c>
      <c r="AC173" s="175">
        <f t="shared" si="338"/>
        <v>0</v>
      </c>
      <c r="AD173" s="175">
        <f>SUMIFS('1-2 人员岗位信息'!F:F,'1-2 人员岗位信息'!$C:$C,"专业外包",'1-2 人员岗位信息'!$B:$B,$D173)</f>
        <v>0</v>
      </c>
      <c r="AE173" s="297"/>
      <c r="AF173" s="175">
        <f t="shared" si="339"/>
        <v>0</v>
      </c>
      <c r="AG173" s="175">
        <f>SUMIFS('1-2 人员岗位信息'!G:G,'1-2 人员岗位信息'!$C:$C,"专业外包",'1-2 人员岗位信息'!$B:$B,$D173)</f>
        <v>0</v>
      </c>
      <c r="AH173" s="297"/>
      <c r="AI173" s="175">
        <f t="shared" si="340"/>
        <v>0</v>
      </c>
      <c r="AJ173" s="175">
        <f>SUMIFS('1-2 人员岗位信息'!H:H,'1-2 人员岗位信息'!$C:$C,"专业外包",'1-2 人员岗位信息'!$B:$B,$D173)</f>
        <v>0</v>
      </c>
      <c r="AK173" s="297"/>
      <c r="AL173" s="175">
        <f t="shared" si="341"/>
        <v>0</v>
      </c>
      <c r="AM173" s="175">
        <f>SUMIFS('1-2 人员岗位信息'!I:I,'1-2 人员岗位信息'!$C:$C,"专业外包",'1-2 人员岗位信息'!$B:$B,$D173)</f>
        <v>0</v>
      </c>
      <c r="AN173" s="297"/>
      <c r="AO173" s="175">
        <f t="shared" si="342"/>
        <v>0</v>
      </c>
      <c r="AP173" s="175">
        <f>SUMIFS('1-2 人员岗位信息'!J:J,'1-2 人员岗位信息'!$C:$C,"专业外包",'1-2 人员岗位信息'!$B:$B,$D173)</f>
        <v>0</v>
      </c>
      <c r="AQ173" s="297"/>
      <c r="AR173" s="175">
        <f t="shared" si="343"/>
        <v>0</v>
      </c>
      <c r="AS173" s="175">
        <f>SUMIFS('1-2 人员岗位信息'!K:K,'1-2 人员岗位信息'!$C:$C,"专业外包",'1-2 人员岗位信息'!$B:$B,$D173)</f>
        <v>0</v>
      </c>
      <c r="AT173" s="297"/>
      <c r="AU173" s="175">
        <f t="shared" si="344"/>
        <v>0</v>
      </c>
      <c r="AV173" s="175">
        <f>SUMIFS('1-2 人员岗位信息'!L:L,'1-2 人员岗位信息'!$C:$C,"专业外包",'1-2 人员岗位信息'!$B:$B,$D173)</f>
        <v>0</v>
      </c>
      <c r="AW173" s="297"/>
      <c r="AX173" s="175">
        <f t="shared" si="345"/>
        <v>0</v>
      </c>
      <c r="AY173" s="175">
        <f>SUMIFS('1-2 人员岗位信息'!M:M,'1-2 人员岗位信息'!$C:$C,"专业外包",'1-2 人员岗位信息'!$B:$B,$D173)</f>
        <v>0</v>
      </c>
      <c r="AZ173" s="297"/>
      <c r="BA173" s="175">
        <f t="shared" si="346"/>
        <v>0</v>
      </c>
      <c r="BB173" s="175">
        <f>SUMIFS('1-2 人员岗位信息'!N:N,'1-2 人员岗位信息'!$C:$C,"专业外包",'1-2 人员岗位信息'!$B:$B,$D173)</f>
        <v>0</v>
      </c>
      <c r="BC173" s="297"/>
      <c r="BD173" s="175">
        <f t="shared" si="347"/>
        <v>0</v>
      </c>
      <c r="BE173" s="175">
        <f>SUMIFS('1-2 人员岗位信息'!O:O,'1-2 人员岗位信息'!$C:$C,"专业外包",'1-2 人员岗位信息'!$B:$B,$D173)</f>
        <v>0</v>
      </c>
      <c r="BF173" s="297"/>
      <c r="BG173" s="175">
        <f t="shared" si="348"/>
        <v>0</v>
      </c>
      <c r="BH173" s="175">
        <f>SUMIFS('1-2 人员岗位信息'!P:P,'1-2 人员岗位信息'!$C:$C,"专业外包",'1-2 人员岗位信息'!$B:$B,$D173)</f>
        <v>0</v>
      </c>
      <c r="BI173" s="297"/>
      <c r="BJ173" s="175">
        <f t="shared" si="349"/>
        <v>0</v>
      </c>
      <c r="BK173" s="175">
        <f>SUMIFS('1-2 人员岗位信息'!Q:Q,'1-2 人员岗位信息'!$C:$C,"专业外包",'1-2 人员岗位信息'!$B:$B,$D173)</f>
        <v>0</v>
      </c>
      <c r="BL173" s="306"/>
      <c r="BM173" s="310"/>
      <c r="BN173" s="314"/>
    </row>
    <row r="174" s="262" customFormat="1" ht="33.95" hidden="1" customHeight="1" outlineLevel="5" spans="2:66">
      <c r="B174" s="175" t="s">
        <v>747</v>
      </c>
      <c r="C174" s="282" t="s">
        <v>1042</v>
      </c>
      <c r="D174" s="262" t="s">
        <v>1026</v>
      </c>
      <c r="E174" s="175" t="s">
        <v>1043</v>
      </c>
      <c r="F174" s="175"/>
      <c r="G174" s="175" t="s">
        <v>751</v>
      </c>
      <c r="H174" s="175">
        <f t="shared" si="333"/>
        <v>0</v>
      </c>
      <c r="I174" s="175" t="s">
        <v>752</v>
      </c>
      <c r="J174" s="175" t="e">
        <f t="shared" si="334"/>
        <v>#DIV/0!</v>
      </c>
      <c r="K174" s="175" t="s">
        <v>753</v>
      </c>
      <c r="L174" s="175" t="e">
        <f t="shared" si="335"/>
        <v>#DIV/0!</v>
      </c>
      <c r="M174" s="175" t="s">
        <v>754</v>
      </c>
      <c r="N174" s="175">
        <f t="shared" si="336"/>
        <v>0</v>
      </c>
      <c r="O174" s="175"/>
      <c r="P174" s="289"/>
      <c r="Q174" s="289"/>
      <c r="R174" s="289"/>
      <c r="S174" s="289"/>
      <c r="T174" s="289"/>
      <c r="U174" s="289"/>
      <c r="V174" s="289"/>
      <c r="W174" s="289"/>
      <c r="X174" s="289"/>
      <c r="Y174" s="289"/>
      <c r="Z174" s="289"/>
      <c r="AA174" s="289"/>
      <c r="AB174" s="175">
        <f t="shared" si="337"/>
        <v>0</v>
      </c>
      <c r="AC174" s="175">
        <f t="shared" si="338"/>
        <v>0</v>
      </c>
      <c r="AD174" s="175">
        <f>SUMIFS('1-2 人员岗位信息'!F:F,'1-2 人员岗位信息'!$C:$C,"专业外包",'1-2 人员岗位信息'!$B:$B,$D174)</f>
        <v>0</v>
      </c>
      <c r="AE174" s="297"/>
      <c r="AF174" s="175">
        <f t="shared" si="339"/>
        <v>0</v>
      </c>
      <c r="AG174" s="175">
        <f>SUMIFS('1-2 人员岗位信息'!G:G,'1-2 人员岗位信息'!$C:$C,"专业外包",'1-2 人员岗位信息'!$B:$B,$D174)</f>
        <v>0</v>
      </c>
      <c r="AH174" s="297"/>
      <c r="AI174" s="175">
        <f t="shared" si="340"/>
        <v>0</v>
      </c>
      <c r="AJ174" s="175">
        <f>SUMIFS('1-2 人员岗位信息'!H:H,'1-2 人员岗位信息'!$C:$C,"专业外包",'1-2 人员岗位信息'!$B:$B,$D174)</f>
        <v>0</v>
      </c>
      <c r="AK174" s="297"/>
      <c r="AL174" s="175">
        <f t="shared" si="341"/>
        <v>0</v>
      </c>
      <c r="AM174" s="175">
        <f>SUMIFS('1-2 人员岗位信息'!I:I,'1-2 人员岗位信息'!$C:$C,"专业外包",'1-2 人员岗位信息'!$B:$B,$D174)</f>
        <v>0</v>
      </c>
      <c r="AN174" s="297"/>
      <c r="AO174" s="175">
        <f t="shared" si="342"/>
        <v>0</v>
      </c>
      <c r="AP174" s="175">
        <f>SUMIFS('1-2 人员岗位信息'!J:J,'1-2 人员岗位信息'!$C:$C,"专业外包",'1-2 人员岗位信息'!$B:$B,$D174)</f>
        <v>0</v>
      </c>
      <c r="AQ174" s="297"/>
      <c r="AR174" s="175">
        <f t="shared" si="343"/>
        <v>0</v>
      </c>
      <c r="AS174" s="175">
        <f>SUMIFS('1-2 人员岗位信息'!K:K,'1-2 人员岗位信息'!$C:$C,"专业外包",'1-2 人员岗位信息'!$B:$B,$D174)</f>
        <v>0</v>
      </c>
      <c r="AT174" s="297"/>
      <c r="AU174" s="175">
        <f t="shared" si="344"/>
        <v>0</v>
      </c>
      <c r="AV174" s="175">
        <f>SUMIFS('1-2 人员岗位信息'!L:L,'1-2 人员岗位信息'!$C:$C,"专业外包",'1-2 人员岗位信息'!$B:$B,$D174)</f>
        <v>0</v>
      </c>
      <c r="AW174" s="297"/>
      <c r="AX174" s="175">
        <f t="shared" si="345"/>
        <v>0</v>
      </c>
      <c r="AY174" s="175">
        <f>SUMIFS('1-2 人员岗位信息'!M:M,'1-2 人员岗位信息'!$C:$C,"专业外包",'1-2 人员岗位信息'!$B:$B,$D174)</f>
        <v>0</v>
      </c>
      <c r="AZ174" s="297"/>
      <c r="BA174" s="175">
        <f t="shared" si="346"/>
        <v>0</v>
      </c>
      <c r="BB174" s="175">
        <f>SUMIFS('1-2 人员岗位信息'!N:N,'1-2 人员岗位信息'!$C:$C,"专业外包",'1-2 人员岗位信息'!$B:$B,$D174)</f>
        <v>0</v>
      </c>
      <c r="BC174" s="297"/>
      <c r="BD174" s="175">
        <f t="shared" si="347"/>
        <v>0</v>
      </c>
      <c r="BE174" s="175">
        <f>SUMIFS('1-2 人员岗位信息'!O:O,'1-2 人员岗位信息'!$C:$C,"专业外包",'1-2 人员岗位信息'!$B:$B,$D174)</f>
        <v>0</v>
      </c>
      <c r="BF174" s="297"/>
      <c r="BG174" s="175">
        <f t="shared" si="348"/>
        <v>0</v>
      </c>
      <c r="BH174" s="175">
        <f>SUMIFS('1-2 人员岗位信息'!P:P,'1-2 人员岗位信息'!$C:$C,"专业外包",'1-2 人员岗位信息'!$B:$B,$D174)</f>
        <v>0</v>
      </c>
      <c r="BI174" s="297"/>
      <c r="BJ174" s="175">
        <f t="shared" si="349"/>
        <v>0</v>
      </c>
      <c r="BK174" s="175">
        <f>SUMIFS('1-2 人员岗位信息'!Q:Q,'1-2 人员岗位信息'!$C:$C,"专业外包",'1-2 人员岗位信息'!$B:$B,$D174)</f>
        <v>0</v>
      </c>
      <c r="BL174" s="306"/>
      <c r="BM174" s="310"/>
      <c r="BN174" s="314"/>
    </row>
    <row r="175" s="118" customFormat="1" ht="33.95" hidden="1" customHeight="1" outlineLevel="4" spans="2:66">
      <c r="B175" s="119" t="s">
        <v>747</v>
      </c>
      <c r="C175" s="120" t="s">
        <v>24</v>
      </c>
      <c r="D175" s="118" t="s">
        <v>25</v>
      </c>
      <c r="E175" s="119"/>
      <c r="F175" s="119"/>
      <c r="G175" s="119"/>
      <c r="H175" s="119">
        <f t="shared" si="333"/>
        <v>0</v>
      </c>
      <c r="I175" s="119" t="s">
        <v>1044</v>
      </c>
      <c r="J175" s="119" t="e">
        <f t="shared" si="334"/>
        <v>#DIV/0!</v>
      </c>
      <c r="K175" s="119" t="s">
        <v>981</v>
      </c>
      <c r="L175" s="119" t="e">
        <f t="shared" si="335"/>
        <v>#DIV/0!</v>
      </c>
      <c r="M175" s="119" t="s">
        <v>754</v>
      </c>
      <c r="N175" s="119">
        <f t="shared" si="336"/>
        <v>0</v>
      </c>
      <c r="O175" s="119"/>
      <c r="P175" s="288"/>
      <c r="Q175" s="288"/>
      <c r="R175" s="288"/>
      <c r="S175" s="288"/>
      <c r="T175" s="288"/>
      <c r="U175" s="288"/>
      <c r="V175" s="288"/>
      <c r="W175" s="288"/>
      <c r="X175" s="288"/>
      <c r="Y175" s="288"/>
      <c r="Z175" s="288"/>
      <c r="AA175" s="288"/>
      <c r="AB175" s="119">
        <f t="shared" si="337"/>
        <v>0</v>
      </c>
      <c r="AC175" s="119">
        <f t="shared" si="338"/>
        <v>0</v>
      </c>
      <c r="AD175" s="119">
        <f>VLOOKUP($I175,'1-1 项目基础信息'!$F:$S,3,FALSE)</f>
        <v>0</v>
      </c>
      <c r="AE175" s="297"/>
      <c r="AF175" s="119">
        <f t="shared" si="339"/>
        <v>0</v>
      </c>
      <c r="AG175" s="119">
        <f>VLOOKUP($I175,'1-1 项目基础信息'!$F:$S,4,FALSE)</f>
        <v>0</v>
      </c>
      <c r="AH175" s="297"/>
      <c r="AI175" s="119">
        <f t="shared" si="340"/>
        <v>0</v>
      </c>
      <c r="AJ175" s="119">
        <f>VLOOKUP($I175,'1-1 项目基础信息'!$F:$S,5,FALSE)</f>
        <v>0</v>
      </c>
      <c r="AK175" s="297"/>
      <c r="AL175" s="119">
        <f t="shared" si="341"/>
        <v>0</v>
      </c>
      <c r="AM175" s="119">
        <f>VLOOKUP($I175,'1-1 项目基础信息'!$F:$S,6,FALSE)</f>
        <v>0</v>
      </c>
      <c r="AN175" s="297"/>
      <c r="AO175" s="119">
        <f t="shared" si="342"/>
        <v>0</v>
      </c>
      <c r="AP175" s="119">
        <f>VLOOKUP($I175,'1-1 项目基础信息'!$F:$S,7,FALSE)</f>
        <v>0</v>
      </c>
      <c r="AQ175" s="297"/>
      <c r="AR175" s="119">
        <f t="shared" si="343"/>
        <v>0</v>
      </c>
      <c r="AS175" s="119">
        <f>VLOOKUP($I175,'1-1 项目基础信息'!$F:$S,8,FALSE)</f>
        <v>0</v>
      </c>
      <c r="AT175" s="297"/>
      <c r="AU175" s="119">
        <f t="shared" si="344"/>
        <v>0</v>
      </c>
      <c r="AV175" s="119">
        <f>VLOOKUP($I175,'1-1 项目基础信息'!$F:$S,9,FALSE)</f>
        <v>0</v>
      </c>
      <c r="AW175" s="297"/>
      <c r="AX175" s="119">
        <f t="shared" si="345"/>
        <v>0</v>
      </c>
      <c r="AY175" s="119">
        <f>VLOOKUP($I175,'1-1 项目基础信息'!$F:$S,10,FALSE)</f>
        <v>0</v>
      </c>
      <c r="AZ175" s="297"/>
      <c r="BA175" s="119">
        <f t="shared" si="346"/>
        <v>0</v>
      </c>
      <c r="BB175" s="119">
        <f>VLOOKUP($I175,'1-1 项目基础信息'!$F:$S,11,FALSE)</f>
        <v>0</v>
      </c>
      <c r="BC175" s="297"/>
      <c r="BD175" s="119">
        <f t="shared" si="347"/>
        <v>0</v>
      </c>
      <c r="BE175" s="119">
        <f>VLOOKUP($I175,'1-1 项目基础信息'!$F:$S,12,FALSE)</f>
        <v>0</v>
      </c>
      <c r="BF175" s="297"/>
      <c r="BG175" s="119">
        <f t="shared" si="348"/>
        <v>0</v>
      </c>
      <c r="BH175" s="119">
        <f>VLOOKUP($I175,'1-1 项目基础信息'!$F:$S,13,FALSE)</f>
        <v>0</v>
      </c>
      <c r="BI175" s="297"/>
      <c r="BJ175" s="119">
        <f t="shared" si="349"/>
        <v>0</v>
      </c>
      <c r="BK175" s="119">
        <f>VLOOKUP($I175,'1-1 项目基础信息'!$F:$S,14,FALSE)</f>
        <v>0</v>
      </c>
      <c r="BL175" s="306"/>
      <c r="BM175" s="310"/>
      <c r="BN175" s="313"/>
    </row>
    <row r="176" s="48" customFormat="1" ht="33.95" hidden="1" customHeight="1" outlineLevel="3" collapsed="1" spans="2:66">
      <c r="B176" s="115" t="s">
        <v>742</v>
      </c>
      <c r="C176" s="116" t="s">
        <v>1045</v>
      </c>
      <c r="D176" s="48" t="s">
        <v>1046</v>
      </c>
      <c r="E176" s="115"/>
      <c r="F176" s="115"/>
      <c r="G176" s="115"/>
      <c r="H176" s="115">
        <f>H177+H181+H185</f>
        <v>0</v>
      </c>
      <c r="I176" s="115"/>
      <c r="J176" s="115"/>
      <c r="K176" s="115"/>
      <c r="L176" s="115"/>
      <c r="M176" s="115"/>
      <c r="N176" s="115"/>
      <c r="O176" s="115"/>
      <c r="P176" s="287"/>
      <c r="Q176" s="287"/>
      <c r="R176" s="287"/>
      <c r="S176" s="287"/>
      <c r="T176" s="287"/>
      <c r="U176" s="287"/>
      <c r="V176" s="287"/>
      <c r="W176" s="287"/>
      <c r="X176" s="287"/>
      <c r="Y176" s="287"/>
      <c r="Z176" s="287"/>
      <c r="AA176" s="287"/>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4"/>
      <c r="BM176" s="310"/>
      <c r="BN176" s="312"/>
    </row>
    <row r="177" s="118" customFormat="1" ht="33.95" hidden="1" customHeight="1" outlineLevel="4" collapsed="1" spans="2:66">
      <c r="B177" s="119" t="s">
        <v>742</v>
      </c>
      <c r="C177" s="120" t="s">
        <v>127</v>
      </c>
      <c r="D177" s="118" t="s">
        <v>109</v>
      </c>
      <c r="E177" s="119"/>
      <c r="F177" s="119"/>
      <c r="G177" s="119"/>
      <c r="H177" s="119">
        <f>SUM(H178:H180)</f>
        <v>0</v>
      </c>
      <c r="I177" s="119"/>
      <c r="J177" s="119"/>
      <c r="K177" s="119"/>
      <c r="L177" s="119"/>
      <c r="M177" s="119"/>
      <c r="N177" s="119"/>
      <c r="O177" s="119"/>
      <c r="P177" s="288"/>
      <c r="Q177" s="288"/>
      <c r="R177" s="288"/>
      <c r="S177" s="288"/>
      <c r="T177" s="288"/>
      <c r="U177" s="288"/>
      <c r="V177" s="288"/>
      <c r="W177" s="288"/>
      <c r="X177" s="288"/>
      <c r="Y177" s="288"/>
      <c r="Z177" s="288"/>
      <c r="AA177" s="288"/>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5"/>
      <c r="BM177" s="310"/>
      <c r="BN177" s="313"/>
    </row>
    <row r="178" s="262" customFormat="1" ht="33.95" hidden="1" customHeight="1" outlineLevel="5" spans="2:66">
      <c r="B178" s="175" t="s">
        <v>747</v>
      </c>
      <c r="C178" s="282" t="s">
        <v>1047</v>
      </c>
      <c r="D178" s="262" t="s">
        <v>1048</v>
      </c>
      <c r="E178" s="175" t="s">
        <v>1049</v>
      </c>
      <c r="F178" s="175"/>
      <c r="G178" s="175" t="s">
        <v>751</v>
      </c>
      <c r="H178" s="175">
        <f t="shared" ref="H178:H180" si="352">AB178</f>
        <v>0</v>
      </c>
      <c r="I178" s="175" t="s">
        <v>752</v>
      </c>
      <c r="J178" s="175" t="e">
        <f t="shared" ref="J178:J180" si="353">SUM(AD178,AG178,AJ178,AM178,AP178,AS178,AV178,AY178,BB178,BE178,BH178,BK178)/N178</f>
        <v>#DIV/0!</v>
      </c>
      <c r="K178" s="175" t="s">
        <v>753</v>
      </c>
      <c r="L178" s="175" t="e">
        <f t="shared" ref="L178:L180" si="354">H178/N178/J178</f>
        <v>#DIV/0!</v>
      </c>
      <c r="M178" s="175" t="s">
        <v>754</v>
      </c>
      <c r="N178" s="175">
        <f t="shared" ref="N178:N180" si="355">COUNTIF(AD178,"&gt;0")+COUNTIF(AG178,"&gt;0")+COUNTIF(AJ178,"&gt;0")+COUNTIF(AM178,"&gt;0")+COUNTIF(AP178,"&gt;0")+COUNTIF(AS178,"&gt;0")+COUNTIF(AV178,"&gt;0")+COUNTIF(AY178,"&gt;0")+COUNTIF(BB178,"&gt;0")+COUNTIF(BE178,"&gt;0")+COUNTIF(BH178,"&gt;0")+COUNTIF(BK178,"&gt;0")</f>
        <v>0</v>
      </c>
      <c r="O178" s="175"/>
      <c r="P178" s="289"/>
      <c r="Q178" s="289"/>
      <c r="R178" s="289"/>
      <c r="S178" s="289"/>
      <c r="T178" s="289"/>
      <c r="U178" s="289"/>
      <c r="V178" s="289"/>
      <c r="W178" s="289"/>
      <c r="X178" s="289"/>
      <c r="Y178" s="289"/>
      <c r="Z178" s="289"/>
      <c r="AA178" s="289"/>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297"/>
      <c r="AF178" s="175">
        <f t="shared" ref="AF178:AF180" si="358">AG178*AH178</f>
        <v>0</v>
      </c>
      <c r="AG178" s="175">
        <f>SUMIFS('1-2 人员岗位信息'!G:G,'1-2 人员岗位信息'!$C:$C,"自有人员",'1-2 人员岗位信息'!$B:$B,$D178)</f>
        <v>0</v>
      </c>
      <c r="AH178" s="297"/>
      <c r="AI178" s="175">
        <f t="shared" ref="AI178:AI180" si="359">AJ178*AK178</f>
        <v>0</v>
      </c>
      <c r="AJ178" s="175">
        <f>SUMIFS('1-2 人员岗位信息'!H:H,'1-2 人员岗位信息'!$C:$C,"自有人员",'1-2 人员岗位信息'!$B:$B,$D178)</f>
        <v>0</v>
      </c>
      <c r="AK178" s="297"/>
      <c r="AL178" s="175">
        <f t="shared" ref="AL178:AL180" si="360">AM178*AN178</f>
        <v>0</v>
      </c>
      <c r="AM178" s="175">
        <f>SUMIFS('1-2 人员岗位信息'!I:I,'1-2 人员岗位信息'!$C:$C,"自有人员",'1-2 人员岗位信息'!$B:$B,$D178)</f>
        <v>0</v>
      </c>
      <c r="AN178" s="297"/>
      <c r="AO178" s="175">
        <f t="shared" ref="AO178:AO180" si="361">AP178*AQ178</f>
        <v>0</v>
      </c>
      <c r="AP178" s="175">
        <f>SUMIFS('1-2 人员岗位信息'!J:J,'1-2 人员岗位信息'!$C:$C,"自有人员",'1-2 人员岗位信息'!$B:$B,$D178)</f>
        <v>0</v>
      </c>
      <c r="AQ178" s="297"/>
      <c r="AR178" s="175">
        <f t="shared" ref="AR178:AR180" si="362">AS178*AT178</f>
        <v>0</v>
      </c>
      <c r="AS178" s="175">
        <f>SUMIFS('1-2 人员岗位信息'!K:K,'1-2 人员岗位信息'!$C:$C,"自有人员",'1-2 人员岗位信息'!$B:$B,$D178)</f>
        <v>0</v>
      </c>
      <c r="AT178" s="297"/>
      <c r="AU178" s="175">
        <f t="shared" ref="AU178:AU180" si="363">AV178*AW178</f>
        <v>0</v>
      </c>
      <c r="AV178" s="175">
        <f>SUMIFS('1-2 人员岗位信息'!L:L,'1-2 人员岗位信息'!$C:$C,"自有人员",'1-2 人员岗位信息'!$B:$B,$D178)</f>
        <v>0</v>
      </c>
      <c r="AW178" s="297"/>
      <c r="AX178" s="175">
        <f t="shared" ref="AX178:AX180" si="364">AY178*AZ178</f>
        <v>0</v>
      </c>
      <c r="AY178" s="175">
        <f>SUMIFS('1-2 人员岗位信息'!M:M,'1-2 人员岗位信息'!$C:$C,"自有人员",'1-2 人员岗位信息'!$B:$B,$D178)</f>
        <v>0</v>
      </c>
      <c r="AZ178" s="297"/>
      <c r="BA178" s="175">
        <f t="shared" ref="BA178:BA180" si="365">BB178*BC178</f>
        <v>0</v>
      </c>
      <c r="BB178" s="175">
        <f>SUMIFS('1-2 人员岗位信息'!N:N,'1-2 人员岗位信息'!$C:$C,"自有人员",'1-2 人员岗位信息'!$B:$B,$D178)</f>
        <v>0</v>
      </c>
      <c r="BC178" s="297"/>
      <c r="BD178" s="175">
        <f t="shared" ref="BD178:BD180" si="366">BE178*BF178</f>
        <v>0</v>
      </c>
      <c r="BE178" s="175">
        <f>SUMIFS('1-2 人员岗位信息'!O:O,'1-2 人员岗位信息'!$C:$C,"自有人员",'1-2 人员岗位信息'!$B:$B,$D178)</f>
        <v>0</v>
      </c>
      <c r="BF178" s="297"/>
      <c r="BG178" s="175">
        <f t="shared" ref="BG178:BG180" si="367">BH178*BI178</f>
        <v>0</v>
      </c>
      <c r="BH178" s="175">
        <f>SUMIFS('1-2 人员岗位信息'!P:P,'1-2 人员岗位信息'!$C:$C,"自有人员",'1-2 人员岗位信息'!$B:$B,$D178)</f>
        <v>0</v>
      </c>
      <c r="BI178" s="297"/>
      <c r="BJ178" s="175">
        <f t="shared" ref="BJ178:BJ180" si="368">BK178*BL178</f>
        <v>0</v>
      </c>
      <c r="BK178" s="175">
        <f>SUMIFS('1-2 人员岗位信息'!Q:Q,'1-2 人员岗位信息'!$C:$C,"自有人员",'1-2 人员岗位信息'!$B:$B,$D178)</f>
        <v>0</v>
      </c>
      <c r="BL178" s="306"/>
      <c r="BM178" s="310"/>
      <c r="BN178" s="314"/>
    </row>
    <row r="179" s="262" customFormat="1" ht="33.95" hidden="1" customHeight="1" outlineLevel="5" spans="2:66">
      <c r="B179" s="175" t="s">
        <v>747</v>
      </c>
      <c r="C179" s="282" t="s">
        <v>1050</v>
      </c>
      <c r="D179" s="262" t="s">
        <v>1046</v>
      </c>
      <c r="E179" s="175" t="s">
        <v>1051</v>
      </c>
      <c r="F179" s="175"/>
      <c r="G179" s="175" t="s">
        <v>751</v>
      </c>
      <c r="H179" s="175">
        <f t="shared" si="352"/>
        <v>0</v>
      </c>
      <c r="I179" s="175" t="s">
        <v>752</v>
      </c>
      <c r="J179" s="175" t="e">
        <f t="shared" si="353"/>
        <v>#DIV/0!</v>
      </c>
      <c r="K179" s="175" t="s">
        <v>753</v>
      </c>
      <c r="L179" s="175" t="e">
        <f t="shared" si="354"/>
        <v>#DIV/0!</v>
      </c>
      <c r="M179" s="175" t="s">
        <v>754</v>
      </c>
      <c r="N179" s="175">
        <f t="shared" si="355"/>
        <v>0</v>
      </c>
      <c r="O179" s="175"/>
      <c r="P179" s="289"/>
      <c r="Q179" s="289"/>
      <c r="R179" s="289"/>
      <c r="S179" s="289"/>
      <c r="T179" s="289"/>
      <c r="U179" s="289"/>
      <c r="V179" s="289"/>
      <c r="W179" s="289"/>
      <c r="X179" s="289"/>
      <c r="Y179" s="289"/>
      <c r="Z179" s="289"/>
      <c r="AA179" s="289"/>
      <c r="AB179" s="175">
        <f t="shared" si="356"/>
        <v>0</v>
      </c>
      <c r="AC179" s="175">
        <f t="shared" si="357"/>
        <v>0</v>
      </c>
      <c r="AD179" s="175">
        <f>SUMIFS('1-2 人员岗位信息'!F:F,'1-2 人员岗位信息'!$C:$C,"自有人员",'1-2 人员岗位信息'!$B:$B,$D179)</f>
        <v>0</v>
      </c>
      <c r="AE179" s="297"/>
      <c r="AF179" s="175">
        <f t="shared" si="358"/>
        <v>0</v>
      </c>
      <c r="AG179" s="175">
        <f>SUMIFS('1-2 人员岗位信息'!G:G,'1-2 人员岗位信息'!$C:$C,"自有人员",'1-2 人员岗位信息'!$B:$B,$D179)</f>
        <v>0</v>
      </c>
      <c r="AH179" s="297"/>
      <c r="AI179" s="175">
        <f t="shared" si="359"/>
        <v>0</v>
      </c>
      <c r="AJ179" s="175">
        <f>SUMIFS('1-2 人员岗位信息'!H:H,'1-2 人员岗位信息'!$C:$C,"自有人员",'1-2 人员岗位信息'!$B:$B,$D179)</f>
        <v>0</v>
      </c>
      <c r="AK179" s="297"/>
      <c r="AL179" s="175">
        <f t="shared" si="360"/>
        <v>0</v>
      </c>
      <c r="AM179" s="175">
        <f>SUMIFS('1-2 人员岗位信息'!I:I,'1-2 人员岗位信息'!$C:$C,"自有人员",'1-2 人员岗位信息'!$B:$B,$D179)</f>
        <v>0</v>
      </c>
      <c r="AN179" s="297"/>
      <c r="AO179" s="175">
        <f t="shared" si="361"/>
        <v>0</v>
      </c>
      <c r="AP179" s="175">
        <f>SUMIFS('1-2 人员岗位信息'!J:J,'1-2 人员岗位信息'!$C:$C,"自有人员",'1-2 人员岗位信息'!$B:$B,$D179)</f>
        <v>0</v>
      </c>
      <c r="AQ179" s="297"/>
      <c r="AR179" s="175">
        <f t="shared" si="362"/>
        <v>0</v>
      </c>
      <c r="AS179" s="175">
        <f>SUMIFS('1-2 人员岗位信息'!K:K,'1-2 人员岗位信息'!$C:$C,"自有人员",'1-2 人员岗位信息'!$B:$B,$D179)</f>
        <v>0</v>
      </c>
      <c r="AT179" s="297"/>
      <c r="AU179" s="175">
        <f t="shared" si="363"/>
        <v>0</v>
      </c>
      <c r="AV179" s="175">
        <f>SUMIFS('1-2 人员岗位信息'!L:L,'1-2 人员岗位信息'!$C:$C,"自有人员",'1-2 人员岗位信息'!$B:$B,$D179)</f>
        <v>0</v>
      </c>
      <c r="AW179" s="297"/>
      <c r="AX179" s="175">
        <f t="shared" si="364"/>
        <v>0</v>
      </c>
      <c r="AY179" s="175">
        <f>SUMIFS('1-2 人员岗位信息'!M:M,'1-2 人员岗位信息'!$C:$C,"自有人员",'1-2 人员岗位信息'!$B:$B,$D179)</f>
        <v>0</v>
      </c>
      <c r="AZ179" s="297"/>
      <c r="BA179" s="175">
        <f t="shared" si="365"/>
        <v>0</v>
      </c>
      <c r="BB179" s="175">
        <f>SUMIFS('1-2 人员岗位信息'!N:N,'1-2 人员岗位信息'!$C:$C,"自有人员",'1-2 人员岗位信息'!$B:$B,$D179)</f>
        <v>0</v>
      </c>
      <c r="BC179" s="297"/>
      <c r="BD179" s="175">
        <f t="shared" si="366"/>
        <v>0</v>
      </c>
      <c r="BE179" s="175">
        <f>SUMIFS('1-2 人员岗位信息'!O:O,'1-2 人员岗位信息'!$C:$C,"自有人员",'1-2 人员岗位信息'!$B:$B,$D179)</f>
        <v>0</v>
      </c>
      <c r="BF179" s="297"/>
      <c r="BG179" s="175">
        <f t="shared" si="367"/>
        <v>0</v>
      </c>
      <c r="BH179" s="175">
        <f>SUMIFS('1-2 人员岗位信息'!P:P,'1-2 人员岗位信息'!$C:$C,"自有人员",'1-2 人员岗位信息'!$B:$B,$D179)</f>
        <v>0</v>
      </c>
      <c r="BI179" s="297"/>
      <c r="BJ179" s="175">
        <f t="shared" si="368"/>
        <v>0</v>
      </c>
      <c r="BK179" s="175">
        <f>SUMIFS('1-2 人员岗位信息'!Q:Q,'1-2 人员岗位信息'!$C:$C,"自有人员",'1-2 人员岗位信息'!$B:$B,$D179)</f>
        <v>0</v>
      </c>
      <c r="BL179" s="306"/>
      <c r="BM179" s="310"/>
      <c r="BN179" s="314"/>
    </row>
    <row r="180" s="262" customFormat="1" ht="33.95" hidden="1" customHeight="1" outlineLevel="5" spans="2:66">
      <c r="B180" s="175" t="s">
        <v>747</v>
      </c>
      <c r="C180" s="282" t="s">
        <v>1052</v>
      </c>
      <c r="D180" s="262" t="s">
        <v>1053</v>
      </c>
      <c r="E180" s="175" t="s">
        <v>1054</v>
      </c>
      <c r="F180" s="175"/>
      <c r="G180" s="175" t="s">
        <v>751</v>
      </c>
      <c r="H180" s="175">
        <f t="shared" si="352"/>
        <v>0</v>
      </c>
      <c r="I180" s="175" t="s">
        <v>752</v>
      </c>
      <c r="J180" s="175" t="e">
        <f t="shared" si="353"/>
        <v>#DIV/0!</v>
      </c>
      <c r="K180" s="175" t="s">
        <v>753</v>
      </c>
      <c r="L180" s="175" t="e">
        <f t="shared" si="354"/>
        <v>#DIV/0!</v>
      </c>
      <c r="M180" s="175" t="s">
        <v>754</v>
      </c>
      <c r="N180" s="175">
        <f t="shared" si="355"/>
        <v>0</v>
      </c>
      <c r="O180" s="175"/>
      <c r="P180" s="289"/>
      <c r="Q180" s="289"/>
      <c r="R180" s="289"/>
      <c r="S180" s="289"/>
      <c r="T180" s="289"/>
      <c r="U180" s="289"/>
      <c r="V180" s="289"/>
      <c r="W180" s="289"/>
      <c r="X180" s="289"/>
      <c r="Y180" s="289"/>
      <c r="Z180" s="289"/>
      <c r="AA180" s="289"/>
      <c r="AB180" s="175">
        <f t="shared" si="356"/>
        <v>0</v>
      </c>
      <c r="AC180" s="175">
        <f t="shared" si="357"/>
        <v>0</v>
      </c>
      <c r="AD180" s="175">
        <f>SUMIFS('1-2 人员岗位信息'!F:F,'1-2 人员岗位信息'!$C:$C,"自有人员",'1-2 人员岗位信息'!$B:$B,$D180)</f>
        <v>0</v>
      </c>
      <c r="AE180" s="297"/>
      <c r="AF180" s="175">
        <f t="shared" si="358"/>
        <v>0</v>
      </c>
      <c r="AG180" s="175">
        <f>SUMIFS('1-2 人员岗位信息'!G:G,'1-2 人员岗位信息'!$C:$C,"自有人员",'1-2 人员岗位信息'!$B:$B,$D180)</f>
        <v>0</v>
      </c>
      <c r="AH180" s="297"/>
      <c r="AI180" s="175">
        <f t="shared" si="359"/>
        <v>0</v>
      </c>
      <c r="AJ180" s="175">
        <f>SUMIFS('1-2 人员岗位信息'!H:H,'1-2 人员岗位信息'!$C:$C,"自有人员",'1-2 人员岗位信息'!$B:$B,$D180)</f>
        <v>0</v>
      </c>
      <c r="AK180" s="297"/>
      <c r="AL180" s="175">
        <f t="shared" si="360"/>
        <v>0</v>
      </c>
      <c r="AM180" s="175">
        <f>SUMIFS('1-2 人员岗位信息'!I:I,'1-2 人员岗位信息'!$C:$C,"自有人员",'1-2 人员岗位信息'!$B:$B,$D180)</f>
        <v>0</v>
      </c>
      <c r="AN180" s="297"/>
      <c r="AO180" s="175">
        <f t="shared" si="361"/>
        <v>0</v>
      </c>
      <c r="AP180" s="175">
        <f>SUMIFS('1-2 人员岗位信息'!J:J,'1-2 人员岗位信息'!$C:$C,"自有人员",'1-2 人员岗位信息'!$B:$B,$D180)</f>
        <v>0</v>
      </c>
      <c r="AQ180" s="297"/>
      <c r="AR180" s="175">
        <f t="shared" si="362"/>
        <v>0</v>
      </c>
      <c r="AS180" s="175">
        <f>SUMIFS('1-2 人员岗位信息'!K:K,'1-2 人员岗位信息'!$C:$C,"自有人员",'1-2 人员岗位信息'!$B:$B,$D180)</f>
        <v>0</v>
      </c>
      <c r="AT180" s="297"/>
      <c r="AU180" s="175">
        <f t="shared" si="363"/>
        <v>0</v>
      </c>
      <c r="AV180" s="175">
        <f>SUMIFS('1-2 人员岗位信息'!L:L,'1-2 人员岗位信息'!$C:$C,"自有人员",'1-2 人员岗位信息'!$B:$B,$D180)</f>
        <v>0</v>
      </c>
      <c r="AW180" s="297"/>
      <c r="AX180" s="175">
        <f t="shared" si="364"/>
        <v>0</v>
      </c>
      <c r="AY180" s="175">
        <f>SUMIFS('1-2 人员岗位信息'!M:M,'1-2 人员岗位信息'!$C:$C,"自有人员",'1-2 人员岗位信息'!$B:$B,$D180)</f>
        <v>0</v>
      </c>
      <c r="AZ180" s="297"/>
      <c r="BA180" s="175">
        <f t="shared" si="365"/>
        <v>0</v>
      </c>
      <c r="BB180" s="175">
        <f>SUMIFS('1-2 人员岗位信息'!N:N,'1-2 人员岗位信息'!$C:$C,"自有人员",'1-2 人员岗位信息'!$B:$B,$D180)</f>
        <v>0</v>
      </c>
      <c r="BC180" s="297"/>
      <c r="BD180" s="175">
        <f t="shared" si="366"/>
        <v>0</v>
      </c>
      <c r="BE180" s="175">
        <f>SUMIFS('1-2 人员岗位信息'!O:O,'1-2 人员岗位信息'!$C:$C,"自有人员",'1-2 人员岗位信息'!$B:$B,$D180)</f>
        <v>0</v>
      </c>
      <c r="BF180" s="297"/>
      <c r="BG180" s="175">
        <f t="shared" si="367"/>
        <v>0</v>
      </c>
      <c r="BH180" s="175">
        <f>SUMIFS('1-2 人员岗位信息'!P:P,'1-2 人员岗位信息'!$C:$C,"自有人员",'1-2 人员岗位信息'!$B:$B,$D180)</f>
        <v>0</v>
      </c>
      <c r="BI180" s="297"/>
      <c r="BJ180" s="175">
        <f t="shared" si="368"/>
        <v>0</v>
      </c>
      <c r="BK180" s="175">
        <f>SUMIFS('1-2 人员岗位信息'!Q:Q,'1-2 人员岗位信息'!$C:$C,"自有人员",'1-2 人员岗位信息'!$B:$B,$D180)</f>
        <v>0</v>
      </c>
      <c r="BL180" s="306"/>
      <c r="BM180" s="310"/>
      <c r="BN180" s="314"/>
    </row>
    <row r="181" s="118" customFormat="1" ht="33.95" hidden="1" customHeight="1" outlineLevel="4" collapsed="1" spans="2:66">
      <c r="B181" s="119" t="s">
        <v>742</v>
      </c>
      <c r="C181" s="120" t="s">
        <v>74</v>
      </c>
      <c r="D181" s="118" t="s">
        <v>68</v>
      </c>
      <c r="E181" s="119"/>
      <c r="F181" s="119"/>
      <c r="G181" s="119"/>
      <c r="H181" s="119">
        <f>SUM(H182:H184)</f>
        <v>0</v>
      </c>
      <c r="I181" s="119"/>
      <c r="J181" s="119"/>
      <c r="K181" s="119"/>
      <c r="L181" s="119"/>
      <c r="M181" s="119"/>
      <c r="N181" s="119"/>
      <c r="O181" s="119"/>
      <c r="P181" s="288"/>
      <c r="Q181" s="288"/>
      <c r="R181" s="288"/>
      <c r="S181" s="288"/>
      <c r="T181" s="288"/>
      <c r="U181" s="288"/>
      <c r="V181" s="288"/>
      <c r="W181" s="288"/>
      <c r="X181" s="288"/>
      <c r="Y181" s="288"/>
      <c r="Z181" s="288"/>
      <c r="AA181" s="288"/>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5"/>
      <c r="BM181" s="310"/>
      <c r="BN181" s="313"/>
    </row>
    <row r="182" s="262" customFormat="1" ht="33.95" hidden="1" customHeight="1" outlineLevel="5" spans="2:66">
      <c r="B182" s="175" t="s">
        <v>747</v>
      </c>
      <c r="C182" s="282" t="s">
        <v>1055</v>
      </c>
      <c r="D182" s="262" t="s">
        <v>1048</v>
      </c>
      <c r="E182" s="175" t="s">
        <v>1056</v>
      </c>
      <c r="F182" s="175"/>
      <c r="G182" s="175" t="s">
        <v>751</v>
      </c>
      <c r="H182" s="175">
        <f t="shared" ref="H182:H184" si="370">AB182</f>
        <v>0</v>
      </c>
      <c r="I182" s="175" t="s">
        <v>752</v>
      </c>
      <c r="J182" s="175" t="e">
        <f t="shared" ref="J182:J184" si="371">SUM(AD182,AG182,AJ182,AM182,AP182,AS182,AV182,AY182,BB182,BE182,BH182,BK182)/N182</f>
        <v>#DIV/0!</v>
      </c>
      <c r="K182" s="175" t="s">
        <v>753</v>
      </c>
      <c r="L182" s="175" t="e">
        <f t="shared" ref="L182:L184" si="372">H182/N182/J182</f>
        <v>#DIV/0!</v>
      </c>
      <c r="M182" s="175" t="s">
        <v>754</v>
      </c>
      <c r="N182" s="175">
        <f t="shared" ref="N182:N184" si="373">COUNTIF(AD182,"&gt;0")+COUNTIF(AG182,"&gt;0")+COUNTIF(AJ182,"&gt;0")+COUNTIF(AM182,"&gt;0")+COUNTIF(AP182,"&gt;0")+COUNTIF(AS182,"&gt;0")+COUNTIF(AV182,"&gt;0")+COUNTIF(AY182,"&gt;0")+COUNTIF(BB182,"&gt;0")+COUNTIF(BE182,"&gt;0")+COUNTIF(BH182,"&gt;0")+COUNTIF(BK182,"&gt;0")</f>
        <v>0</v>
      </c>
      <c r="O182" s="175"/>
      <c r="P182" s="289"/>
      <c r="Q182" s="289"/>
      <c r="R182" s="289"/>
      <c r="S182" s="289"/>
      <c r="T182" s="289"/>
      <c r="U182" s="289"/>
      <c r="V182" s="289"/>
      <c r="W182" s="289"/>
      <c r="X182" s="289"/>
      <c r="Y182" s="289"/>
      <c r="Z182" s="289"/>
      <c r="AA182" s="289"/>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297"/>
      <c r="AF182" s="175">
        <f t="shared" ref="AF182:AF184" si="376">AG182*AH182</f>
        <v>0</v>
      </c>
      <c r="AG182" s="175">
        <f>SUMIFS('1-2 人员岗位信息'!G:G,'1-2 人员岗位信息'!$C:$C,"劳务派遣",'1-2 人员岗位信息'!$B:$B,$D182)</f>
        <v>0</v>
      </c>
      <c r="AH182" s="297"/>
      <c r="AI182" s="175">
        <f t="shared" ref="AI182:AI184" si="377">AJ182*AK182</f>
        <v>0</v>
      </c>
      <c r="AJ182" s="175">
        <f>SUMIFS('1-2 人员岗位信息'!H:H,'1-2 人员岗位信息'!$C:$C,"劳务派遣",'1-2 人员岗位信息'!$B:$B,$D182)</f>
        <v>0</v>
      </c>
      <c r="AK182" s="297"/>
      <c r="AL182" s="175">
        <f t="shared" ref="AL182:AL184" si="378">AM182*AN182</f>
        <v>0</v>
      </c>
      <c r="AM182" s="175">
        <f>SUMIFS('1-2 人员岗位信息'!I:I,'1-2 人员岗位信息'!$C:$C,"劳务派遣",'1-2 人员岗位信息'!$B:$B,$D182)</f>
        <v>0</v>
      </c>
      <c r="AN182" s="297"/>
      <c r="AO182" s="175">
        <f t="shared" ref="AO182:AO184" si="379">AP182*AQ182</f>
        <v>0</v>
      </c>
      <c r="AP182" s="175">
        <f>SUMIFS('1-2 人员岗位信息'!J:J,'1-2 人员岗位信息'!$C:$C,"劳务派遣",'1-2 人员岗位信息'!$B:$B,$D182)</f>
        <v>0</v>
      </c>
      <c r="AQ182" s="297"/>
      <c r="AR182" s="175">
        <f t="shared" ref="AR182:AR184" si="380">AS182*AT182</f>
        <v>0</v>
      </c>
      <c r="AS182" s="175">
        <f>SUMIFS('1-2 人员岗位信息'!K:K,'1-2 人员岗位信息'!$C:$C,"劳务派遣",'1-2 人员岗位信息'!$B:$B,$D182)</f>
        <v>0</v>
      </c>
      <c r="AT182" s="297"/>
      <c r="AU182" s="175">
        <f t="shared" ref="AU182:AU184" si="381">AV182*AW182</f>
        <v>0</v>
      </c>
      <c r="AV182" s="175">
        <f>SUMIFS('1-2 人员岗位信息'!L:L,'1-2 人员岗位信息'!$C:$C,"劳务派遣",'1-2 人员岗位信息'!$B:$B,$D182)</f>
        <v>0</v>
      </c>
      <c r="AW182" s="297"/>
      <c r="AX182" s="175">
        <f t="shared" ref="AX182:AX184" si="382">AY182*AZ182</f>
        <v>0</v>
      </c>
      <c r="AY182" s="175">
        <f>SUMIFS('1-2 人员岗位信息'!M:M,'1-2 人员岗位信息'!$C:$C,"劳务派遣",'1-2 人员岗位信息'!$B:$B,$D182)</f>
        <v>0</v>
      </c>
      <c r="AZ182" s="297"/>
      <c r="BA182" s="175">
        <f t="shared" ref="BA182:BA184" si="383">BB182*BC182</f>
        <v>0</v>
      </c>
      <c r="BB182" s="175">
        <f>SUMIFS('1-2 人员岗位信息'!N:N,'1-2 人员岗位信息'!$C:$C,"劳务派遣",'1-2 人员岗位信息'!$B:$B,$D182)</f>
        <v>0</v>
      </c>
      <c r="BC182" s="297"/>
      <c r="BD182" s="175">
        <f t="shared" ref="BD182:BD184" si="384">BE182*BF182</f>
        <v>0</v>
      </c>
      <c r="BE182" s="175">
        <f>SUMIFS('1-2 人员岗位信息'!O:O,'1-2 人员岗位信息'!$C:$C,"劳务派遣",'1-2 人员岗位信息'!$B:$B,$D182)</f>
        <v>0</v>
      </c>
      <c r="BF182" s="297"/>
      <c r="BG182" s="175">
        <f t="shared" ref="BG182:BG184" si="385">BH182*BI182</f>
        <v>0</v>
      </c>
      <c r="BH182" s="175">
        <f>SUMIFS('1-2 人员岗位信息'!P:P,'1-2 人员岗位信息'!$C:$C,"劳务派遣",'1-2 人员岗位信息'!$B:$B,$D182)</f>
        <v>0</v>
      </c>
      <c r="BI182" s="297"/>
      <c r="BJ182" s="175">
        <f t="shared" ref="BJ182:BJ184" si="386">BK182*BL182</f>
        <v>0</v>
      </c>
      <c r="BK182" s="175">
        <f>SUMIFS('1-2 人员岗位信息'!Q:Q,'1-2 人员岗位信息'!$C:$C,"劳务派遣",'1-2 人员岗位信息'!$B:$B,$D182)</f>
        <v>0</v>
      </c>
      <c r="BL182" s="306"/>
      <c r="BM182" s="310"/>
      <c r="BN182" s="314"/>
    </row>
    <row r="183" s="262" customFormat="1" ht="33.95" hidden="1" customHeight="1" outlineLevel="5" spans="2:66">
      <c r="B183" s="175" t="s">
        <v>747</v>
      </c>
      <c r="C183" s="282" t="s">
        <v>1057</v>
      </c>
      <c r="D183" s="262" t="s">
        <v>1046</v>
      </c>
      <c r="E183" s="175" t="s">
        <v>1058</v>
      </c>
      <c r="F183" s="175"/>
      <c r="G183" s="175" t="s">
        <v>751</v>
      </c>
      <c r="H183" s="175">
        <f t="shared" si="370"/>
        <v>0</v>
      </c>
      <c r="I183" s="175" t="s">
        <v>752</v>
      </c>
      <c r="J183" s="175" t="e">
        <f t="shared" si="371"/>
        <v>#DIV/0!</v>
      </c>
      <c r="K183" s="175" t="s">
        <v>753</v>
      </c>
      <c r="L183" s="175" t="e">
        <f t="shared" si="372"/>
        <v>#DIV/0!</v>
      </c>
      <c r="M183" s="175" t="s">
        <v>754</v>
      </c>
      <c r="N183" s="175">
        <f t="shared" si="373"/>
        <v>0</v>
      </c>
      <c r="O183" s="175"/>
      <c r="P183" s="289"/>
      <c r="Q183" s="289"/>
      <c r="R183" s="289"/>
      <c r="S183" s="289"/>
      <c r="T183" s="289"/>
      <c r="U183" s="289"/>
      <c r="V183" s="289"/>
      <c r="W183" s="289"/>
      <c r="X183" s="289"/>
      <c r="Y183" s="289"/>
      <c r="Z183" s="289"/>
      <c r="AA183" s="289"/>
      <c r="AB183" s="175">
        <f t="shared" si="374"/>
        <v>0</v>
      </c>
      <c r="AC183" s="175">
        <f t="shared" si="375"/>
        <v>0</v>
      </c>
      <c r="AD183" s="175">
        <f>SUMIFS('1-2 人员岗位信息'!F:F,'1-2 人员岗位信息'!$C:$C,"劳务派遣",'1-2 人员岗位信息'!$B:$B,$D183)</f>
        <v>0</v>
      </c>
      <c r="AE183" s="297"/>
      <c r="AF183" s="175">
        <f t="shared" si="376"/>
        <v>0</v>
      </c>
      <c r="AG183" s="175">
        <f>SUMIFS('1-2 人员岗位信息'!G:G,'1-2 人员岗位信息'!$C:$C,"劳务派遣",'1-2 人员岗位信息'!$B:$B,$D183)</f>
        <v>0</v>
      </c>
      <c r="AH183" s="297"/>
      <c r="AI183" s="175">
        <f t="shared" si="377"/>
        <v>0</v>
      </c>
      <c r="AJ183" s="175">
        <f>SUMIFS('1-2 人员岗位信息'!H:H,'1-2 人员岗位信息'!$C:$C,"劳务派遣",'1-2 人员岗位信息'!$B:$B,$D183)</f>
        <v>0</v>
      </c>
      <c r="AK183" s="297"/>
      <c r="AL183" s="175">
        <f t="shared" si="378"/>
        <v>0</v>
      </c>
      <c r="AM183" s="175">
        <f>SUMIFS('1-2 人员岗位信息'!I:I,'1-2 人员岗位信息'!$C:$C,"劳务派遣",'1-2 人员岗位信息'!$B:$B,$D183)</f>
        <v>0</v>
      </c>
      <c r="AN183" s="297"/>
      <c r="AO183" s="175">
        <f t="shared" si="379"/>
        <v>0</v>
      </c>
      <c r="AP183" s="175">
        <f>SUMIFS('1-2 人员岗位信息'!J:J,'1-2 人员岗位信息'!$C:$C,"劳务派遣",'1-2 人员岗位信息'!$B:$B,$D183)</f>
        <v>0</v>
      </c>
      <c r="AQ183" s="297"/>
      <c r="AR183" s="175">
        <f t="shared" si="380"/>
        <v>0</v>
      </c>
      <c r="AS183" s="175">
        <f>SUMIFS('1-2 人员岗位信息'!K:K,'1-2 人员岗位信息'!$C:$C,"劳务派遣",'1-2 人员岗位信息'!$B:$B,$D183)</f>
        <v>0</v>
      </c>
      <c r="AT183" s="297"/>
      <c r="AU183" s="175">
        <f t="shared" si="381"/>
        <v>0</v>
      </c>
      <c r="AV183" s="175">
        <f>SUMIFS('1-2 人员岗位信息'!L:L,'1-2 人员岗位信息'!$C:$C,"劳务派遣",'1-2 人员岗位信息'!$B:$B,$D183)</f>
        <v>0</v>
      </c>
      <c r="AW183" s="297"/>
      <c r="AX183" s="175">
        <f t="shared" si="382"/>
        <v>0</v>
      </c>
      <c r="AY183" s="175">
        <f>SUMIFS('1-2 人员岗位信息'!M:M,'1-2 人员岗位信息'!$C:$C,"劳务派遣",'1-2 人员岗位信息'!$B:$B,$D183)</f>
        <v>0</v>
      </c>
      <c r="AZ183" s="297"/>
      <c r="BA183" s="175">
        <f t="shared" si="383"/>
        <v>0</v>
      </c>
      <c r="BB183" s="175">
        <f>SUMIFS('1-2 人员岗位信息'!N:N,'1-2 人员岗位信息'!$C:$C,"劳务派遣",'1-2 人员岗位信息'!$B:$B,$D183)</f>
        <v>0</v>
      </c>
      <c r="BC183" s="297"/>
      <c r="BD183" s="175">
        <f t="shared" si="384"/>
        <v>0</v>
      </c>
      <c r="BE183" s="175">
        <f>SUMIFS('1-2 人员岗位信息'!O:O,'1-2 人员岗位信息'!$C:$C,"劳务派遣",'1-2 人员岗位信息'!$B:$B,$D183)</f>
        <v>0</v>
      </c>
      <c r="BF183" s="297"/>
      <c r="BG183" s="175">
        <f t="shared" si="385"/>
        <v>0</v>
      </c>
      <c r="BH183" s="175">
        <f>SUMIFS('1-2 人员岗位信息'!P:P,'1-2 人员岗位信息'!$C:$C,"劳务派遣",'1-2 人员岗位信息'!$B:$B,$D183)</f>
        <v>0</v>
      </c>
      <c r="BI183" s="297"/>
      <c r="BJ183" s="175">
        <f t="shared" si="386"/>
        <v>0</v>
      </c>
      <c r="BK183" s="175">
        <f>SUMIFS('1-2 人员岗位信息'!Q:Q,'1-2 人员岗位信息'!$C:$C,"劳务派遣",'1-2 人员岗位信息'!$B:$B,$D183)</f>
        <v>0</v>
      </c>
      <c r="BL183" s="306"/>
      <c r="BM183" s="310"/>
      <c r="BN183" s="314"/>
    </row>
    <row r="184" s="262" customFormat="1" ht="33.95" hidden="1" customHeight="1" outlineLevel="5" spans="2:66">
      <c r="B184" s="175" t="s">
        <v>747</v>
      </c>
      <c r="C184" s="282" t="s">
        <v>1059</v>
      </c>
      <c r="D184" s="262" t="s">
        <v>1053</v>
      </c>
      <c r="E184" s="175" t="s">
        <v>1060</v>
      </c>
      <c r="F184" s="175"/>
      <c r="G184" s="175" t="s">
        <v>751</v>
      </c>
      <c r="H184" s="175">
        <f t="shared" si="370"/>
        <v>0</v>
      </c>
      <c r="I184" s="175" t="s">
        <v>752</v>
      </c>
      <c r="J184" s="175" t="e">
        <f t="shared" si="371"/>
        <v>#DIV/0!</v>
      </c>
      <c r="K184" s="175" t="s">
        <v>753</v>
      </c>
      <c r="L184" s="175" t="e">
        <f t="shared" si="372"/>
        <v>#DIV/0!</v>
      </c>
      <c r="M184" s="175" t="s">
        <v>754</v>
      </c>
      <c r="N184" s="175">
        <f t="shared" si="373"/>
        <v>0</v>
      </c>
      <c r="O184" s="175"/>
      <c r="P184" s="289"/>
      <c r="Q184" s="289"/>
      <c r="R184" s="289"/>
      <c r="S184" s="289"/>
      <c r="T184" s="289"/>
      <c r="U184" s="289"/>
      <c r="V184" s="289"/>
      <c r="W184" s="289"/>
      <c r="X184" s="289"/>
      <c r="Y184" s="289"/>
      <c r="Z184" s="289"/>
      <c r="AA184" s="289"/>
      <c r="AB184" s="175">
        <f t="shared" si="374"/>
        <v>0</v>
      </c>
      <c r="AC184" s="175">
        <f t="shared" si="375"/>
        <v>0</v>
      </c>
      <c r="AD184" s="175">
        <f>SUMIFS('1-2 人员岗位信息'!F:F,'1-2 人员岗位信息'!$C:$C,"劳务派遣",'1-2 人员岗位信息'!$B:$B,$D184)</f>
        <v>0</v>
      </c>
      <c r="AE184" s="297"/>
      <c r="AF184" s="175">
        <f t="shared" si="376"/>
        <v>0</v>
      </c>
      <c r="AG184" s="175">
        <f>SUMIFS('1-2 人员岗位信息'!G:G,'1-2 人员岗位信息'!$C:$C,"劳务派遣",'1-2 人员岗位信息'!$B:$B,$D184)</f>
        <v>0</v>
      </c>
      <c r="AH184" s="297"/>
      <c r="AI184" s="175">
        <f t="shared" si="377"/>
        <v>0</v>
      </c>
      <c r="AJ184" s="175">
        <f>SUMIFS('1-2 人员岗位信息'!H:H,'1-2 人员岗位信息'!$C:$C,"劳务派遣",'1-2 人员岗位信息'!$B:$B,$D184)</f>
        <v>0</v>
      </c>
      <c r="AK184" s="297"/>
      <c r="AL184" s="175">
        <f t="shared" si="378"/>
        <v>0</v>
      </c>
      <c r="AM184" s="175">
        <f>SUMIFS('1-2 人员岗位信息'!I:I,'1-2 人员岗位信息'!$C:$C,"劳务派遣",'1-2 人员岗位信息'!$B:$B,$D184)</f>
        <v>0</v>
      </c>
      <c r="AN184" s="297"/>
      <c r="AO184" s="175">
        <f t="shared" si="379"/>
        <v>0</v>
      </c>
      <c r="AP184" s="175">
        <f>SUMIFS('1-2 人员岗位信息'!J:J,'1-2 人员岗位信息'!$C:$C,"劳务派遣",'1-2 人员岗位信息'!$B:$B,$D184)</f>
        <v>0</v>
      </c>
      <c r="AQ184" s="297"/>
      <c r="AR184" s="175">
        <f t="shared" si="380"/>
        <v>0</v>
      </c>
      <c r="AS184" s="175">
        <f>SUMIFS('1-2 人员岗位信息'!K:K,'1-2 人员岗位信息'!$C:$C,"劳务派遣",'1-2 人员岗位信息'!$B:$B,$D184)</f>
        <v>0</v>
      </c>
      <c r="AT184" s="297"/>
      <c r="AU184" s="175">
        <f t="shared" si="381"/>
        <v>0</v>
      </c>
      <c r="AV184" s="175">
        <f>SUMIFS('1-2 人员岗位信息'!L:L,'1-2 人员岗位信息'!$C:$C,"劳务派遣",'1-2 人员岗位信息'!$B:$B,$D184)</f>
        <v>0</v>
      </c>
      <c r="AW184" s="297"/>
      <c r="AX184" s="175">
        <f t="shared" si="382"/>
        <v>0</v>
      </c>
      <c r="AY184" s="175">
        <f>SUMIFS('1-2 人员岗位信息'!M:M,'1-2 人员岗位信息'!$C:$C,"劳务派遣",'1-2 人员岗位信息'!$B:$B,$D184)</f>
        <v>0</v>
      </c>
      <c r="AZ184" s="297"/>
      <c r="BA184" s="175">
        <f t="shared" si="383"/>
        <v>0</v>
      </c>
      <c r="BB184" s="175">
        <f>SUMIFS('1-2 人员岗位信息'!N:N,'1-2 人员岗位信息'!$C:$C,"劳务派遣",'1-2 人员岗位信息'!$B:$B,$D184)</f>
        <v>0</v>
      </c>
      <c r="BC184" s="297"/>
      <c r="BD184" s="175">
        <f t="shared" si="384"/>
        <v>0</v>
      </c>
      <c r="BE184" s="175">
        <f>SUMIFS('1-2 人员岗位信息'!O:O,'1-2 人员岗位信息'!$C:$C,"劳务派遣",'1-2 人员岗位信息'!$B:$B,$D184)</f>
        <v>0</v>
      </c>
      <c r="BF184" s="297"/>
      <c r="BG184" s="175">
        <f t="shared" si="385"/>
        <v>0</v>
      </c>
      <c r="BH184" s="175">
        <f>SUMIFS('1-2 人员岗位信息'!P:P,'1-2 人员岗位信息'!$C:$C,"劳务派遣",'1-2 人员岗位信息'!$B:$B,$D184)</f>
        <v>0</v>
      </c>
      <c r="BI184" s="297"/>
      <c r="BJ184" s="175">
        <f t="shared" si="386"/>
        <v>0</v>
      </c>
      <c r="BK184" s="175">
        <f>SUMIFS('1-2 人员岗位信息'!Q:Q,'1-2 人员岗位信息'!$C:$C,"劳务派遣",'1-2 人员岗位信息'!$B:$B,$D184)</f>
        <v>0</v>
      </c>
      <c r="BL184" s="306"/>
      <c r="BM184" s="310"/>
      <c r="BN184" s="314"/>
    </row>
    <row r="185" s="118" customFormat="1" ht="33.95" hidden="1" customHeight="1" outlineLevel="4" collapsed="1" spans="2:66">
      <c r="B185" s="119" t="s">
        <v>742</v>
      </c>
      <c r="C185" s="120" t="s">
        <v>1061</v>
      </c>
      <c r="D185" s="118" t="s">
        <v>19</v>
      </c>
      <c r="E185" s="119"/>
      <c r="F185" s="119"/>
      <c r="G185" s="119"/>
      <c r="H185" s="119">
        <f>SUM(H186:H188)</f>
        <v>0</v>
      </c>
      <c r="I185" s="119"/>
      <c r="J185" s="119"/>
      <c r="K185" s="119"/>
      <c r="L185" s="119"/>
      <c r="M185" s="119"/>
      <c r="N185" s="119"/>
      <c r="O185" s="119"/>
      <c r="P185" s="288"/>
      <c r="Q185" s="288"/>
      <c r="R185" s="288"/>
      <c r="S185" s="288"/>
      <c r="T185" s="288"/>
      <c r="U185" s="288"/>
      <c r="V185" s="288"/>
      <c r="W185" s="288"/>
      <c r="X185" s="288"/>
      <c r="Y185" s="288"/>
      <c r="Z185" s="288"/>
      <c r="AA185" s="288"/>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5"/>
      <c r="BM185" s="310"/>
      <c r="BN185" s="313"/>
    </row>
    <row r="186" s="262" customFormat="1" ht="33.95" hidden="1" customHeight="1" outlineLevel="5" spans="2:66">
      <c r="B186" s="175" t="s">
        <v>747</v>
      </c>
      <c r="C186" s="282" t="s">
        <v>1062</v>
      </c>
      <c r="D186" s="262" t="s">
        <v>1048</v>
      </c>
      <c r="E186" s="175" t="s">
        <v>1063</v>
      </c>
      <c r="F186" s="175"/>
      <c r="G186" s="175" t="s">
        <v>751</v>
      </c>
      <c r="H186" s="175">
        <f t="shared" ref="H186:H188" si="388">AB186</f>
        <v>0</v>
      </c>
      <c r="I186" s="175" t="s">
        <v>752</v>
      </c>
      <c r="J186" s="175" t="e">
        <f t="shared" ref="J186:J188" si="389">SUM(AD186,AG186,AJ186,AM186,AP186,AS186,AV186,AY186,BB186,BE186,BH186,BK186)/N186</f>
        <v>#DIV/0!</v>
      </c>
      <c r="K186" s="175" t="s">
        <v>753</v>
      </c>
      <c r="L186" s="175" t="e">
        <f t="shared" ref="L186:L188" si="390">H186/N186/J186</f>
        <v>#DIV/0!</v>
      </c>
      <c r="M186" s="175" t="s">
        <v>754</v>
      </c>
      <c r="N186" s="175">
        <f t="shared" ref="N186:N188" si="391">COUNTIF(AD186,"&gt;0")+COUNTIF(AG186,"&gt;0")+COUNTIF(AJ186,"&gt;0")+COUNTIF(AM186,"&gt;0")+COUNTIF(AP186,"&gt;0")+COUNTIF(AS186,"&gt;0")+COUNTIF(AV186,"&gt;0")+COUNTIF(AY186,"&gt;0")+COUNTIF(BB186,"&gt;0")+COUNTIF(BE186,"&gt;0")+COUNTIF(BH186,"&gt;0")+COUNTIF(BK186,"&gt;0")</f>
        <v>0</v>
      </c>
      <c r="O186" s="175"/>
      <c r="P186" s="289"/>
      <c r="Q186" s="289"/>
      <c r="R186" s="289"/>
      <c r="S186" s="289"/>
      <c r="T186" s="289"/>
      <c r="U186" s="289"/>
      <c r="V186" s="289"/>
      <c r="W186" s="289"/>
      <c r="X186" s="289"/>
      <c r="Y186" s="289"/>
      <c r="Z186" s="289"/>
      <c r="AA186" s="289"/>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297"/>
      <c r="AF186" s="175">
        <f t="shared" ref="AF186:AF188" si="394">AG186*AH186</f>
        <v>0</v>
      </c>
      <c r="AG186" s="175">
        <f>SUMIFS('1-2 人员岗位信息'!G:G,'1-2 人员岗位信息'!$C:$C,"专业外包",'1-2 人员岗位信息'!$B:$B,$D186)</f>
        <v>0</v>
      </c>
      <c r="AH186" s="297"/>
      <c r="AI186" s="175">
        <f t="shared" ref="AI186:AI188" si="395">AJ186*AK186</f>
        <v>0</v>
      </c>
      <c r="AJ186" s="175">
        <f>SUMIFS('1-2 人员岗位信息'!H:H,'1-2 人员岗位信息'!$C:$C,"专业外包",'1-2 人员岗位信息'!$B:$B,$D186)</f>
        <v>0</v>
      </c>
      <c r="AK186" s="297"/>
      <c r="AL186" s="175">
        <f t="shared" ref="AL186:AL188" si="396">AM186*AN186</f>
        <v>0</v>
      </c>
      <c r="AM186" s="175">
        <f>SUMIFS('1-2 人员岗位信息'!I:I,'1-2 人员岗位信息'!$C:$C,"专业外包",'1-2 人员岗位信息'!$B:$B,$D186)</f>
        <v>0</v>
      </c>
      <c r="AN186" s="297"/>
      <c r="AO186" s="175">
        <f t="shared" ref="AO186:AO188" si="397">AP186*AQ186</f>
        <v>0</v>
      </c>
      <c r="AP186" s="175">
        <f>SUMIFS('1-2 人员岗位信息'!J:J,'1-2 人员岗位信息'!$C:$C,"专业外包",'1-2 人员岗位信息'!$B:$B,$D186)</f>
        <v>0</v>
      </c>
      <c r="AQ186" s="297"/>
      <c r="AR186" s="175">
        <f t="shared" ref="AR186:AR188" si="398">AS186*AT186</f>
        <v>0</v>
      </c>
      <c r="AS186" s="175">
        <f>SUMIFS('1-2 人员岗位信息'!K:K,'1-2 人员岗位信息'!$C:$C,"专业外包",'1-2 人员岗位信息'!$B:$B,$D186)</f>
        <v>0</v>
      </c>
      <c r="AT186" s="297"/>
      <c r="AU186" s="175">
        <f t="shared" ref="AU186:AU188" si="399">AV186*AW186</f>
        <v>0</v>
      </c>
      <c r="AV186" s="175">
        <f>SUMIFS('1-2 人员岗位信息'!L:L,'1-2 人员岗位信息'!$C:$C,"专业外包",'1-2 人员岗位信息'!$B:$B,$D186)</f>
        <v>0</v>
      </c>
      <c r="AW186" s="297"/>
      <c r="AX186" s="175">
        <f t="shared" ref="AX186:AX188" si="400">AY186*AZ186</f>
        <v>0</v>
      </c>
      <c r="AY186" s="175">
        <f>SUMIFS('1-2 人员岗位信息'!M:M,'1-2 人员岗位信息'!$C:$C,"专业外包",'1-2 人员岗位信息'!$B:$B,$D186)</f>
        <v>0</v>
      </c>
      <c r="AZ186" s="297"/>
      <c r="BA186" s="175">
        <f t="shared" ref="BA186:BA188" si="401">BB186*BC186</f>
        <v>0</v>
      </c>
      <c r="BB186" s="175">
        <f>SUMIFS('1-2 人员岗位信息'!N:N,'1-2 人员岗位信息'!$C:$C,"专业外包",'1-2 人员岗位信息'!$B:$B,$D186)</f>
        <v>0</v>
      </c>
      <c r="BC186" s="297"/>
      <c r="BD186" s="175">
        <f t="shared" ref="BD186:BD188" si="402">BE186*BF186</f>
        <v>0</v>
      </c>
      <c r="BE186" s="175">
        <f>SUMIFS('1-2 人员岗位信息'!O:O,'1-2 人员岗位信息'!$C:$C,"专业外包",'1-2 人员岗位信息'!$B:$B,$D186)</f>
        <v>0</v>
      </c>
      <c r="BF186" s="297"/>
      <c r="BG186" s="175">
        <f t="shared" ref="BG186:BG188" si="403">BH186*BI186</f>
        <v>0</v>
      </c>
      <c r="BH186" s="175">
        <f>SUMIFS('1-2 人员岗位信息'!P:P,'1-2 人员岗位信息'!$C:$C,"专业外包",'1-2 人员岗位信息'!$B:$B,$D186)</f>
        <v>0</v>
      </c>
      <c r="BI186" s="297"/>
      <c r="BJ186" s="175">
        <f t="shared" ref="BJ186:BJ188" si="404">BK186*BL186</f>
        <v>0</v>
      </c>
      <c r="BK186" s="175">
        <f>SUMIFS('1-2 人员岗位信息'!Q:Q,'1-2 人员岗位信息'!$C:$C,"专业外包",'1-2 人员岗位信息'!$B:$B,$D186)</f>
        <v>0</v>
      </c>
      <c r="BL186" s="306"/>
      <c r="BM186" s="310"/>
      <c r="BN186" s="314"/>
    </row>
    <row r="187" s="262" customFormat="1" ht="33.95" hidden="1" customHeight="1" outlineLevel="5" spans="2:66">
      <c r="B187" s="175" t="s">
        <v>747</v>
      </c>
      <c r="C187" s="282" t="s">
        <v>1064</v>
      </c>
      <c r="D187" s="262" t="s">
        <v>1046</v>
      </c>
      <c r="E187" s="175" t="s">
        <v>1065</v>
      </c>
      <c r="F187" s="175"/>
      <c r="G187" s="175" t="s">
        <v>751</v>
      </c>
      <c r="H187" s="175">
        <f t="shared" si="388"/>
        <v>0</v>
      </c>
      <c r="I187" s="175" t="s">
        <v>752</v>
      </c>
      <c r="J187" s="175" t="e">
        <f t="shared" si="389"/>
        <v>#DIV/0!</v>
      </c>
      <c r="K187" s="175" t="s">
        <v>753</v>
      </c>
      <c r="L187" s="175" t="e">
        <f t="shared" si="390"/>
        <v>#DIV/0!</v>
      </c>
      <c r="M187" s="175" t="s">
        <v>754</v>
      </c>
      <c r="N187" s="175">
        <f t="shared" si="391"/>
        <v>0</v>
      </c>
      <c r="O187" s="175"/>
      <c r="P187" s="289"/>
      <c r="Q187" s="289"/>
      <c r="R187" s="289"/>
      <c r="S187" s="289"/>
      <c r="T187" s="289"/>
      <c r="U187" s="289"/>
      <c r="V187" s="289"/>
      <c r="W187" s="289"/>
      <c r="X187" s="289"/>
      <c r="Y187" s="289"/>
      <c r="Z187" s="289"/>
      <c r="AA187" s="289"/>
      <c r="AB187" s="175">
        <f t="shared" si="392"/>
        <v>0</v>
      </c>
      <c r="AC187" s="175">
        <f t="shared" si="393"/>
        <v>0</v>
      </c>
      <c r="AD187" s="175">
        <f>SUMIFS('1-2 人员岗位信息'!F:F,'1-2 人员岗位信息'!$C:$C,"专业外包",'1-2 人员岗位信息'!$B:$B,$D187)</f>
        <v>0</v>
      </c>
      <c r="AE187" s="297"/>
      <c r="AF187" s="175">
        <f t="shared" si="394"/>
        <v>0</v>
      </c>
      <c r="AG187" s="175">
        <f>SUMIFS('1-2 人员岗位信息'!G:G,'1-2 人员岗位信息'!$C:$C,"专业外包",'1-2 人员岗位信息'!$B:$B,$D187)</f>
        <v>0</v>
      </c>
      <c r="AH187" s="297"/>
      <c r="AI187" s="175">
        <f t="shared" si="395"/>
        <v>0</v>
      </c>
      <c r="AJ187" s="175">
        <f>SUMIFS('1-2 人员岗位信息'!H:H,'1-2 人员岗位信息'!$C:$C,"专业外包",'1-2 人员岗位信息'!$B:$B,$D187)</f>
        <v>0</v>
      </c>
      <c r="AK187" s="297"/>
      <c r="AL187" s="175">
        <f t="shared" si="396"/>
        <v>0</v>
      </c>
      <c r="AM187" s="175">
        <f>SUMIFS('1-2 人员岗位信息'!I:I,'1-2 人员岗位信息'!$C:$C,"专业外包",'1-2 人员岗位信息'!$B:$B,$D187)</f>
        <v>0</v>
      </c>
      <c r="AN187" s="297"/>
      <c r="AO187" s="175">
        <f t="shared" si="397"/>
        <v>0</v>
      </c>
      <c r="AP187" s="175">
        <f>SUMIFS('1-2 人员岗位信息'!J:J,'1-2 人员岗位信息'!$C:$C,"专业外包",'1-2 人员岗位信息'!$B:$B,$D187)</f>
        <v>0</v>
      </c>
      <c r="AQ187" s="297"/>
      <c r="AR187" s="175">
        <f t="shared" si="398"/>
        <v>0</v>
      </c>
      <c r="AS187" s="175">
        <f>SUMIFS('1-2 人员岗位信息'!K:K,'1-2 人员岗位信息'!$C:$C,"专业外包",'1-2 人员岗位信息'!$B:$B,$D187)</f>
        <v>0</v>
      </c>
      <c r="AT187" s="297"/>
      <c r="AU187" s="175">
        <f t="shared" si="399"/>
        <v>0</v>
      </c>
      <c r="AV187" s="175">
        <f>SUMIFS('1-2 人员岗位信息'!L:L,'1-2 人员岗位信息'!$C:$C,"专业外包",'1-2 人员岗位信息'!$B:$B,$D187)</f>
        <v>0</v>
      </c>
      <c r="AW187" s="297"/>
      <c r="AX187" s="175">
        <f t="shared" si="400"/>
        <v>0</v>
      </c>
      <c r="AY187" s="175">
        <f>SUMIFS('1-2 人员岗位信息'!M:M,'1-2 人员岗位信息'!$C:$C,"专业外包",'1-2 人员岗位信息'!$B:$B,$D187)</f>
        <v>0</v>
      </c>
      <c r="AZ187" s="297"/>
      <c r="BA187" s="175">
        <f t="shared" si="401"/>
        <v>0</v>
      </c>
      <c r="BB187" s="175">
        <f>SUMIFS('1-2 人员岗位信息'!N:N,'1-2 人员岗位信息'!$C:$C,"专业外包",'1-2 人员岗位信息'!$B:$B,$D187)</f>
        <v>0</v>
      </c>
      <c r="BC187" s="297"/>
      <c r="BD187" s="175">
        <f t="shared" si="402"/>
        <v>0</v>
      </c>
      <c r="BE187" s="175">
        <f>SUMIFS('1-2 人员岗位信息'!O:O,'1-2 人员岗位信息'!$C:$C,"专业外包",'1-2 人员岗位信息'!$B:$B,$D187)</f>
        <v>0</v>
      </c>
      <c r="BF187" s="297"/>
      <c r="BG187" s="175">
        <f t="shared" si="403"/>
        <v>0</v>
      </c>
      <c r="BH187" s="175">
        <f>SUMIFS('1-2 人员岗位信息'!P:P,'1-2 人员岗位信息'!$C:$C,"专业外包",'1-2 人员岗位信息'!$B:$B,$D187)</f>
        <v>0</v>
      </c>
      <c r="BI187" s="297"/>
      <c r="BJ187" s="175">
        <f t="shared" si="404"/>
        <v>0</v>
      </c>
      <c r="BK187" s="175">
        <f>SUMIFS('1-2 人员岗位信息'!Q:Q,'1-2 人员岗位信息'!$C:$C,"专业外包",'1-2 人员岗位信息'!$B:$B,$D187)</f>
        <v>0</v>
      </c>
      <c r="BL187" s="306"/>
      <c r="BM187" s="310"/>
      <c r="BN187" s="314"/>
    </row>
    <row r="188" s="262" customFormat="1" ht="33.95" hidden="1" customHeight="1" outlineLevel="5" spans="2:66">
      <c r="B188" s="175" t="s">
        <v>747</v>
      </c>
      <c r="C188" s="282" t="s">
        <v>1066</v>
      </c>
      <c r="D188" s="262" t="s">
        <v>1053</v>
      </c>
      <c r="E188" s="175" t="s">
        <v>1067</v>
      </c>
      <c r="F188" s="175"/>
      <c r="G188" s="175" t="s">
        <v>751</v>
      </c>
      <c r="H188" s="175">
        <f t="shared" si="388"/>
        <v>0</v>
      </c>
      <c r="I188" s="175" t="s">
        <v>752</v>
      </c>
      <c r="J188" s="175" t="e">
        <f t="shared" si="389"/>
        <v>#DIV/0!</v>
      </c>
      <c r="K188" s="175" t="s">
        <v>753</v>
      </c>
      <c r="L188" s="175" t="e">
        <f t="shared" si="390"/>
        <v>#DIV/0!</v>
      </c>
      <c r="M188" s="175" t="s">
        <v>754</v>
      </c>
      <c r="N188" s="175">
        <f t="shared" si="391"/>
        <v>0</v>
      </c>
      <c r="O188" s="175"/>
      <c r="P188" s="289"/>
      <c r="Q188" s="289"/>
      <c r="R188" s="289"/>
      <c r="S188" s="289"/>
      <c r="T188" s="289"/>
      <c r="U188" s="289"/>
      <c r="V188" s="289"/>
      <c r="W188" s="289"/>
      <c r="X188" s="289"/>
      <c r="Y188" s="289"/>
      <c r="Z188" s="289"/>
      <c r="AA188" s="289"/>
      <c r="AB188" s="175">
        <f t="shared" si="392"/>
        <v>0</v>
      </c>
      <c r="AC188" s="175">
        <f t="shared" si="393"/>
        <v>0</v>
      </c>
      <c r="AD188" s="175">
        <f>SUMIFS('1-2 人员岗位信息'!F:F,'1-2 人员岗位信息'!$C:$C,"专业外包",'1-2 人员岗位信息'!$B:$B,$D188)</f>
        <v>0</v>
      </c>
      <c r="AE188" s="297"/>
      <c r="AF188" s="175">
        <f t="shared" si="394"/>
        <v>0</v>
      </c>
      <c r="AG188" s="175">
        <f>SUMIFS('1-2 人员岗位信息'!G:G,'1-2 人员岗位信息'!$C:$C,"专业外包",'1-2 人员岗位信息'!$B:$B,$D188)</f>
        <v>0</v>
      </c>
      <c r="AH188" s="297"/>
      <c r="AI188" s="175">
        <f t="shared" si="395"/>
        <v>0</v>
      </c>
      <c r="AJ188" s="175">
        <f>SUMIFS('1-2 人员岗位信息'!H:H,'1-2 人员岗位信息'!$C:$C,"专业外包",'1-2 人员岗位信息'!$B:$B,$D188)</f>
        <v>0</v>
      </c>
      <c r="AK188" s="297"/>
      <c r="AL188" s="175">
        <f t="shared" si="396"/>
        <v>0</v>
      </c>
      <c r="AM188" s="175">
        <f>SUMIFS('1-2 人员岗位信息'!I:I,'1-2 人员岗位信息'!$C:$C,"专业外包",'1-2 人员岗位信息'!$B:$B,$D188)</f>
        <v>0</v>
      </c>
      <c r="AN188" s="297"/>
      <c r="AO188" s="175">
        <f t="shared" si="397"/>
        <v>0</v>
      </c>
      <c r="AP188" s="175">
        <f>SUMIFS('1-2 人员岗位信息'!J:J,'1-2 人员岗位信息'!$C:$C,"专业外包",'1-2 人员岗位信息'!$B:$B,$D188)</f>
        <v>0</v>
      </c>
      <c r="AQ188" s="297"/>
      <c r="AR188" s="175">
        <f t="shared" si="398"/>
        <v>0</v>
      </c>
      <c r="AS188" s="175">
        <f>SUMIFS('1-2 人员岗位信息'!K:K,'1-2 人员岗位信息'!$C:$C,"专业外包",'1-2 人员岗位信息'!$B:$B,$D188)</f>
        <v>0</v>
      </c>
      <c r="AT188" s="297"/>
      <c r="AU188" s="175">
        <f t="shared" si="399"/>
        <v>0</v>
      </c>
      <c r="AV188" s="175">
        <f>SUMIFS('1-2 人员岗位信息'!L:L,'1-2 人员岗位信息'!$C:$C,"专业外包",'1-2 人员岗位信息'!$B:$B,$D188)</f>
        <v>0</v>
      </c>
      <c r="AW188" s="297"/>
      <c r="AX188" s="175">
        <f t="shared" si="400"/>
        <v>0</v>
      </c>
      <c r="AY188" s="175">
        <f>SUMIFS('1-2 人员岗位信息'!M:M,'1-2 人员岗位信息'!$C:$C,"专业外包",'1-2 人员岗位信息'!$B:$B,$D188)</f>
        <v>0</v>
      </c>
      <c r="AZ188" s="297"/>
      <c r="BA188" s="175">
        <f t="shared" si="401"/>
        <v>0</v>
      </c>
      <c r="BB188" s="175">
        <f>SUMIFS('1-2 人员岗位信息'!N:N,'1-2 人员岗位信息'!$C:$C,"专业外包",'1-2 人员岗位信息'!$B:$B,$D188)</f>
        <v>0</v>
      </c>
      <c r="BC188" s="297"/>
      <c r="BD188" s="175">
        <f t="shared" si="402"/>
        <v>0</v>
      </c>
      <c r="BE188" s="175">
        <f>SUMIFS('1-2 人员岗位信息'!O:O,'1-2 人员岗位信息'!$C:$C,"专业外包",'1-2 人员岗位信息'!$B:$B,$D188)</f>
        <v>0</v>
      </c>
      <c r="BF188" s="297"/>
      <c r="BG188" s="175">
        <f t="shared" si="403"/>
        <v>0</v>
      </c>
      <c r="BH188" s="175">
        <f>SUMIFS('1-2 人员岗位信息'!P:P,'1-2 人员岗位信息'!$C:$C,"专业外包",'1-2 人员岗位信息'!$B:$B,$D188)</f>
        <v>0</v>
      </c>
      <c r="BI188" s="297"/>
      <c r="BJ188" s="175">
        <f t="shared" si="404"/>
        <v>0</v>
      </c>
      <c r="BK188" s="175">
        <f>SUMIFS('1-2 人员岗位信息'!Q:Q,'1-2 人员岗位信息'!$C:$C,"专业外包",'1-2 人员岗位信息'!$B:$B,$D188)</f>
        <v>0</v>
      </c>
      <c r="BL188" s="306"/>
      <c r="BM188" s="310"/>
      <c r="BN188" s="314"/>
    </row>
    <row r="189" s="48" customFormat="1" ht="33.95" hidden="1" customHeight="1" outlineLevel="3" collapsed="1" spans="2:66">
      <c r="B189" s="115" t="s">
        <v>742</v>
      </c>
      <c r="C189" s="116" t="s">
        <v>1068</v>
      </c>
      <c r="D189" s="48" t="s">
        <v>1069</v>
      </c>
      <c r="E189" s="115"/>
      <c r="F189" s="115"/>
      <c r="G189" s="115"/>
      <c r="H189" s="115">
        <f>H190+H196+H202</f>
        <v>0</v>
      </c>
      <c r="I189" s="115"/>
      <c r="J189" s="115"/>
      <c r="K189" s="115"/>
      <c r="L189" s="115"/>
      <c r="M189" s="115"/>
      <c r="N189" s="115"/>
      <c r="O189" s="115"/>
      <c r="P189" s="287"/>
      <c r="Q189" s="287"/>
      <c r="R189" s="287"/>
      <c r="S189" s="287"/>
      <c r="T189" s="287"/>
      <c r="U189" s="287"/>
      <c r="V189" s="287"/>
      <c r="W189" s="287"/>
      <c r="X189" s="287"/>
      <c r="Y189" s="287"/>
      <c r="Z189" s="287"/>
      <c r="AA189" s="287"/>
      <c r="AB189" s="115">
        <f t="shared" ref="AB189:AF189" si="405">AB190+AB196+AB202</f>
        <v>0</v>
      </c>
      <c r="AC189" s="115">
        <f t="shared" si="405"/>
        <v>0</v>
      </c>
      <c r="AD189" s="115"/>
      <c r="AE189" s="115"/>
      <c r="AF189" s="115">
        <f t="shared" si="405"/>
        <v>0</v>
      </c>
      <c r="AG189" s="115"/>
      <c r="AH189" s="115"/>
      <c r="AI189" s="115">
        <f>AI190+AI196+AI202</f>
        <v>0</v>
      </c>
      <c r="AJ189" s="115"/>
      <c r="AK189" s="115"/>
      <c r="AL189" s="115">
        <f>AL190+AL196+AL202</f>
        <v>0</v>
      </c>
      <c r="AM189" s="115"/>
      <c r="AN189" s="115"/>
      <c r="AO189" s="115">
        <f>AO190+AO196+AO202</f>
        <v>0</v>
      </c>
      <c r="AP189" s="115"/>
      <c r="AQ189" s="115"/>
      <c r="AR189" s="115">
        <f>AR190+AR196+AR202</f>
        <v>0</v>
      </c>
      <c r="AS189" s="115"/>
      <c r="AT189" s="115"/>
      <c r="AU189" s="115">
        <f>AU190+AU196+AU202</f>
        <v>0</v>
      </c>
      <c r="AV189" s="115"/>
      <c r="AW189" s="115"/>
      <c r="AX189" s="115">
        <f>AX190+AX196+AX202</f>
        <v>0</v>
      </c>
      <c r="AY189" s="115"/>
      <c r="AZ189" s="115"/>
      <c r="BA189" s="115">
        <f>BA190+BA196+BA202</f>
        <v>0</v>
      </c>
      <c r="BB189" s="115"/>
      <c r="BC189" s="115"/>
      <c r="BD189" s="115">
        <f>BD190+BD196+BD202</f>
        <v>0</v>
      </c>
      <c r="BE189" s="115"/>
      <c r="BF189" s="115"/>
      <c r="BG189" s="115">
        <f>BG190+BG196+BG202</f>
        <v>0</v>
      </c>
      <c r="BH189" s="115"/>
      <c r="BI189" s="115"/>
      <c r="BJ189" s="115">
        <f>BJ190+BJ196+BJ202</f>
        <v>0</v>
      </c>
      <c r="BK189" s="115"/>
      <c r="BL189" s="304"/>
      <c r="BM189" s="310"/>
      <c r="BN189" s="312"/>
    </row>
    <row r="190" s="118" customFormat="1" ht="33.95" hidden="1" customHeight="1" outlineLevel="4" collapsed="1" spans="2:66">
      <c r="B190" s="119" t="s">
        <v>742</v>
      </c>
      <c r="C190" s="120" t="s">
        <v>130</v>
      </c>
      <c r="D190" s="118" t="s">
        <v>109</v>
      </c>
      <c r="E190" s="119"/>
      <c r="F190" s="119"/>
      <c r="G190" s="119"/>
      <c r="H190" s="119">
        <f>SUM(H191:H195)</f>
        <v>0</v>
      </c>
      <c r="I190" s="119"/>
      <c r="J190" s="119"/>
      <c r="K190" s="119"/>
      <c r="L190" s="119"/>
      <c r="M190" s="119"/>
      <c r="N190" s="119"/>
      <c r="O190" s="119"/>
      <c r="P190" s="288"/>
      <c r="Q190" s="288"/>
      <c r="R190" s="288"/>
      <c r="S190" s="288"/>
      <c r="T190" s="288"/>
      <c r="U190" s="288"/>
      <c r="V190" s="288"/>
      <c r="W190" s="288"/>
      <c r="X190" s="288"/>
      <c r="Y190" s="288"/>
      <c r="Z190" s="288"/>
      <c r="AA190" s="288"/>
      <c r="AB190" s="119">
        <f t="shared" ref="AB190:AF190" si="406">SUM(AB191:AB195)</f>
        <v>0</v>
      </c>
      <c r="AC190" s="119">
        <f t="shared" si="406"/>
        <v>0</v>
      </c>
      <c r="AD190" s="119"/>
      <c r="AE190" s="119"/>
      <c r="AF190" s="119">
        <f t="shared" si="406"/>
        <v>0</v>
      </c>
      <c r="AG190" s="119"/>
      <c r="AH190" s="119"/>
      <c r="AI190" s="119">
        <f>SUM(AI191:AI195)</f>
        <v>0</v>
      </c>
      <c r="AJ190" s="119"/>
      <c r="AK190" s="119"/>
      <c r="AL190" s="119">
        <f>SUM(AL191:AL195)</f>
        <v>0</v>
      </c>
      <c r="AM190" s="119"/>
      <c r="AN190" s="119"/>
      <c r="AO190" s="119">
        <f>SUM(AO191:AO195)</f>
        <v>0</v>
      </c>
      <c r="AP190" s="119"/>
      <c r="AQ190" s="119"/>
      <c r="AR190" s="119">
        <f>SUM(AR191:AR195)</f>
        <v>0</v>
      </c>
      <c r="AS190" s="119"/>
      <c r="AT190" s="119"/>
      <c r="AU190" s="119">
        <f>SUM(AU191:AU195)</f>
        <v>0</v>
      </c>
      <c r="AV190" s="119"/>
      <c r="AW190" s="119"/>
      <c r="AX190" s="119">
        <f>SUM(AX191:AX195)</f>
        <v>0</v>
      </c>
      <c r="AY190" s="119"/>
      <c r="AZ190" s="119"/>
      <c r="BA190" s="119">
        <f>SUM(BA191:BA195)</f>
        <v>0</v>
      </c>
      <c r="BB190" s="119"/>
      <c r="BC190" s="119"/>
      <c r="BD190" s="119">
        <f>SUM(BD191:BD195)</f>
        <v>0</v>
      </c>
      <c r="BE190" s="119"/>
      <c r="BF190" s="119"/>
      <c r="BG190" s="119">
        <f>SUM(BG191:BG195)</f>
        <v>0</v>
      </c>
      <c r="BH190" s="119"/>
      <c r="BI190" s="119"/>
      <c r="BJ190" s="119">
        <f>SUM(BJ191:BJ195)</f>
        <v>0</v>
      </c>
      <c r="BK190" s="119"/>
      <c r="BL190" s="305"/>
      <c r="BM190" s="310"/>
      <c r="BN190" s="313"/>
    </row>
    <row r="191" s="262" customFormat="1" ht="33.95" hidden="1" customHeight="1" outlineLevel="5" spans="2:66">
      <c r="B191" s="175" t="s">
        <v>747</v>
      </c>
      <c r="C191" s="282" t="s">
        <v>1070</v>
      </c>
      <c r="D191" s="262" t="s">
        <v>1071</v>
      </c>
      <c r="E191" s="175" t="s">
        <v>1072</v>
      </c>
      <c r="F191" s="175"/>
      <c r="G191" s="175" t="s">
        <v>751</v>
      </c>
      <c r="H191" s="175">
        <f t="shared" ref="H191:H195" si="407">AB191</f>
        <v>0</v>
      </c>
      <c r="I191" s="175" t="s">
        <v>752</v>
      </c>
      <c r="J191" s="175">
        <f t="shared" ref="J191:J195" si="408">SUM(AD191,AG191,AJ191,AM191,AP191,AS191,AV191,AY191,BB191,BE191,BH191,BK191)/N191</f>
        <v>5</v>
      </c>
      <c r="K191" s="175" t="s">
        <v>753</v>
      </c>
      <c r="L191" s="175">
        <f t="shared" ref="L191:L195" si="409">H191/N191/J191</f>
        <v>0</v>
      </c>
      <c r="M191" s="175" t="s">
        <v>754</v>
      </c>
      <c r="N191" s="175">
        <f t="shared" ref="N191:N195" si="410">COUNTIF(AD191,"&gt;0")+COUNTIF(AG191,"&gt;0")+COUNTIF(AJ191,"&gt;0")+COUNTIF(AM191,"&gt;0")+COUNTIF(AP191,"&gt;0")+COUNTIF(AS191,"&gt;0")+COUNTIF(AV191,"&gt;0")+COUNTIF(AY191,"&gt;0")+COUNTIF(BB191,"&gt;0")+COUNTIF(BE191,"&gt;0")+COUNTIF(BH191,"&gt;0")+COUNTIF(BK191,"&gt;0")</f>
        <v>12</v>
      </c>
      <c r="O191" s="175"/>
      <c r="P191" s="289"/>
      <c r="Q191" s="289"/>
      <c r="R191" s="289"/>
      <c r="S191" s="289"/>
      <c r="T191" s="289"/>
      <c r="U191" s="289"/>
      <c r="V191" s="289"/>
      <c r="W191" s="289"/>
      <c r="X191" s="289"/>
      <c r="Y191" s="289"/>
      <c r="Z191" s="289"/>
      <c r="AA191" s="289"/>
      <c r="AB191" s="175">
        <f t="shared" ref="AB191:AB195" si="411">SUM(AC191,AF191,AI191,AL191,AO191,AR191,AU191,AX191,BA191,BD191,BG191,BJ191)</f>
        <v>0</v>
      </c>
      <c r="AC191" s="175">
        <f t="shared" ref="AC191:AC195" si="412">AD191*AE191</f>
        <v>0</v>
      </c>
      <c r="AD191" s="175">
        <f>SUMIFS('1-2 人员岗位信息'!F:F,'1-2 人员岗位信息'!$C:$C,"自有人员",'1-2 人员岗位信息'!$B:$B,$D191)</f>
        <v>5</v>
      </c>
      <c r="AE191" s="297"/>
      <c r="AF191" s="175">
        <f t="shared" ref="AF191:AF195" si="413">AG191*AH191</f>
        <v>0</v>
      </c>
      <c r="AG191" s="175">
        <f>SUMIFS('1-2 人员岗位信息'!G:G,'1-2 人员岗位信息'!$C:$C,"自有人员",'1-2 人员岗位信息'!$B:$B,$D191)</f>
        <v>5</v>
      </c>
      <c r="AH191" s="297"/>
      <c r="AI191" s="175">
        <f t="shared" ref="AI191:AI195" si="414">AJ191*AK191</f>
        <v>0</v>
      </c>
      <c r="AJ191" s="175">
        <f>SUMIFS('1-2 人员岗位信息'!H:H,'1-2 人员岗位信息'!$C:$C,"自有人员",'1-2 人员岗位信息'!$B:$B,$D191)</f>
        <v>5</v>
      </c>
      <c r="AK191" s="297"/>
      <c r="AL191" s="175">
        <f t="shared" ref="AL191:AL195" si="415">AM191*AN191</f>
        <v>0</v>
      </c>
      <c r="AM191" s="175">
        <f>SUMIFS('1-2 人员岗位信息'!I:I,'1-2 人员岗位信息'!$C:$C,"自有人员",'1-2 人员岗位信息'!$B:$B,$D191)</f>
        <v>5</v>
      </c>
      <c r="AN191" s="297"/>
      <c r="AO191" s="175">
        <f t="shared" ref="AO191:AO195" si="416">AP191*AQ191</f>
        <v>0</v>
      </c>
      <c r="AP191" s="175">
        <f>SUMIFS('1-2 人员岗位信息'!J:J,'1-2 人员岗位信息'!$C:$C,"自有人员",'1-2 人员岗位信息'!$B:$B,$D191)</f>
        <v>5</v>
      </c>
      <c r="AQ191" s="297"/>
      <c r="AR191" s="175">
        <f t="shared" ref="AR191:AR195" si="417">AS191*AT191</f>
        <v>0</v>
      </c>
      <c r="AS191" s="175">
        <f>SUMIFS('1-2 人员岗位信息'!K:K,'1-2 人员岗位信息'!$C:$C,"自有人员",'1-2 人员岗位信息'!$B:$B,$D191)</f>
        <v>5</v>
      </c>
      <c r="AT191" s="297"/>
      <c r="AU191" s="175">
        <f t="shared" ref="AU191:AU195" si="418">AV191*AW191</f>
        <v>0</v>
      </c>
      <c r="AV191" s="175">
        <f>SUMIFS('1-2 人员岗位信息'!L:L,'1-2 人员岗位信息'!$C:$C,"自有人员",'1-2 人员岗位信息'!$B:$B,$D191)</f>
        <v>5</v>
      </c>
      <c r="AW191" s="297"/>
      <c r="AX191" s="175">
        <f t="shared" ref="AX191:AX195" si="419">AY191*AZ191</f>
        <v>0</v>
      </c>
      <c r="AY191" s="175">
        <f>SUMIFS('1-2 人员岗位信息'!M:M,'1-2 人员岗位信息'!$C:$C,"自有人员",'1-2 人员岗位信息'!$B:$B,$D191)</f>
        <v>5</v>
      </c>
      <c r="AZ191" s="297"/>
      <c r="BA191" s="175">
        <f t="shared" ref="BA191:BA195" si="420">BB191*BC191</f>
        <v>0</v>
      </c>
      <c r="BB191" s="175">
        <f>SUMIFS('1-2 人员岗位信息'!N:N,'1-2 人员岗位信息'!$C:$C,"自有人员",'1-2 人员岗位信息'!$B:$B,$D191)</f>
        <v>5</v>
      </c>
      <c r="BC191" s="297"/>
      <c r="BD191" s="175">
        <f t="shared" ref="BD191:BD195" si="421">BE191*BF191</f>
        <v>0</v>
      </c>
      <c r="BE191" s="175">
        <f>SUMIFS('1-2 人员岗位信息'!O:O,'1-2 人员岗位信息'!$C:$C,"自有人员",'1-2 人员岗位信息'!$B:$B,$D191)</f>
        <v>5</v>
      </c>
      <c r="BF191" s="297"/>
      <c r="BG191" s="175">
        <f t="shared" ref="BG191:BG195" si="422">BH191*BI191</f>
        <v>0</v>
      </c>
      <c r="BH191" s="175">
        <f>SUMIFS('1-2 人员岗位信息'!P:P,'1-2 人员岗位信息'!$C:$C,"自有人员",'1-2 人员岗位信息'!$B:$B,$D191)</f>
        <v>5</v>
      </c>
      <c r="BI191" s="297"/>
      <c r="BJ191" s="175">
        <f t="shared" ref="BJ191:BJ195" si="423">BK191*BL191</f>
        <v>0</v>
      </c>
      <c r="BK191" s="175">
        <f>SUMIFS('1-2 人员岗位信息'!Q:Q,'1-2 人员岗位信息'!$C:$C,"自有人员",'1-2 人员岗位信息'!$B:$B,$D191)</f>
        <v>5</v>
      </c>
      <c r="BL191" s="297"/>
      <c r="BM191" s="310"/>
      <c r="BN191" s="314"/>
    </row>
    <row r="192" s="262" customFormat="1" ht="33.95" hidden="1" customHeight="1" outlineLevel="5" spans="2:66">
      <c r="B192" s="175" t="s">
        <v>747</v>
      </c>
      <c r="C192" s="282" t="s">
        <v>1073</v>
      </c>
      <c r="D192" s="262" t="s">
        <v>1074</v>
      </c>
      <c r="E192" s="175" t="s">
        <v>1072</v>
      </c>
      <c r="F192" s="175"/>
      <c r="G192" s="175" t="s">
        <v>751</v>
      </c>
      <c r="H192" s="175">
        <f t="shared" si="407"/>
        <v>0</v>
      </c>
      <c r="I192" s="175" t="s">
        <v>752</v>
      </c>
      <c r="J192" s="175" t="e">
        <f t="shared" si="408"/>
        <v>#DIV/0!</v>
      </c>
      <c r="K192" s="175" t="s">
        <v>753</v>
      </c>
      <c r="L192" s="175" t="e">
        <f t="shared" si="409"/>
        <v>#DIV/0!</v>
      </c>
      <c r="M192" s="175" t="s">
        <v>754</v>
      </c>
      <c r="N192" s="175">
        <f t="shared" si="410"/>
        <v>0</v>
      </c>
      <c r="O192" s="175"/>
      <c r="P192" s="289"/>
      <c r="Q192" s="289"/>
      <c r="R192" s="289"/>
      <c r="S192" s="289"/>
      <c r="T192" s="289"/>
      <c r="U192" s="289"/>
      <c r="V192" s="289"/>
      <c r="W192" s="289"/>
      <c r="X192" s="289"/>
      <c r="Y192" s="289"/>
      <c r="Z192" s="289"/>
      <c r="AA192" s="289"/>
      <c r="AB192" s="175">
        <f t="shared" si="411"/>
        <v>0</v>
      </c>
      <c r="AC192" s="175">
        <f t="shared" si="412"/>
        <v>0</v>
      </c>
      <c r="AD192" s="175">
        <f>SUMIFS('1-2 人员岗位信息'!F:F,'1-2 人员岗位信息'!$C:$C,"自有人员",'1-2 人员岗位信息'!$B:$B,$D192)</f>
        <v>0</v>
      </c>
      <c r="AE192" s="297"/>
      <c r="AF192" s="175">
        <f t="shared" si="413"/>
        <v>0</v>
      </c>
      <c r="AG192" s="175">
        <f>SUMIFS('1-2 人员岗位信息'!G:G,'1-2 人员岗位信息'!$C:$C,"自有人员",'1-2 人员岗位信息'!$B:$B,$D192)</f>
        <v>0</v>
      </c>
      <c r="AH192" s="297"/>
      <c r="AI192" s="175">
        <f t="shared" si="414"/>
        <v>0</v>
      </c>
      <c r="AJ192" s="175">
        <f>SUMIFS('1-2 人员岗位信息'!H:H,'1-2 人员岗位信息'!$C:$C,"自有人员",'1-2 人员岗位信息'!$B:$B,$D192)</f>
        <v>0</v>
      </c>
      <c r="AK192" s="297"/>
      <c r="AL192" s="175">
        <f t="shared" si="415"/>
        <v>0</v>
      </c>
      <c r="AM192" s="175">
        <f>SUMIFS('1-2 人员岗位信息'!I:I,'1-2 人员岗位信息'!$C:$C,"自有人员",'1-2 人员岗位信息'!$B:$B,$D192)</f>
        <v>0</v>
      </c>
      <c r="AN192" s="297"/>
      <c r="AO192" s="175">
        <f t="shared" si="416"/>
        <v>0</v>
      </c>
      <c r="AP192" s="175">
        <f>SUMIFS('1-2 人员岗位信息'!J:J,'1-2 人员岗位信息'!$C:$C,"自有人员",'1-2 人员岗位信息'!$B:$B,$D192)</f>
        <v>0</v>
      </c>
      <c r="AQ192" s="297"/>
      <c r="AR192" s="175">
        <f t="shared" si="417"/>
        <v>0</v>
      </c>
      <c r="AS192" s="175">
        <f>SUMIFS('1-2 人员岗位信息'!K:K,'1-2 人员岗位信息'!$C:$C,"自有人员",'1-2 人员岗位信息'!$B:$B,$D192)</f>
        <v>0</v>
      </c>
      <c r="AT192" s="297"/>
      <c r="AU192" s="175">
        <f t="shared" si="418"/>
        <v>0</v>
      </c>
      <c r="AV192" s="175">
        <f>SUMIFS('1-2 人员岗位信息'!L:L,'1-2 人员岗位信息'!$C:$C,"自有人员",'1-2 人员岗位信息'!$B:$B,$D192)</f>
        <v>0</v>
      </c>
      <c r="AW192" s="297"/>
      <c r="AX192" s="175">
        <f t="shared" si="419"/>
        <v>0</v>
      </c>
      <c r="AY192" s="175">
        <f>SUMIFS('1-2 人员岗位信息'!M:M,'1-2 人员岗位信息'!$C:$C,"自有人员",'1-2 人员岗位信息'!$B:$B,$D192)</f>
        <v>0</v>
      </c>
      <c r="AZ192" s="297"/>
      <c r="BA192" s="175">
        <f t="shared" si="420"/>
        <v>0</v>
      </c>
      <c r="BB192" s="175">
        <f>SUMIFS('1-2 人员岗位信息'!N:N,'1-2 人员岗位信息'!$C:$C,"自有人员",'1-2 人员岗位信息'!$B:$B,$D192)</f>
        <v>0</v>
      </c>
      <c r="BC192" s="297"/>
      <c r="BD192" s="175">
        <f t="shared" si="421"/>
        <v>0</v>
      </c>
      <c r="BE192" s="175">
        <f>SUMIFS('1-2 人员岗位信息'!O:O,'1-2 人员岗位信息'!$C:$C,"自有人员",'1-2 人员岗位信息'!$B:$B,$D192)</f>
        <v>0</v>
      </c>
      <c r="BF192" s="297"/>
      <c r="BG192" s="175">
        <f t="shared" si="422"/>
        <v>0</v>
      </c>
      <c r="BH192" s="175">
        <f>SUMIFS('1-2 人员岗位信息'!P:P,'1-2 人员岗位信息'!$C:$C,"自有人员",'1-2 人员岗位信息'!$B:$B,$D192)</f>
        <v>0</v>
      </c>
      <c r="BI192" s="297"/>
      <c r="BJ192" s="175">
        <f t="shared" si="423"/>
        <v>0</v>
      </c>
      <c r="BK192" s="175">
        <f>SUMIFS('1-2 人员岗位信息'!Q:Q,'1-2 人员岗位信息'!$C:$C,"自有人员",'1-2 人员岗位信息'!$B:$B,$D192)</f>
        <v>0</v>
      </c>
      <c r="BL192" s="306"/>
      <c r="BM192" s="310"/>
      <c r="BN192" s="314"/>
    </row>
    <row r="193" s="262" customFormat="1" ht="33.95" hidden="1" customHeight="1" outlineLevel="5" spans="2:66">
      <c r="B193" s="175" t="s">
        <v>747</v>
      </c>
      <c r="C193" s="282" t="s">
        <v>1075</v>
      </c>
      <c r="D193" s="262" t="s">
        <v>1076</v>
      </c>
      <c r="E193" s="175" t="s">
        <v>1072</v>
      </c>
      <c r="F193" s="175"/>
      <c r="G193" s="175" t="s">
        <v>751</v>
      </c>
      <c r="H193" s="175">
        <f t="shared" si="407"/>
        <v>0</v>
      </c>
      <c r="I193" s="175" t="s">
        <v>752</v>
      </c>
      <c r="J193" s="175" t="e">
        <f t="shared" si="408"/>
        <v>#DIV/0!</v>
      </c>
      <c r="K193" s="175" t="s">
        <v>753</v>
      </c>
      <c r="L193" s="175" t="e">
        <f t="shared" si="409"/>
        <v>#DIV/0!</v>
      </c>
      <c r="M193" s="175" t="s">
        <v>754</v>
      </c>
      <c r="N193" s="175">
        <f t="shared" si="410"/>
        <v>0</v>
      </c>
      <c r="O193" s="175"/>
      <c r="P193" s="289"/>
      <c r="Q193" s="289"/>
      <c r="R193" s="289"/>
      <c r="S193" s="289"/>
      <c r="T193" s="289"/>
      <c r="U193" s="289"/>
      <c r="V193" s="289"/>
      <c r="W193" s="289"/>
      <c r="X193" s="289"/>
      <c r="Y193" s="289"/>
      <c r="Z193" s="289"/>
      <c r="AA193" s="289"/>
      <c r="AB193" s="175">
        <f t="shared" si="411"/>
        <v>0</v>
      </c>
      <c r="AC193" s="175">
        <f t="shared" si="412"/>
        <v>0</v>
      </c>
      <c r="AD193" s="175">
        <f>SUMIFS('1-2 人员岗位信息'!F:F,'1-2 人员岗位信息'!$C:$C,"自有人员",'1-2 人员岗位信息'!$B:$B,$D193)</f>
        <v>0</v>
      </c>
      <c r="AE193" s="297"/>
      <c r="AF193" s="175">
        <f t="shared" si="413"/>
        <v>0</v>
      </c>
      <c r="AG193" s="175">
        <f>SUMIFS('1-2 人员岗位信息'!G:G,'1-2 人员岗位信息'!$C:$C,"自有人员",'1-2 人员岗位信息'!$B:$B,$D193)</f>
        <v>0</v>
      </c>
      <c r="AH193" s="297"/>
      <c r="AI193" s="175">
        <f t="shared" si="414"/>
        <v>0</v>
      </c>
      <c r="AJ193" s="175">
        <f>SUMIFS('1-2 人员岗位信息'!H:H,'1-2 人员岗位信息'!$C:$C,"自有人员",'1-2 人员岗位信息'!$B:$B,$D193)</f>
        <v>0</v>
      </c>
      <c r="AK193" s="297"/>
      <c r="AL193" s="175">
        <f t="shared" si="415"/>
        <v>0</v>
      </c>
      <c r="AM193" s="175">
        <f>SUMIFS('1-2 人员岗位信息'!I:I,'1-2 人员岗位信息'!$C:$C,"自有人员",'1-2 人员岗位信息'!$B:$B,$D193)</f>
        <v>0</v>
      </c>
      <c r="AN193" s="297"/>
      <c r="AO193" s="175">
        <f t="shared" si="416"/>
        <v>0</v>
      </c>
      <c r="AP193" s="175">
        <f>SUMIFS('1-2 人员岗位信息'!J:J,'1-2 人员岗位信息'!$C:$C,"自有人员",'1-2 人员岗位信息'!$B:$B,$D193)</f>
        <v>0</v>
      </c>
      <c r="AQ193" s="297"/>
      <c r="AR193" s="175">
        <f t="shared" si="417"/>
        <v>0</v>
      </c>
      <c r="AS193" s="175">
        <f>SUMIFS('1-2 人员岗位信息'!K:K,'1-2 人员岗位信息'!$C:$C,"自有人员",'1-2 人员岗位信息'!$B:$B,$D193)</f>
        <v>0</v>
      </c>
      <c r="AT193" s="297"/>
      <c r="AU193" s="175">
        <f t="shared" si="418"/>
        <v>0</v>
      </c>
      <c r="AV193" s="175">
        <f>SUMIFS('1-2 人员岗位信息'!L:L,'1-2 人员岗位信息'!$C:$C,"自有人员",'1-2 人员岗位信息'!$B:$B,$D193)</f>
        <v>0</v>
      </c>
      <c r="AW193" s="297"/>
      <c r="AX193" s="175">
        <f t="shared" si="419"/>
        <v>0</v>
      </c>
      <c r="AY193" s="175">
        <f>SUMIFS('1-2 人员岗位信息'!M:M,'1-2 人员岗位信息'!$C:$C,"自有人员",'1-2 人员岗位信息'!$B:$B,$D193)</f>
        <v>0</v>
      </c>
      <c r="AZ193" s="297"/>
      <c r="BA193" s="175">
        <f t="shared" si="420"/>
        <v>0</v>
      </c>
      <c r="BB193" s="175">
        <f>SUMIFS('1-2 人员岗位信息'!N:N,'1-2 人员岗位信息'!$C:$C,"自有人员",'1-2 人员岗位信息'!$B:$B,$D193)</f>
        <v>0</v>
      </c>
      <c r="BC193" s="297"/>
      <c r="BD193" s="175">
        <f t="shared" si="421"/>
        <v>0</v>
      </c>
      <c r="BE193" s="175">
        <f>SUMIFS('1-2 人员岗位信息'!O:O,'1-2 人员岗位信息'!$C:$C,"自有人员",'1-2 人员岗位信息'!$B:$B,$D193)</f>
        <v>0</v>
      </c>
      <c r="BF193" s="297"/>
      <c r="BG193" s="175">
        <f t="shared" si="422"/>
        <v>0</v>
      </c>
      <c r="BH193" s="175">
        <f>SUMIFS('1-2 人员岗位信息'!P:P,'1-2 人员岗位信息'!$C:$C,"自有人员",'1-2 人员岗位信息'!$B:$B,$D193)</f>
        <v>0</v>
      </c>
      <c r="BI193" s="297"/>
      <c r="BJ193" s="175">
        <f t="shared" si="423"/>
        <v>0</v>
      </c>
      <c r="BK193" s="175">
        <f>SUMIFS('1-2 人员岗位信息'!Q:Q,'1-2 人员岗位信息'!$C:$C,"自有人员",'1-2 人员岗位信息'!$B:$B,$D193)</f>
        <v>0</v>
      </c>
      <c r="BL193" s="306"/>
      <c r="BM193" s="310"/>
      <c r="BN193" s="314"/>
    </row>
    <row r="194" s="262" customFormat="1" ht="33.95" hidden="1" customHeight="1" outlineLevel="5" spans="2:66">
      <c r="B194" s="175" t="s">
        <v>747</v>
      </c>
      <c r="C194" s="282" t="s">
        <v>1077</v>
      </c>
      <c r="D194" s="262" t="s">
        <v>1078</v>
      </c>
      <c r="E194" s="175" t="s">
        <v>1072</v>
      </c>
      <c r="F194" s="175"/>
      <c r="G194" s="175" t="s">
        <v>751</v>
      </c>
      <c r="H194" s="175">
        <f t="shared" si="407"/>
        <v>0</v>
      </c>
      <c r="I194" s="175" t="s">
        <v>752</v>
      </c>
      <c r="J194" s="175" t="e">
        <f t="shared" si="408"/>
        <v>#DIV/0!</v>
      </c>
      <c r="K194" s="175" t="s">
        <v>753</v>
      </c>
      <c r="L194" s="175" t="e">
        <f t="shared" si="409"/>
        <v>#DIV/0!</v>
      </c>
      <c r="M194" s="175" t="s">
        <v>754</v>
      </c>
      <c r="N194" s="175">
        <f t="shared" si="410"/>
        <v>0</v>
      </c>
      <c r="O194" s="175"/>
      <c r="P194" s="289"/>
      <c r="Q194" s="289"/>
      <c r="R194" s="289"/>
      <c r="S194" s="289"/>
      <c r="T194" s="289"/>
      <c r="U194" s="289"/>
      <c r="V194" s="289"/>
      <c r="W194" s="289"/>
      <c r="X194" s="289"/>
      <c r="Y194" s="289"/>
      <c r="Z194" s="289"/>
      <c r="AA194" s="289"/>
      <c r="AB194" s="175">
        <f t="shared" si="411"/>
        <v>0</v>
      </c>
      <c r="AC194" s="175">
        <f t="shared" si="412"/>
        <v>0</v>
      </c>
      <c r="AD194" s="175">
        <f>SUMIFS('1-2 人员岗位信息'!F:F,'1-2 人员岗位信息'!$C:$C,"自有人员",'1-2 人员岗位信息'!$B:$B,$D194)</f>
        <v>0</v>
      </c>
      <c r="AE194" s="297"/>
      <c r="AF194" s="175">
        <f t="shared" si="413"/>
        <v>0</v>
      </c>
      <c r="AG194" s="175">
        <f>SUMIFS('1-2 人员岗位信息'!G:G,'1-2 人员岗位信息'!$C:$C,"自有人员",'1-2 人员岗位信息'!$B:$B,$D194)</f>
        <v>0</v>
      </c>
      <c r="AH194" s="297"/>
      <c r="AI194" s="175">
        <f t="shared" si="414"/>
        <v>0</v>
      </c>
      <c r="AJ194" s="175">
        <f>SUMIFS('1-2 人员岗位信息'!H:H,'1-2 人员岗位信息'!$C:$C,"自有人员",'1-2 人员岗位信息'!$B:$B,$D194)</f>
        <v>0</v>
      </c>
      <c r="AK194" s="297"/>
      <c r="AL194" s="175">
        <f t="shared" si="415"/>
        <v>0</v>
      </c>
      <c r="AM194" s="175">
        <f>SUMIFS('1-2 人员岗位信息'!I:I,'1-2 人员岗位信息'!$C:$C,"自有人员",'1-2 人员岗位信息'!$B:$B,$D194)</f>
        <v>0</v>
      </c>
      <c r="AN194" s="297"/>
      <c r="AO194" s="175">
        <f t="shared" si="416"/>
        <v>0</v>
      </c>
      <c r="AP194" s="175">
        <f>SUMIFS('1-2 人员岗位信息'!J:J,'1-2 人员岗位信息'!$C:$C,"自有人员",'1-2 人员岗位信息'!$B:$B,$D194)</f>
        <v>0</v>
      </c>
      <c r="AQ194" s="297"/>
      <c r="AR194" s="175">
        <f t="shared" si="417"/>
        <v>0</v>
      </c>
      <c r="AS194" s="175">
        <f>SUMIFS('1-2 人员岗位信息'!K:K,'1-2 人员岗位信息'!$C:$C,"自有人员",'1-2 人员岗位信息'!$B:$B,$D194)</f>
        <v>0</v>
      </c>
      <c r="AT194" s="297"/>
      <c r="AU194" s="175">
        <f t="shared" si="418"/>
        <v>0</v>
      </c>
      <c r="AV194" s="175">
        <f>SUMIFS('1-2 人员岗位信息'!L:L,'1-2 人员岗位信息'!$C:$C,"自有人员",'1-2 人员岗位信息'!$B:$B,$D194)</f>
        <v>0</v>
      </c>
      <c r="AW194" s="297"/>
      <c r="AX194" s="175">
        <f t="shared" si="419"/>
        <v>0</v>
      </c>
      <c r="AY194" s="175">
        <f>SUMIFS('1-2 人员岗位信息'!M:M,'1-2 人员岗位信息'!$C:$C,"自有人员",'1-2 人员岗位信息'!$B:$B,$D194)</f>
        <v>0</v>
      </c>
      <c r="AZ194" s="297"/>
      <c r="BA194" s="175">
        <f t="shared" si="420"/>
        <v>0</v>
      </c>
      <c r="BB194" s="175">
        <f>SUMIFS('1-2 人员岗位信息'!N:N,'1-2 人员岗位信息'!$C:$C,"自有人员",'1-2 人员岗位信息'!$B:$B,$D194)</f>
        <v>0</v>
      </c>
      <c r="BC194" s="297"/>
      <c r="BD194" s="175">
        <f t="shared" si="421"/>
        <v>0</v>
      </c>
      <c r="BE194" s="175">
        <f>SUMIFS('1-2 人员岗位信息'!O:O,'1-2 人员岗位信息'!$C:$C,"自有人员",'1-2 人员岗位信息'!$B:$B,$D194)</f>
        <v>0</v>
      </c>
      <c r="BF194" s="297"/>
      <c r="BG194" s="175">
        <f t="shared" si="422"/>
        <v>0</v>
      </c>
      <c r="BH194" s="175">
        <f>SUMIFS('1-2 人员岗位信息'!P:P,'1-2 人员岗位信息'!$C:$C,"自有人员",'1-2 人员岗位信息'!$B:$B,$D194)</f>
        <v>0</v>
      </c>
      <c r="BI194" s="297"/>
      <c r="BJ194" s="175">
        <f t="shared" si="423"/>
        <v>0</v>
      </c>
      <c r="BK194" s="175">
        <f>SUMIFS('1-2 人员岗位信息'!Q:Q,'1-2 人员岗位信息'!$C:$C,"自有人员",'1-2 人员岗位信息'!$B:$B,$D194)</f>
        <v>0</v>
      </c>
      <c r="BL194" s="306"/>
      <c r="BM194" s="310"/>
      <c r="BN194" s="314"/>
    </row>
    <row r="195" s="262" customFormat="1" ht="33.95" hidden="1" customHeight="1" outlineLevel="5" spans="2:66">
      <c r="B195" s="175" t="s">
        <v>747</v>
      </c>
      <c r="C195" s="282" t="s">
        <v>1079</v>
      </c>
      <c r="D195" s="262" t="s">
        <v>1080</v>
      </c>
      <c r="E195" s="175" t="s">
        <v>1072</v>
      </c>
      <c r="F195" s="175"/>
      <c r="G195" s="175" t="s">
        <v>751</v>
      </c>
      <c r="H195" s="175">
        <f t="shared" si="407"/>
        <v>0</v>
      </c>
      <c r="I195" s="175" t="s">
        <v>752</v>
      </c>
      <c r="J195" s="175" t="e">
        <f t="shared" si="408"/>
        <v>#DIV/0!</v>
      </c>
      <c r="K195" s="175" t="s">
        <v>753</v>
      </c>
      <c r="L195" s="175" t="e">
        <f t="shared" si="409"/>
        <v>#DIV/0!</v>
      </c>
      <c r="M195" s="175" t="s">
        <v>754</v>
      </c>
      <c r="N195" s="175">
        <f t="shared" si="410"/>
        <v>0</v>
      </c>
      <c r="O195" s="175"/>
      <c r="P195" s="289"/>
      <c r="Q195" s="289"/>
      <c r="R195" s="289"/>
      <c r="S195" s="289"/>
      <c r="T195" s="289"/>
      <c r="U195" s="289"/>
      <c r="V195" s="289"/>
      <c r="W195" s="289"/>
      <c r="X195" s="289"/>
      <c r="Y195" s="289"/>
      <c r="Z195" s="289"/>
      <c r="AA195" s="289"/>
      <c r="AB195" s="175">
        <f t="shared" si="411"/>
        <v>0</v>
      </c>
      <c r="AC195" s="175">
        <f t="shared" si="412"/>
        <v>0</v>
      </c>
      <c r="AD195" s="175">
        <f>SUMIFS('1-2 人员岗位信息'!F:F,'1-2 人员岗位信息'!$C:$C,"自有人员",'1-2 人员岗位信息'!$B:$B,$D195)</f>
        <v>0</v>
      </c>
      <c r="AE195" s="297"/>
      <c r="AF195" s="175">
        <f t="shared" si="413"/>
        <v>0</v>
      </c>
      <c r="AG195" s="175">
        <f>SUMIFS('1-2 人员岗位信息'!G:G,'1-2 人员岗位信息'!$C:$C,"自有人员",'1-2 人员岗位信息'!$B:$B,$D195)</f>
        <v>0</v>
      </c>
      <c r="AH195" s="297"/>
      <c r="AI195" s="175">
        <f t="shared" si="414"/>
        <v>0</v>
      </c>
      <c r="AJ195" s="175">
        <f>SUMIFS('1-2 人员岗位信息'!H:H,'1-2 人员岗位信息'!$C:$C,"自有人员",'1-2 人员岗位信息'!$B:$B,$D195)</f>
        <v>0</v>
      </c>
      <c r="AK195" s="297"/>
      <c r="AL195" s="175">
        <f t="shared" si="415"/>
        <v>0</v>
      </c>
      <c r="AM195" s="175">
        <f>SUMIFS('1-2 人员岗位信息'!I:I,'1-2 人员岗位信息'!$C:$C,"自有人员",'1-2 人员岗位信息'!$B:$B,$D195)</f>
        <v>0</v>
      </c>
      <c r="AN195" s="297"/>
      <c r="AO195" s="175">
        <f t="shared" si="416"/>
        <v>0</v>
      </c>
      <c r="AP195" s="175">
        <f>SUMIFS('1-2 人员岗位信息'!J:J,'1-2 人员岗位信息'!$C:$C,"自有人员",'1-2 人员岗位信息'!$B:$B,$D195)</f>
        <v>0</v>
      </c>
      <c r="AQ195" s="297"/>
      <c r="AR195" s="175">
        <f t="shared" si="417"/>
        <v>0</v>
      </c>
      <c r="AS195" s="175">
        <f>SUMIFS('1-2 人员岗位信息'!K:K,'1-2 人员岗位信息'!$C:$C,"自有人员",'1-2 人员岗位信息'!$B:$B,$D195)</f>
        <v>0</v>
      </c>
      <c r="AT195" s="297"/>
      <c r="AU195" s="175">
        <f t="shared" si="418"/>
        <v>0</v>
      </c>
      <c r="AV195" s="175">
        <f>SUMIFS('1-2 人员岗位信息'!L:L,'1-2 人员岗位信息'!$C:$C,"自有人员",'1-2 人员岗位信息'!$B:$B,$D195)</f>
        <v>0</v>
      </c>
      <c r="AW195" s="297"/>
      <c r="AX195" s="175">
        <f t="shared" si="419"/>
        <v>0</v>
      </c>
      <c r="AY195" s="175">
        <f>SUMIFS('1-2 人员岗位信息'!M:M,'1-2 人员岗位信息'!$C:$C,"自有人员",'1-2 人员岗位信息'!$B:$B,$D195)</f>
        <v>0</v>
      </c>
      <c r="AZ195" s="297"/>
      <c r="BA195" s="175">
        <f t="shared" si="420"/>
        <v>0</v>
      </c>
      <c r="BB195" s="175">
        <f>SUMIFS('1-2 人员岗位信息'!N:N,'1-2 人员岗位信息'!$C:$C,"自有人员",'1-2 人员岗位信息'!$B:$B,$D195)</f>
        <v>0</v>
      </c>
      <c r="BC195" s="297"/>
      <c r="BD195" s="175">
        <f t="shared" si="421"/>
        <v>0</v>
      </c>
      <c r="BE195" s="175">
        <f>SUMIFS('1-2 人员岗位信息'!O:O,'1-2 人员岗位信息'!$C:$C,"自有人员",'1-2 人员岗位信息'!$B:$B,$D195)</f>
        <v>0</v>
      </c>
      <c r="BF195" s="297"/>
      <c r="BG195" s="175">
        <f t="shared" si="422"/>
        <v>0</v>
      </c>
      <c r="BH195" s="175">
        <f>SUMIFS('1-2 人员岗位信息'!P:P,'1-2 人员岗位信息'!$C:$C,"自有人员",'1-2 人员岗位信息'!$B:$B,$D195)</f>
        <v>0</v>
      </c>
      <c r="BI195" s="297"/>
      <c r="BJ195" s="175">
        <f t="shared" si="423"/>
        <v>0</v>
      </c>
      <c r="BK195" s="175">
        <f>SUMIFS('1-2 人员岗位信息'!Q:Q,'1-2 人员岗位信息'!$C:$C,"自有人员",'1-2 人员岗位信息'!$B:$B,$D195)</f>
        <v>0</v>
      </c>
      <c r="BL195" s="306"/>
      <c r="BM195" s="310"/>
      <c r="BN195" s="314"/>
    </row>
    <row r="196" s="118" customFormat="1" ht="33.95" hidden="1" customHeight="1" outlineLevel="4" collapsed="1" spans="2:66">
      <c r="B196" s="119" t="s">
        <v>742</v>
      </c>
      <c r="C196" s="120" t="s">
        <v>75</v>
      </c>
      <c r="D196" s="118" t="s">
        <v>68</v>
      </c>
      <c r="E196" s="119"/>
      <c r="F196" s="119"/>
      <c r="G196" s="119"/>
      <c r="H196" s="119">
        <f>SUM(H197:H201)</f>
        <v>0</v>
      </c>
      <c r="I196" s="119"/>
      <c r="J196" s="119"/>
      <c r="K196" s="119"/>
      <c r="L196" s="119"/>
      <c r="M196" s="119"/>
      <c r="N196" s="119"/>
      <c r="O196" s="119"/>
      <c r="P196" s="288"/>
      <c r="Q196" s="288"/>
      <c r="R196" s="288"/>
      <c r="S196" s="288"/>
      <c r="T196" s="288"/>
      <c r="U196" s="288"/>
      <c r="V196" s="288"/>
      <c r="W196" s="288"/>
      <c r="X196" s="288"/>
      <c r="Y196" s="288"/>
      <c r="Z196" s="288"/>
      <c r="AA196" s="288"/>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5"/>
      <c r="BM196" s="310"/>
      <c r="BN196" s="313"/>
    </row>
    <row r="197" s="262" customFormat="1" ht="33.95" hidden="1" customHeight="1" outlineLevel="5" spans="2:66">
      <c r="B197" s="175" t="s">
        <v>747</v>
      </c>
      <c r="C197" s="282" t="s">
        <v>1081</v>
      </c>
      <c r="D197" s="262" t="s">
        <v>1071</v>
      </c>
      <c r="E197" s="175" t="s">
        <v>1082</v>
      </c>
      <c r="F197" s="175"/>
      <c r="G197" s="175" t="s">
        <v>751</v>
      </c>
      <c r="H197" s="175">
        <f t="shared" ref="H197:H201" si="425">AB197</f>
        <v>0</v>
      </c>
      <c r="I197" s="175" t="s">
        <v>752</v>
      </c>
      <c r="J197" s="175" t="e">
        <f t="shared" ref="J197:J201" si="426">SUM(AD197,AG197,AJ197,AM197,AP197,AS197,AV197,AY197,BB197,BE197,BH197,BK197)/N197</f>
        <v>#DIV/0!</v>
      </c>
      <c r="K197" s="175" t="s">
        <v>753</v>
      </c>
      <c r="L197" s="175" t="e">
        <f t="shared" ref="L197:L201" si="427">H197/N197/J197</f>
        <v>#DIV/0!</v>
      </c>
      <c r="M197" s="175" t="s">
        <v>754</v>
      </c>
      <c r="N197" s="175">
        <f t="shared" ref="N197:N201" si="428">COUNTIF(AD197,"&gt;0")+COUNTIF(AG197,"&gt;0")+COUNTIF(AJ197,"&gt;0")+COUNTIF(AM197,"&gt;0")+COUNTIF(AP197,"&gt;0")+COUNTIF(AS197,"&gt;0")+COUNTIF(AV197,"&gt;0")+COUNTIF(AY197,"&gt;0")+COUNTIF(BB197,"&gt;0")+COUNTIF(BE197,"&gt;0")+COUNTIF(BH197,"&gt;0")+COUNTIF(BK197,"&gt;0")</f>
        <v>0</v>
      </c>
      <c r="O197" s="175"/>
      <c r="P197" s="289"/>
      <c r="Q197" s="289"/>
      <c r="R197" s="289"/>
      <c r="S197" s="289"/>
      <c r="T197" s="289"/>
      <c r="U197" s="289"/>
      <c r="V197" s="289"/>
      <c r="W197" s="289"/>
      <c r="X197" s="289"/>
      <c r="Y197" s="289"/>
      <c r="Z197" s="289"/>
      <c r="AA197" s="289"/>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297"/>
      <c r="AF197" s="175">
        <f t="shared" ref="AF197:AF201" si="431">AG197*AH197</f>
        <v>0</v>
      </c>
      <c r="AG197" s="175">
        <f>SUMIFS('1-2 人员岗位信息'!G:G,'1-2 人员岗位信息'!$C:$C,"劳务派遣",'1-2 人员岗位信息'!$B:$B,$D197)</f>
        <v>0</v>
      </c>
      <c r="AH197" s="297"/>
      <c r="AI197" s="175">
        <f t="shared" ref="AI197:AI201" si="432">AJ197*AK197</f>
        <v>0</v>
      </c>
      <c r="AJ197" s="175">
        <f>SUMIFS('1-2 人员岗位信息'!H:H,'1-2 人员岗位信息'!$C:$C,"劳务派遣",'1-2 人员岗位信息'!$B:$B,$D197)</f>
        <v>0</v>
      </c>
      <c r="AK197" s="297"/>
      <c r="AL197" s="175">
        <f t="shared" ref="AL197:AL201" si="433">AM197*AN197</f>
        <v>0</v>
      </c>
      <c r="AM197" s="175">
        <f>SUMIFS('1-2 人员岗位信息'!I:I,'1-2 人员岗位信息'!$C:$C,"劳务派遣",'1-2 人员岗位信息'!$B:$B,$D197)</f>
        <v>0</v>
      </c>
      <c r="AN197" s="297"/>
      <c r="AO197" s="175">
        <f t="shared" ref="AO197:AO201" si="434">AP197*AQ197</f>
        <v>0</v>
      </c>
      <c r="AP197" s="175">
        <f>SUMIFS('1-2 人员岗位信息'!J:J,'1-2 人员岗位信息'!$C:$C,"劳务派遣",'1-2 人员岗位信息'!$B:$B,$D197)</f>
        <v>0</v>
      </c>
      <c r="AQ197" s="297"/>
      <c r="AR197" s="175">
        <f t="shared" ref="AR197:AR201" si="435">AS197*AT197</f>
        <v>0</v>
      </c>
      <c r="AS197" s="175">
        <f>SUMIFS('1-2 人员岗位信息'!K:K,'1-2 人员岗位信息'!$C:$C,"劳务派遣",'1-2 人员岗位信息'!$B:$B,$D197)</f>
        <v>0</v>
      </c>
      <c r="AT197" s="297"/>
      <c r="AU197" s="175">
        <f t="shared" ref="AU197:AU201" si="436">AV197*AW197</f>
        <v>0</v>
      </c>
      <c r="AV197" s="175">
        <f>SUMIFS('1-2 人员岗位信息'!L:L,'1-2 人员岗位信息'!$C:$C,"劳务派遣",'1-2 人员岗位信息'!$B:$B,$D197)</f>
        <v>0</v>
      </c>
      <c r="AW197" s="297"/>
      <c r="AX197" s="175">
        <f t="shared" ref="AX197:AX201" si="437">AY197*AZ197</f>
        <v>0</v>
      </c>
      <c r="AY197" s="175">
        <f>SUMIFS('1-2 人员岗位信息'!M:M,'1-2 人员岗位信息'!$C:$C,"劳务派遣",'1-2 人员岗位信息'!$B:$B,$D197)</f>
        <v>0</v>
      </c>
      <c r="AZ197" s="297"/>
      <c r="BA197" s="175">
        <f t="shared" ref="BA197:BA201" si="438">BB197*BC197</f>
        <v>0</v>
      </c>
      <c r="BB197" s="175">
        <f>SUMIFS('1-2 人员岗位信息'!N:N,'1-2 人员岗位信息'!$C:$C,"劳务派遣",'1-2 人员岗位信息'!$B:$B,$D197)</f>
        <v>0</v>
      </c>
      <c r="BC197" s="297"/>
      <c r="BD197" s="175">
        <f t="shared" ref="BD197:BD201" si="439">BE197*BF197</f>
        <v>0</v>
      </c>
      <c r="BE197" s="175">
        <f>SUMIFS('1-2 人员岗位信息'!O:O,'1-2 人员岗位信息'!$C:$C,"劳务派遣",'1-2 人员岗位信息'!$B:$B,$D197)</f>
        <v>0</v>
      </c>
      <c r="BF197" s="297"/>
      <c r="BG197" s="175">
        <f t="shared" ref="BG197:BG201" si="440">BH197*BI197</f>
        <v>0</v>
      </c>
      <c r="BH197" s="175">
        <f>SUMIFS('1-2 人员岗位信息'!P:P,'1-2 人员岗位信息'!$C:$C,"劳务派遣",'1-2 人员岗位信息'!$B:$B,$D197)</f>
        <v>0</v>
      </c>
      <c r="BI197" s="297"/>
      <c r="BJ197" s="175">
        <f t="shared" ref="BJ197:BJ201" si="441">BK197*BL197</f>
        <v>0</v>
      </c>
      <c r="BK197" s="175">
        <f>SUMIFS('1-2 人员岗位信息'!Q:Q,'1-2 人员岗位信息'!$C:$C,"劳务派遣",'1-2 人员岗位信息'!$B:$B,$D197)</f>
        <v>0</v>
      </c>
      <c r="BL197" s="306"/>
      <c r="BM197" s="310"/>
      <c r="BN197" s="314"/>
    </row>
    <row r="198" s="262" customFormat="1" ht="33.95" hidden="1" customHeight="1" outlineLevel="5" spans="2:66">
      <c r="B198" s="175" t="s">
        <v>747</v>
      </c>
      <c r="C198" s="282" t="s">
        <v>1083</v>
      </c>
      <c r="D198" s="262" t="s">
        <v>1074</v>
      </c>
      <c r="E198" s="175" t="s">
        <v>1082</v>
      </c>
      <c r="F198" s="175"/>
      <c r="G198" s="175" t="s">
        <v>751</v>
      </c>
      <c r="H198" s="175">
        <f t="shared" si="425"/>
        <v>0</v>
      </c>
      <c r="I198" s="175" t="s">
        <v>752</v>
      </c>
      <c r="J198" s="175" t="e">
        <f t="shared" si="426"/>
        <v>#DIV/0!</v>
      </c>
      <c r="K198" s="175" t="s">
        <v>753</v>
      </c>
      <c r="L198" s="175" t="e">
        <f t="shared" si="427"/>
        <v>#DIV/0!</v>
      </c>
      <c r="M198" s="175" t="s">
        <v>754</v>
      </c>
      <c r="N198" s="175">
        <f t="shared" si="428"/>
        <v>0</v>
      </c>
      <c r="O198" s="175"/>
      <c r="P198" s="289"/>
      <c r="Q198" s="289"/>
      <c r="R198" s="289"/>
      <c r="S198" s="289"/>
      <c r="T198" s="289"/>
      <c r="U198" s="289"/>
      <c r="V198" s="289"/>
      <c r="W198" s="289"/>
      <c r="X198" s="289"/>
      <c r="Y198" s="289"/>
      <c r="Z198" s="289"/>
      <c r="AA198" s="289"/>
      <c r="AB198" s="175">
        <f t="shared" si="429"/>
        <v>0</v>
      </c>
      <c r="AC198" s="175">
        <f t="shared" si="430"/>
        <v>0</v>
      </c>
      <c r="AD198" s="175">
        <f>SUMIFS('1-2 人员岗位信息'!F:F,'1-2 人员岗位信息'!$C:$C,"劳务派遣",'1-2 人员岗位信息'!$B:$B,$D198)</f>
        <v>0</v>
      </c>
      <c r="AE198" s="297"/>
      <c r="AF198" s="175">
        <f t="shared" si="431"/>
        <v>0</v>
      </c>
      <c r="AG198" s="175">
        <f>SUMIFS('1-2 人员岗位信息'!G:G,'1-2 人员岗位信息'!$C:$C,"劳务派遣",'1-2 人员岗位信息'!$B:$B,$D198)</f>
        <v>0</v>
      </c>
      <c r="AH198" s="297"/>
      <c r="AI198" s="175">
        <f t="shared" si="432"/>
        <v>0</v>
      </c>
      <c r="AJ198" s="175">
        <f>SUMIFS('1-2 人员岗位信息'!H:H,'1-2 人员岗位信息'!$C:$C,"劳务派遣",'1-2 人员岗位信息'!$B:$B,$D198)</f>
        <v>0</v>
      </c>
      <c r="AK198" s="297"/>
      <c r="AL198" s="175">
        <f t="shared" si="433"/>
        <v>0</v>
      </c>
      <c r="AM198" s="175">
        <f>SUMIFS('1-2 人员岗位信息'!I:I,'1-2 人员岗位信息'!$C:$C,"劳务派遣",'1-2 人员岗位信息'!$B:$B,$D198)</f>
        <v>0</v>
      </c>
      <c r="AN198" s="297"/>
      <c r="AO198" s="175">
        <f t="shared" si="434"/>
        <v>0</v>
      </c>
      <c r="AP198" s="175">
        <f>SUMIFS('1-2 人员岗位信息'!J:J,'1-2 人员岗位信息'!$C:$C,"劳务派遣",'1-2 人员岗位信息'!$B:$B,$D198)</f>
        <v>0</v>
      </c>
      <c r="AQ198" s="297"/>
      <c r="AR198" s="175">
        <f t="shared" si="435"/>
        <v>0</v>
      </c>
      <c r="AS198" s="175">
        <f>SUMIFS('1-2 人员岗位信息'!K:K,'1-2 人员岗位信息'!$C:$C,"劳务派遣",'1-2 人员岗位信息'!$B:$B,$D198)</f>
        <v>0</v>
      </c>
      <c r="AT198" s="297"/>
      <c r="AU198" s="175">
        <f t="shared" si="436"/>
        <v>0</v>
      </c>
      <c r="AV198" s="175">
        <f>SUMIFS('1-2 人员岗位信息'!L:L,'1-2 人员岗位信息'!$C:$C,"劳务派遣",'1-2 人员岗位信息'!$B:$B,$D198)</f>
        <v>0</v>
      </c>
      <c r="AW198" s="297"/>
      <c r="AX198" s="175">
        <f t="shared" si="437"/>
        <v>0</v>
      </c>
      <c r="AY198" s="175">
        <f>SUMIFS('1-2 人员岗位信息'!M:M,'1-2 人员岗位信息'!$C:$C,"劳务派遣",'1-2 人员岗位信息'!$B:$B,$D198)</f>
        <v>0</v>
      </c>
      <c r="AZ198" s="297"/>
      <c r="BA198" s="175">
        <f t="shared" si="438"/>
        <v>0</v>
      </c>
      <c r="BB198" s="175">
        <f>SUMIFS('1-2 人员岗位信息'!N:N,'1-2 人员岗位信息'!$C:$C,"劳务派遣",'1-2 人员岗位信息'!$B:$B,$D198)</f>
        <v>0</v>
      </c>
      <c r="BC198" s="297"/>
      <c r="BD198" s="175">
        <f t="shared" si="439"/>
        <v>0</v>
      </c>
      <c r="BE198" s="175">
        <f>SUMIFS('1-2 人员岗位信息'!O:O,'1-2 人员岗位信息'!$C:$C,"劳务派遣",'1-2 人员岗位信息'!$B:$B,$D198)</f>
        <v>0</v>
      </c>
      <c r="BF198" s="297"/>
      <c r="BG198" s="175">
        <f t="shared" si="440"/>
        <v>0</v>
      </c>
      <c r="BH198" s="175">
        <f>SUMIFS('1-2 人员岗位信息'!P:P,'1-2 人员岗位信息'!$C:$C,"劳务派遣",'1-2 人员岗位信息'!$B:$B,$D198)</f>
        <v>0</v>
      </c>
      <c r="BI198" s="297"/>
      <c r="BJ198" s="175">
        <f t="shared" si="441"/>
        <v>0</v>
      </c>
      <c r="BK198" s="175">
        <f>SUMIFS('1-2 人员岗位信息'!Q:Q,'1-2 人员岗位信息'!$C:$C,"劳务派遣",'1-2 人员岗位信息'!$B:$B,$D198)</f>
        <v>0</v>
      </c>
      <c r="BL198" s="306"/>
      <c r="BM198" s="310"/>
      <c r="BN198" s="314"/>
    </row>
    <row r="199" s="262" customFormat="1" ht="33.95" hidden="1" customHeight="1" outlineLevel="5" spans="2:66">
      <c r="B199" s="175" t="s">
        <v>747</v>
      </c>
      <c r="C199" s="282" t="s">
        <v>1084</v>
      </c>
      <c r="D199" s="262" t="s">
        <v>1076</v>
      </c>
      <c r="E199" s="175" t="s">
        <v>1082</v>
      </c>
      <c r="F199" s="175"/>
      <c r="G199" s="175" t="s">
        <v>751</v>
      </c>
      <c r="H199" s="175">
        <f t="shared" si="425"/>
        <v>0</v>
      </c>
      <c r="I199" s="175" t="s">
        <v>752</v>
      </c>
      <c r="J199" s="175" t="e">
        <f t="shared" si="426"/>
        <v>#DIV/0!</v>
      </c>
      <c r="K199" s="175" t="s">
        <v>753</v>
      </c>
      <c r="L199" s="175" t="e">
        <f t="shared" si="427"/>
        <v>#DIV/0!</v>
      </c>
      <c r="M199" s="175" t="s">
        <v>754</v>
      </c>
      <c r="N199" s="175">
        <f t="shared" si="428"/>
        <v>0</v>
      </c>
      <c r="O199" s="175"/>
      <c r="P199" s="289"/>
      <c r="Q199" s="289"/>
      <c r="R199" s="289"/>
      <c r="S199" s="289"/>
      <c r="T199" s="289"/>
      <c r="U199" s="289"/>
      <c r="V199" s="289"/>
      <c r="W199" s="289"/>
      <c r="X199" s="289"/>
      <c r="Y199" s="289"/>
      <c r="Z199" s="289"/>
      <c r="AA199" s="289"/>
      <c r="AB199" s="175">
        <f t="shared" si="429"/>
        <v>0</v>
      </c>
      <c r="AC199" s="175">
        <f t="shared" si="430"/>
        <v>0</v>
      </c>
      <c r="AD199" s="175">
        <f>SUMIFS('1-2 人员岗位信息'!F:F,'1-2 人员岗位信息'!$C:$C,"劳务派遣",'1-2 人员岗位信息'!$B:$B,$D199)</f>
        <v>0</v>
      </c>
      <c r="AE199" s="297"/>
      <c r="AF199" s="175">
        <f t="shared" si="431"/>
        <v>0</v>
      </c>
      <c r="AG199" s="175">
        <f>SUMIFS('1-2 人员岗位信息'!G:G,'1-2 人员岗位信息'!$C:$C,"劳务派遣",'1-2 人员岗位信息'!$B:$B,$D199)</f>
        <v>0</v>
      </c>
      <c r="AH199" s="297"/>
      <c r="AI199" s="175">
        <f t="shared" si="432"/>
        <v>0</v>
      </c>
      <c r="AJ199" s="175">
        <f>SUMIFS('1-2 人员岗位信息'!H:H,'1-2 人员岗位信息'!$C:$C,"劳务派遣",'1-2 人员岗位信息'!$B:$B,$D199)</f>
        <v>0</v>
      </c>
      <c r="AK199" s="297"/>
      <c r="AL199" s="175">
        <f t="shared" si="433"/>
        <v>0</v>
      </c>
      <c r="AM199" s="175">
        <f>SUMIFS('1-2 人员岗位信息'!I:I,'1-2 人员岗位信息'!$C:$C,"劳务派遣",'1-2 人员岗位信息'!$B:$B,$D199)</f>
        <v>0</v>
      </c>
      <c r="AN199" s="297"/>
      <c r="AO199" s="175">
        <f t="shared" si="434"/>
        <v>0</v>
      </c>
      <c r="AP199" s="175">
        <f>SUMIFS('1-2 人员岗位信息'!J:J,'1-2 人员岗位信息'!$C:$C,"劳务派遣",'1-2 人员岗位信息'!$B:$B,$D199)</f>
        <v>0</v>
      </c>
      <c r="AQ199" s="297"/>
      <c r="AR199" s="175">
        <f t="shared" si="435"/>
        <v>0</v>
      </c>
      <c r="AS199" s="175">
        <f>SUMIFS('1-2 人员岗位信息'!K:K,'1-2 人员岗位信息'!$C:$C,"劳务派遣",'1-2 人员岗位信息'!$B:$B,$D199)</f>
        <v>0</v>
      </c>
      <c r="AT199" s="297"/>
      <c r="AU199" s="175">
        <f t="shared" si="436"/>
        <v>0</v>
      </c>
      <c r="AV199" s="175">
        <f>SUMIFS('1-2 人员岗位信息'!L:L,'1-2 人员岗位信息'!$C:$C,"劳务派遣",'1-2 人员岗位信息'!$B:$B,$D199)</f>
        <v>0</v>
      </c>
      <c r="AW199" s="297"/>
      <c r="AX199" s="175">
        <f t="shared" si="437"/>
        <v>0</v>
      </c>
      <c r="AY199" s="175">
        <f>SUMIFS('1-2 人员岗位信息'!M:M,'1-2 人员岗位信息'!$C:$C,"劳务派遣",'1-2 人员岗位信息'!$B:$B,$D199)</f>
        <v>0</v>
      </c>
      <c r="AZ199" s="297"/>
      <c r="BA199" s="175">
        <f t="shared" si="438"/>
        <v>0</v>
      </c>
      <c r="BB199" s="175">
        <f>SUMIFS('1-2 人员岗位信息'!N:N,'1-2 人员岗位信息'!$C:$C,"劳务派遣",'1-2 人员岗位信息'!$B:$B,$D199)</f>
        <v>0</v>
      </c>
      <c r="BC199" s="297"/>
      <c r="BD199" s="175">
        <f t="shared" si="439"/>
        <v>0</v>
      </c>
      <c r="BE199" s="175">
        <f>SUMIFS('1-2 人员岗位信息'!O:O,'1-2 人员岗位信息'!$C:$C,"劳务派遣",'1-2 人员岗位信息'!$B:$B,$D199)</f>
        <v>0</v>
      </c>
      <c r="BF199" s="297"/>
      <c r="BG199" s="175">
        <f t="shared" si="440"/>
        <v>0</v>
      </c>
      <c r="BH199" s="175">
        <f>SUMIFS('1-2 人员岗位信息'!P:P,'1-2 人员岗位信息'!$C:$C,"劳务派遣",'1-2 人员岗位信息'!$B:$B,$D199)</f>
        <v>0</v>
      </c>
      <c r="BI199" s="297"/>
      <c r="BJ199" s="175">
        <f t="shared" si="441"/>
        <v>0</v>
      </c>
      <c r="BK199" s="175">
        <f>SUMIFS('1-2 人员岗位信息'!Q:Q,'1-2 人员岗位信息'!$C:$C,"劳务派遣",'1-2 人员岗位信息'!$B:$B,$D199)</f>
        <v>0</v>
      </c>
      <c r="BL199" s="306"/>
      <c r="BM199" s="310"/>
      <c r="BN199" s="314"/>
    </row>
    <row r="200" s="262" customFormat="1" ht="33.95" hidden="1" customHeight="1" outlineLevel="5" spans="2:66">
      <c r="B200" s="175" t="s">
        <v>747</v>
      </c>
      <c r="C200" s="282" t="s">
        <v>1085</v>
      </c>
      <c r="D200" s="262" t="s">
        <v>1078</v>
      </c>
      <c r="E200" s="175" t="s">
        <v>1082</v>
      </c>
      <c r="F200" s="175"/>
      <c r="G200" s="175" t="s">
        <v>751</v>
      </c>
      <c r="H200" s="175">
        <f t="shared" si="425"/>
        <v>0</v>
      </c>
      <c r="I200" s="175" t="s">
        <v>752</v>
      </c>
      <c r="J200" s="175" t="e">
        <f t="shared" si="426"/>
        <v>#DIV/0!</v>
      </c>
      <c r="K200" s="175" t="s">
        <v>753</v>
      </c>
      <c r="L200" s="175" t="e">
        <f t="shared" si="427"/>
        <v>#DIV/0!</v>
      </c>
      <c r="M200" s="175" t="s">
        <v>754</v>
      </c>
      <c r="N200" s="175">
        <f t="shared" si="428"/>
        <v>0</v>
      </c>
      <c r="O200" s="175"/>
      <c r="P200" s="289"/>
      <c r="Q200" s="289"/>
      <c r="R200" s="289"/>
      <c r="S200" s="289"/>
      <c r="T200" s="289"/>
      <c r="U200" s="289"/>
      <c r="V200" s="289"/>
      <c r="W200" s="289"/>
      <c r="X200" s="289"/>
      <c r="Y200" s="289"/>
      <c r="Z200" s="289"/>
      <c r="AA200" s="289"/>
      <c r="AB200" s="175">
        <f t="shared" si="429"/>
        <v>0</v>
      </c>
      <c r="AC200" s="175">
        <f t="shared" si="430"/>
        <v>0</v>
      </c>
      <c r="AD200" s="175">
        <f>SUMIFS('1-2 人员岗位信息'!F:F,'1-2 人员岗位信息'!$C:$C,"劳务派遣",'1-2 人员岗位信息'!$B:$B,$D200)</f>
        <v>0</v>
      </c>
      <c r="AE200" s="297"/>
      <c r="AF200" s="175">
        <f t="shared" si="431"/>
        <v>0</v>
      </c>
      <c r="AG200" s="175">
        <f>SUMIFS('1-2 人员岗位信息'!G:G,'1-2 人员岗位信息'!$C:$C,"劳务派遣",'1-2 人员岗位信息'!$B:$B,$D200)</f>
        <v>0</v>
      </c>
      <c r="AH200" s="297"/>
      <c r="AI200" s="175">
        <f t="shared" si="432"/>
        <v>0</v>
      </c>
      <c r="AJ200" s="175">
        <f>SUMIFS('1-2 人员岗位信息'!H:H,'1-2 人员岗位信息'!$C:$C,"劳务派遣",'1-2 人员岗位信息'!$B:$B,$D200)</f>
        <v>0</v>
      </c>
      <c r="AK200" s="297"/>
      <c r="AL200" s="175">
        <f t="shared" si="433"/>
        <v>0</v>
      </c>
      <c r="AM200" s="175">
        <f>SUMIFS('1-2 人员岗位信息'!I:I,'1-2 人员岗位信息'!$C:$C,"劳务派遣",'1-2 人员岗位信息'!$B:$B,$D200)</f>
        <v>0</v>
      </c>
      <c r="AN200" s="297"/>
      <c r="AO200" s="175">
        <f t="shared" si="434"/>
        <v>0</v>
      </c>
      <c r="AP200" s="175">
        <f>SUMIFS('1-2 人员岗位信息'!J:J,'1-2 人员岗位信息'!$C:$C,"劳务派遣",'1-2 人员岗位信息'!$B:$B,$D200)</f>
        <v>0</v>
      </c>
      <c r="AQ200" s="297"/>
      <c r="AR200" s="175">
        <f t="shared" si="435"/>
        <v>0</v>
      </c>
      <c r="AS200" s="175">
        <f>SUMIFS('1-2 人员岗位信息'!K:K,'1-2 人员岗位信息'!$C:$C,"劳务派遣",'1-2 人员岗位信息'!$B:$B,$D200)</f>
        <v>0</v>
      </c>
      <c r="AT200" s="297"/>
      <c r="AU200" s="175">
        <f t="shared" si="436"/>
        <v>0</v>
      </c>
      <c r="AV200" s="175">
        <f>SUMIFS('1-2 人员岗位信息'!L:L,'1-2 人员岗位信息'!$C:$C,"劳务派遣",'1-2 人员岗位信息'!$B:$B,$D200)</f>
        <v>0</v>
      </c>
      <c r="AW200" s="297"/>
      <c r="AX200" s="175">
        <f t="shared" si="437"/>
        <v>0</v>
      </c>
      <c r="AY200" s="175">
        <f>SUMIFS('1-2 人员岗位信息'!M:M,'1-2 人员岗位信息'!$C:$C,"劳务派遣",'1-2 人员岗位信息'!$B:$B,$D200)</f>
        <v>0</v>
      </c>
      <c r="AZ200" s="297"/>
      <c r="BA200" s="175">
        <f t="shared" si="438"/>
        <v>0</v>
      </c>
      <c r="BB200" s="175">
        <f>SUMIFS('1-2 人员岗位信息'!N:N,'1-2 人员岗位信息'!$C:$C,"劳务派遣",'1-2 人员岗位信息'!$B:$B,$D200)</f>
        <v>0</v>
      </c>
      <c r="BC200" s="297"/>
      <c r="BD200" s="175">
        <f t="shared" si="439"/>
        <v>0</v>
      </c>
      <c r="BE200" s="175">
        <f>SUMIFS('1-2 人员岗位信息'!O:O,'1-2 人员岗位信息'!$C:$C,"劳务派遣",'1-2 人员岗位信息'!$B:$B,$D200)</f>
        <v>0</v>
      </c>
      <c r="BF200" s="297"/>
      <c r="BG200" s="175">
        <f t="shared" si="440"/>
        <v>0</v>
      </c>
      <c r="BH200" s="175">
        <f>SUMIFS('1-2 人员岗位信息'!P:P,'1-2 人员岗位信息'!$C:$C,"劳务派遣",'1-2 人员岗位信息'!$B:$B,$D200)</f>
        <v>0</v>
      </c>
      <c r="BI200" s="297"/>
      <c r="BJ200" s="175">
        <f t="shared" si="441"/>
        <v>0</v>
      </c>
      <c r="BK200" s="175">
        <f>SUMIFS('1-2 人员岗位信息'!Q:Q,'1-2 人员岗位信息'!$C:$C,"劳务派遣",'1-2 人员岗位信息'!$B:$B,$D200)</f>
        <v>0</v>
      </c>
      <c r="BL200" s="306"/>
      <c r="BM200" s="310"/>
      <c r="BN200" s="314"/>
    </row>
    <row r="201" s="262" customFormat="1" ht="33.95" hidden="1" customHeight="1" outlineLevel="5" spans="2:66">
      <c r="B201" s="175" t="s">
        <v>747</v>
      </c>
      <c r="C201" s="282" t="s">
        <v>1086</v>
      </c>
      <c r="D201" s="262" t="s">
        <v>1080</v>
      </c>
      <c r="E201" s="175" t="s">
        <v>1082</v>
      </c>
      <c r="F201" s="175"/>
      <c r="G201" s="175" t="s">
        <v>751</v>
      </c>
      <c r="H201" s="175">
        <f t="shared" si="425"/>
        <v>0</v>
      </c>
      <c r="I201" s="175" t="s">
        <v>752</v>
      </c>
      <c r="J201" s="175" t="e">
        <f t="shared" si="426"/>
        <v>#DIV/0!</v>
      </c>
      <c r="K201" s="175" t="s">
        <v>753</v>
      </c>
      <c r="L201" s="175" t="e">
        <f t="shared" si="427"/>
        <v>#DIV/0!</v>
      </c>
      <c r="M201" s="175" t="s">
        <v>754</v>
      </c>
      <c r="N201" s="175">
        <f t="shared" si="428"/>
        <v>0</v>
      </c>
      <c r="O201" s="175"/>
      <c r="P201" s="289"/>
      <c r="Q201" s="289"/>
      <c r="R201" s="289"/>
      <c r="S201" s="289"/>
      <c r="T201" s="289"/>
      <c r="U201" s="289"/>
      <c r="V201" s="289"/>
      <c r="W201" s="289"/>
      <c r="X201" s="289"/>
      <c r="Y201" s="289"/>
      <c r="Z201" s="289"/>
      <c r="AA201" s="289"/>
      <c r="AB201" s="175">
        <f t="shared" si="429"/>
        <v>0</v>
      </c>
      <c r="AC201" s="175">
        <f t="shared" si="430"/>
        <v>0</v>
      </c>
      <c r="AD201" s="175">
        <f>SUMIFS('1-2 人员岗位信息'!F:F,'1-2 人员岗位信息'!$C:$C,"劳务派遣",'1-2 人员岗位信息'!$B:$B,$D201)</f>
        <v>0</v>
      </c>
      <c r="AE201" s="297"/>
      <c r="AF201" s="175">
        <f t="shared" si="431"/>
        <v>0</v>
      </c>
      <c r="AG201" s="175">
        <f>SUMIFS('1-2 人员岗位信息'!G:G,'1-2 人员岗位信息'!$C:$C,"劳务派遣",'1-2 人员岗位信息'!$B:$B,$D201)</f>
        <v>0</v>
      </c>
      <c r="AH201" s="297"/>
      <c r="AI201" s="175">
        <f t="shared" si="432"/>
        <v>0</v>
      </c>
      <c r="AJ201" s="175">
        <f>SUMIFS('1-2 人员岗位信息'!H:H,'1-2 人员岗位信息'!$C:$C,"劳务派遣",'1-2 人员岗位信息'!$B:$B,$D201)</f>
        <v>0</v>
      </c>
      <c r="AK201" s="297"/>
      <c r="AL201" s="175">
        <f t="shared" si="433"/>
        <v>0</v>
      </c>
      <c r="AM201" s="175">
        <f>SUMIFS('1-2 人员岗位信息'!I:I,'1-2 人员岗位信息'!$C:$C,"劳务派遣",'1-2 人员岗位信息'!$B:$B,$D201)</f>
        <v>0</v>
      </c>
      <c r="AN201" s="297"/>
      <c r="AO201" s="175">
        <f t="shared" si="434"/>
        <v>0</v>
      </c>
      <c r="AP201" s="175">
        <f>SUMIFS('1-2 人员岗位信息'!J:J,'1-2 人员岗位信息'!$C:$C,"劳务派遣",'1-2 人员岗位信息'!$B:$B,$D201)</f>
        <v>0</v>
      </c>
      <c r="AQ201" s="297"/>
      <c r="AR201" s="175">
        <f t="shared" si="435"/>
        <v>0</v>
      </c>
      <c r="AS201" s="175">
        <f>SUMIFS('1-2 人员岗位信息'!K:K,'1-2 人员岗位信息'!$C:$C,"劳务派遣",'1-2 人员岗位信息'!$B:$B,$D201)</f>
        <v>0</v>
      </c>
      <c r="AT201" s="297"/>
      <c r="AU201" s="175">
        <f t="shared" si="436"/>
        <v>0</v>
      </c>
      <c r="AV201" s="175">
        <f>SUMIFS('1-2 人员岗位信息'!L:L,'1-2 人员岗位信息'!$C:$C,"劳务派遣",'1-2 人员岗位信息'!$B:$B,$D201)</f>
        <v>0</v>
      </c>
      <c r="AW201" s="297"/>
      <c r="AX201" s="175">
        <f t="shared" si="437"/>
        <v>0</v>
      </c>
      <c r="AY201" s="175">
        <f>SUMIFS('1-2 人员岗位信息'!M:M,'1-2 人员岗位信息'!$C:$C,"劳务派遣",'1-2 人员岗位信息'!$B:$B,$D201)</f>
        <v>0</v>
      </c>
      <c r="AZ201" s="297"/>
      <c r="BA201" s="175">
        <f t="shared" si="438"/>
        <v>0</v>
      </c>
      <c r="BB201" s="175">
        <f>SUMIFS('1-2 人员岗位信息'!N:N,'1-2 人员岗位信息'!$C:$C,"劳务派遣",'1-2 人员岗位信息'!$B:$B,$D201)</f>
        <v>0</v>
      </c>
      <c r="BC201" s="297"/>
      <c r="BD201" s="175">
        <f t="shared" si="439"/>
        <v>0</v>
      </c>
      <c r="BE201" s="175">
        <f>SUMIFS('1-2 人员岗位信息'!O:O,'1-2 人员岗位信息'!$C:$C,"劳务派遣",'1-2 人员岗位信息'!$B:$B,$D201)</f>
        <v>0</v>
      </c>
      <c r="BF201" s="297"/>
      <c r="BG201" s="175">
        <f t="shared" si="440"/>
        <v>0</v>
      </c>
      <c r="BH201" s="175">
        <f>SUMIFS('1-2 人员岗位信息'!P:P,'1-2 人员岗位信息'!$C:$C,"劳务派遣",'1-2 人员岗位信息'!$B:$B,$D201)</f>
        <v>0</v>
      </c>
      <c r="BI201" s="297"/>
      <c r="BJ201" s="175">
        <f t="shared" si="441"/>
        <v>0</v>
      </c>
      <c r="BK201" s="175">
        <f>SUMIFS('1-2 人员岗位信息'!Q:Q,'1-2 人员岗位信息'!$C:$C,"劳务派遣",'1-2 人员岗位信息'!$B:$B,$D201)</f>
        <v>0</v>
      </c>
      <c r="BL201" s="306"/>
      <c r="BM201" s="310"/>
      <c r="BN201" s="314"/>
    </row>
    <row r="202" s="118" customFormat="1" ht="33.95" hidden="1" customHeight="1" outlineLevel="4" collapsed="1" spans="2:66">
      <c r="B202" s="119" t="s">
        <v>742</v>
      </c>
      <c r="C202" s="120" t="s">
        <v>1087</v>
      </c>
      <c r="D202" s="118" t="s">
        <v>19</v>
      </c>
      <c r="E202" s="119"/>
      <c r="F202" s="119"/>
      <c r="G202" s="119"/>
      <c r="H202" s="119">
        <f>SUM(H203:H207)</f>
        <v>0</v>
      </c>
      <c r="I202" s="119"/>
      <c r="J202" s="119"/>
      <c r="K202" s="119"/>
      <c r="L202" s="119"/>
      <c r="M202" s="119"/>
      <c r="N202" s="119"/>
      <c r="O202" s="119"/>
      <c r="P202" s="288"/>
      <c r="Q202" s="288"/>
      <c r="R202" s="288"/>
      <c r="S202" s="288"/>
      <c r="T202" s="288"/>
      <c r="U202" s="288"/>
      <c r="V202" s="288"/>
      <c r="W202" s="288"/>
      <c r="X202" s="288"/>
      <c r="Y202" s="288"/>
      <c r="Z202" s="288"/>
      <c r="AA202" s="288"/>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5"/>
      <c r="BM202" s="310"/>
      <c r="BN202" s="313"/>
    </row>
    <row r="203" s="262" customFormat="1" ht="33.95" hidden="1" customHeight="1" outlineLevel="5" spans="2:66">
      <c r="B203" s="175" t="s">
        <v>747</v>
      </c>
      <c r="C203" s="282" t="s">
        <v>1088</v>
      </c>
      <c r="D203" s="262" t="s">
        <v>1071</v>
      </c>
      <c r="E203" s="175" t="s">
        <v>1089</v>
      </c>
      <c r="F203" s="175"/>
      <c r="G203" s="175" t="s">
        <v>751</v>
      </c>
      <c r="H203" s="175">
        <f t="shared" ref="H203:H207" si="443">AB203</f>
        <v>0</v>
      </c>
      <c r="I203" s="175" t="s">
        <v>752</v>
      </c>
      <c r="J203" s="175" t="e">
        <f t="shared" ref="J203:J207" si="444">SUM(AD203,AG203,AJ203,AM203,AP203,AS203,AV203,AY203,BB203,BE203,BH203,BK203)/N203</f>
        <v>#DIV/0!</v>
      </c>
      <c r="K203" s="175" t="s">
        <v>753</v>
      </c>
      <c r="L203" s="175" t="e">
        <f t="shared" ref="L203:L207" si="445">H203/N203/J203</f>
        <v>#DIV/0!</v>
      </c>
      <c r="M203" s="175" t="s">
        <v>754</v>
      </c>
      <c r="N203" s="175">
        <f t="shared" ref="N203:N207" si="446">COUNTIF(AD203,"&gt;0")+COUNTIF(AG203,"&gt;0")+COUNTIF(AJ203,"&gt;0")+COUNTIF(AM203,"&gt;0")+COUNTIF(AP203,"&gt;0")+COUNTIF(AS203,"&gt;0")+COUNTIF(AV203,"&gt;0")+COUNTIF(AY203,"&gt;0")+COUNTIF(BB203,"&gt;0")+COUNTIF(BE203,"&gt;0")+COUNTIF(BH203,"&gt;0")+COUNTIF(BK203,"&gt;0")</f>
        <v>0</v>
      </c>
      <c r="O203" s="175"/>
      <c r="P203" s="289"/>
      <c r="Q203" s="289"/>
      <c r="R203" s="289"/>
      <c r="S203" s="289"/>
      <c r="T203" s="289"/>
      <c r="U203" s="289"/>
      <c r="V203" s="289"/>
      <c r="W203" s="289"/>
      <c r="X203" s="289"/>
      <c r="Y203" s="289"/>
      <c r="Z203" s="289"/>
      <c r="AA203" s="289"/>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297"/>
      <c r="AF203" s="175">
        <f t="shared" ref="AF203:AF207" si="449">AG203*AH203</f>
        <v>0</v>
      </c>
      <c r="AG203" s="175">
        <f>SUMIFS('1-2 人员岗位信息'!G:G,'1-2 人员岗位信息'!$C:$C,"专业外包",'1-2 人员岗位信息'!$B:$B,$D203)</f>
        <v>0</v>
      </c>
      <c r="AH203" s="297"/>
      <c r="AI203" s="175">
        <f t="shared" ref="AI203:AI207" si="450">AJ203*AK203</f>
        <v>0</v>
      </c>
      <c r="AJ203" s="175">
        <f>SUMIFS('1-2 人员岗位信息'!H:H,'1-2 人员岗位信息'!$C:$C,"专业外包",'1-2 人员岗位信息'!$B:$B,$D203)</f>
        <v>0</v>
      </c>
      <c r="AK203" s="297"/>
      <c r="AL203" s="175">
        <f t="shared" ref="AL203:AL207" si="451">AM203*AN203</f>
        <v>0</v>
      </c>
      <c r="AM203" s="175">
        <f>SUMIFS('1-2 人员岗位信息'!I:I,'1-2 人员岗位信息'!$C:$C,"专业外包",'1-2 人员岗位信息'!$B:$B,$D203)</f>
        <v>0</v>
      </c>
      <c r="AN203" s="297"/>
      <c r="AO203" s="175">
        <f t="shared" ref="AO203:AO207" si="452">AP203*AQ203</f>
        <v>0</v>
      </c>
      <c r="AP203" s="175">
        <f>SUMIFS('1-2 人员岗位信息'!J:J,'1-2 人员岗位信息'!$C:$C,"专业外包",'1-2 人员岗位信息'!$B:$B,$D203)</f>
        <v>0</v>
      </c>
      <c r="AQ203" s="297"/>
      <c r="AR203" s="175">
        <f t="shared" ref="AR203:AR207" si="453">AS203*AT203</f>
        <v>0</v>
      </c>
      <c r="AS203" s="175">
        <f>SUMIFS('1-2 人员岗位信息'!K:K,'1-2 人员岗位信息'!$C:$C,"专业外包",'1-2 人员岗位信息'!$B:$B,$D203)</f>
        <v>0</v>
      </c>
      <c r="AT203" s="297"/>
      <c r="AU203" s="175">
        <f t="shared" ref="AU203:AU207" si="454">AV203*AW203</f>
        <v>0</v>
      </c>
      <c r="AV203" s="175">
        <f>SUMIFS('1-2 人员岗位信息'!L:L,'1-2 人员岗位信息'!$C:$C,"专业外包",'1-2 人员岗位信息'!$B:$B,$D203)</f>
        <v>0</v>
      </c>
      <c r="AW203" s="297"/>
      <c r="AX203" s="175">
        <f t="shared" ref="AX203:AX207" si="455">AY203*AZ203</f>
        <v>0</v>
      </c>
      <c r="AY203" s="175">
        <f>SUMIFS('1-2 人员岗位信息'!M:M,'1-2 人员岗位信息'!$C:$C,"专业外包",'1-2 人员岗位信息'!$B:$B,$D203)</f>
        <v>0</v>
      </c>
      <c r="AZ203" s="297"/>
      <c r="BA203" s="175">
        <f t="shared" ref="BA203:BA207" si="456">BB203*BC203</f>
        <v>0</v>
      </c>
      <c r="BB203" s="175">
        <f>SUMIFS('1-2 人员岗位信息'!N:N,'1-2 人员岗位信息'!$C:$C,"专业外包",'1-2 人员岗位信息'!$B:$B,$D203)</f>
        <v>0</v>
      </c>
      <c r="BC203" s="297"/>
      <c r="BD203" s="175">
        <f t="shared" ref="BD203:BD207" si="457">BE203*BF203</f>
        <v>0</v>
      </c>
      <c r="BE203" s="175">
        <f>SUMIFS('1-2 人员岗位信息'!O:O,'1-2 人员岗位信息'!$C:$C,"专业外包",'1-2 人员岗位信息'!$B:$B,$D203)</f>
        <v>0</v>
      </c>
      <c r="BF203" s="297"/>
      <c r="BG203" s="175">
        <f t="shared" ref="BG203:BG207" si="458">BH203*BI203</f>
        <v>0</v>
      </c>
      <c r="BH203" s="175">
        <f>SUMIFS('1-2 人员岗位信息'!P:P,'1-2 人员岗位信息'!$C:$C,"专业外包",'1-2 人员岗位信息'!$B:$B,$D203)</f>
        <v>0</v>
      </c>
      <c r="BI203" s="297"/>
      <c r="BJ203" s="175">
        <f t="shared" ref="BJ203:BJ207" si="459">BK203*BL203</f>
        <v>0</v>
      </c>
      <c r="BK203" s="175">
        <f>SUMIFS('1-2 人员岗位信息'!Q:Q,'1-2 人员岗位信息'!$C:$C,"专业外包",'1-2 人员岗位信息'!$B:$B,$D203)</f>
        <v>0</v>
      </c>
      <c r="BL203" s="306"/>
      <c r="BM203" s="310"/>
      <c r="BN203" s="314"/>
    </row>
    <row r="204" s="262" customFormat="1" ht="33.95" hidden="1" customHeight="1" outlineLevel="5" spans="2:66">
      <c r="B204" s="175" t="s">
        <v>747</v>
      </c>
      <c r="C204" s="282" t="s">
        <v>1090</v>
      </c>
      <c r="D204" s="262" t="s">
        <v>1074</v>
      </c>
      <c r="E204" s="175" t="s">
        <v>1089</v>
      </c>
      <c r="F204" s="175"/>
      <c r="G204" s="175" t="s">
        <v>751</v>
      </c>
      <c r="H204" s="175">
        <f t="shared" si="443"/>
        <v>0</v>
      </c>
      <c r="I204" s="175" t="s">
        <v>752</v>
      </c>
      <c r="J204" s="175" t="e">
        <f t="shared" si="444"/>
        <v>#DIV/0!</v>
      </c>
      <c r="K204" s="175" t="s">
        <v>753</v>
      </c>
      <c r="L204" s="175" t="e">
        <f t="shared" si="445"/>
        <v>#DIV/0!</v>
      </c>
      <c r="M204" s="175" t="s">
        <v>754</v>
      </c>
      <c r="N204" s="175">
        <f t="shared" si="446"/>
        <v>0</v>
      </c>
      <c r="O204" s="175"/>
      <c r="P204" s="289"/>
      <c r="Q204" s="289"/>
      <c r="R204" s="289"/>
      <c r="S204" s="289"/>
      <c r="T204" s="289"/>
      <c r="U204" s="289"/>
      <c r="V204" s="289"/>
      <c r="W204" s="289"/>
      <c r="X204" s="289"/>
      <c r="Y204" s="289"/>
      <c r="Z204" s="289"/>
      <c r="AA204" s="289"/>
      <c r="AB204" s="175">
        <f t="shared" si="447"/>
        <v>0</v>
      </c>
      <c r="AC204" s="175">
        <f t="shared" si="448"/>
        <v>0</v>
      </c>
      <c r="AD204" s="175">
        <f>SUMIFS('1-2 人员岗位信息'!F:F,'1-2 人员岗位信息'!$C:$C,"专业外包",'1-2 人员岗位信息'!$B:$B,$D204)</f>
        <v>0</v>
      </c>
      <c r="AE204" s="297"/>
      <c r="AF204" s="175">
        <f t="shared" si="449"/>
        <v>0</v>
      </c>
      <c r="AG204" s="175">
        <f>SUMIFS('1-2 人员岗位信息'!G:G,'1-2 人员岗位信息'!$C:$C,"专业外包",'1-2 人员岗位信息'!$B:$B,$D204)</f>
        <v>0</v>
      </c>
      <c r="AH204" s="297"/>
      <c r="AI204" s="175">
        <f t="shared" si="450"/>
        <v>0</v>
      </c>
      <c r="AJ204" s="175">
        <f>SUMIFS('1-2 人员岗位信息'!H:H,'1-2 人员岗位信息'!$C:$C,"专业外包",'1-2 人员岗位信息'!$B:$B,$D204)</f>
        <v>0</v>
      </c>
      <c r="AK204" s="297"/>
      <c r="AL204" s="175">
        <f t="shared" si="451"/>
        <v>0</v>
      </c>
      <c r="AM204" s="175">
        <f>SUMIFS('1-2 人员岗位信息'!I:I,'1-2 人员岗位信息'!$C:$C,"专业外包",'1-2 人员岗位信息'!$B:$B,$D204)</f>
        <v>0</v>
      </c>
      <c r="AN204" s="297"/>
      <c r="AO204" s="175">
        <f t="shared" si="452"/>
        <v>0</v>
      </c>
      <c r="AP204" s="175">
        <f>SUMIFS('1-2 人员岗位信息'!J:J,'1-2 人员岗位信息'!$C:$C,"专业外包",'1-2 人员岗位信息'!$B:$B,$D204)</f>
        <v>0</v>
      </c>
      <c r="AQ204" s="297"/>
      <c r="AR204" s="175">
        <f t="shared" si="453"/>
        <v>0</v>
      </c>
      <c r="AS204" s="175">
        <f>SUMIFS('1-2 人员岗位信息'!K:K,'1-2 人员岗位信息'!$C:$C,"专业外包",'1-2 人员岗位信息'!$B:$B,$D204)</f>
        <v>0</v>
      </c>
      <c r="AT204" s="297"/>
      <c r="AU204" s="175">
        <f t="shared" si="454"/>
        <v>0</v>
      </c>
      <c r="AV204" s="175">
        <f>SUMIFS('1-2 人员岗位信息'!L:L,'1-2 人员岗位信息'!$C:$C,"专业外包",'1-2 人员岗位信息'!$B:$B,$D204)</f>
        <v>0</v>
      </c>
      <c r="AW204" s="297"/>
      <c r="AX204" s="175">
        <f t="shared" si="455"/>
        <v>0</v>
      </c>
      <c r="AY204" s="175">
        <f>SUMIFS('1-2 人员岗位信息'!M:M,'1-2 人员岗位信息'!$C:$C,"专业外包",'1-2 人员岗位信息'!$B:$B,$D204)</f>
        <v>0</v>
      </c>
      <c r="AZ204" s="297"/>
      <c r="BA204" s="175">
        <f t="shared" si="456"/>
        <v>0</v>
      </c>
      <c r="BB204" s="175">
        <f>SUMIFS('1-2 人员岗位信息'!N:N,'1-2 人员岗位信息'!$C:$C,"专业外包",'1-2 人员岗位信息'!$B:$B,$D204)</f>
        <v>0</v>
      </c>
      <c r="BC204" s="297"/>
      <c r="BD204" s="175">
        <f t="shared" si="457"/>
        <v>0</v>
      </c>
      <c r="BE204" s="175">
        <f>SUMIFS('1-2 人员岗位信息'!O:O,'1-2 人员岗位信息'!$C:$C,"专业外包",'1-2 人员岗位信息'!$B:$B,$D204)</f>
        <v>0</v>
      </c>
      <c r="BF204" s="297"/>
      <c r="BG204" s="175">
        <f t="shared" si="458"/>
        <v>0</v>
      </c>
      <c r="BH204" s="175">
        <f>SUMIFS('1-2 人员岗位信息'!P:P,'1-2 人员岗位信息'!$C:$C,"专业外包",'1-2 人员岗位信息'!$B:$B,$D204)</f>
        <v>0</v>
      </c>
      <c r="BI204" s="297"/>
      <c r="BJ204" s="175">
        <f t="shared" si="459"/>
        <v>0</v>
      </c>
      <c r="BK204" s="175">
        <f>SUMIFS('1-2 人员岗位信息'!Q:Q,'1-2 人员岗位信息'!$C:$C,"专业外包",'1-2 人员岗位信息'!$B:$B,$D204)</f>
        <v>0</v>
      </c>
      <c r="BL204" s="306"/>
      <c r="BM204" s="310"/>
      <c r="BN204" s="314"/>
    </row>
    <row r="205" s="262" customFormat="1" ht="33.95" hidden="1" customHeight="1" outlineLevel="5" spans="2:66">
      <c r="B205" s="175" t="s">
        <v>747</v>
      </c>
      <c r="C205" s="282" t="s">
        <v>1091</v>
      </c>
      <c r="D205" s="262" t="s">
        <v>1076</v>
      </c>
      <c r="E205" s="175" t="s">
        <v>1089</v>
      </c>
      <c r="F205" s="175"/>
      <c r="G205" s="175" t="s">
        <v>751</v>
      </c>
      <c r="H205" s="175">
        <f t="shared" si="443"/>
        <v>0</v>
      </c>
      <c r="I205" s="175" t="s">
        <v>752</v>
      </c>
      <c r="J205" s="175" t="e">
        <f t="shared" si="444"/>
        <v>#DIV/0!</v>
      </c>
      <c r="K205" s="175" t="s">
        <v>753</v>
      </c>
      <c r="L205" s="175" t="e">
        <f t="shared" si="445"/>
        <v>#DIV/0!</v>
      </c>
      <c r="M205" s="175" t="s">
        <v>754</v>
      </c>
      <c r="N205" s="175">
        <f t="shared" si="446"/>
        <v>0</v>
      </c>
      <c r="O205" s="175"/>
      <c r="P205" s="289"/>
      <c r="Q205" s="289"/>
      <c r="R205" s="289"/>
      <c r="S205" s="289"/>
      <c r="T205" s="289"/>
      <c r="U205" s="289"/>
      <c r="V205" s="289"/>
      <c r="W205" s="289"/>
      <c r="X205" s="289"/>
      <c r="Y205" s="289"/>
      <c r="Z205" s="289"/>
      <c r="AA205" s="289"/>
      <c r="AB205" s="175">
        <f t="shared" si="447"/>
        <v>0</v>
      </c>
      <c r="AC205" s="175">
        <f t="shared" si="448"/>
        <v>0</v>
      </c>
      <c r="AD205" s="175">
        <f>SUMIFS('1-2 人员岗位信息'!F:F,'1-2 人员岗位信息'!$C:$C,"专业外包",'1-2 人员岗位信息'!$B:$B,$D205)</f>
        <v>0</v>
      </c>
      <c r="AE205" s="297"/>
      <c r="AF205" s="175">
        <f t="shared" si="449"/>
        <v>0</v>
      </c>
      <c r="AG205" s="175">
        <f>SUMIFS('1-2 人员岗位信息'!G:G,'1-2 人员岗位信息'!$C:$C,"专业外包",'1-2 人员岗位信息'!$B:$B,$D205)</f>
        <v>0</v>
      </c>
      <c r="AH205" s="297"/>
      <c r="AI205" s="175">
        <f t="shared" si="450"/>
        <v>0</v>
      </c>
      <c r="AJ205" s="175">
        <f>SUMIFS('1-2 人员岗位信息'!H:H,'1-2 人员岗位信息'!$C:$C,"专业外包",'1-2 人员岗位信息'!$B:$B,$D205)</f>
        <v>0</v>
      </c>
      <c r="AK205" s="297"/>
      <c r="AL205" s="175">
        <f t="shared" si="451"/>
        <v>0</v>
      </c>
      <c r="AM205" s="175">
        <f>SUMIFS('1-2 人员岗位信息'!I:I,'1-2 人员岗位信息'!$C:$C,"专业外包",'1-2 人员岗位信息'!$B:$B,$D205)</f>
        <v>0</v>
      </c>
      <c r="AN205" s="297"/>
      <c r="AO205" s="175">
        <f t="shared" si="452"/>
        <v>0</v>
      </c>
      <c r="AP205" s="175">
        <f>SUMIFS('1-2 人员岗位信息'!J:J,'1-2 人员岗位信息'!$C:$C,"专业外包",'1-2 人员岗位信息'!$B:$B,$D205)</f>
        <v>0</v>
      </c>
      <c r="AQ205" s="297"/>
      <c r="AR205" s="175">
        <f t="shared" si="453"/>
        <v>0</v>
      </c>
      <c r="AS205" s="175">
        <f>SUMIFS('1-2 人员岗位信息'!K:K,'1-2 人员岗位信息'!$C:$C,"专业外包",'1-2 人员岗位信息'!$B:$B,$D205)</f>
        <v>0</v>
      </c>
      <c r="AT205" s="297"/>
      <c r="AU205" s="175">
        <f t="shared" si="454"/>
        <v>0</v>
      </c>
      <c r="AV205" s="175">
        <f>SUMIFS('1-2 人员岗位信息'!L:L,'1-2 人员岗位信息'!$C:$C,"专业外包",'1-2 人员岗位信息'!$B:$B,$D205)</f>
        <v>0</v>
      </c>
      <c r="AW205" s="297"/>
      <c r="AX205" s="175">
        <f t="shared" si="455"/>
        <v>0</v>
      </c>
      <c r="AY205" s="175">
        <f>SUMIFS('1-2 人员岗位信息'!M:M,'1-2 人员岗位信息'!$C:$C,"专业外包",'1-2 人员岗位信息'!$B:$B,$D205)</f>
        <v>0</v>
      </c>
      <c r="AZ205" s="297"/>
      <c r="BA205" s="175">
        <f t="shared" si="456"/>
        <v>0</v>
      </c>
      <c r="BB205" s="175">
        <f>SUMIFS('1-2 人员岗位信息'!N:N,'1-2 人员岗位信息'!$C:$C,"专业外包",'1-2 人员岗位信息'!$B:$B,$D205)</f>
        <v>0</v>
      </c>
      <c r="BC205" s="297"/>
      <c r="BD205" s="175">
        <f t="shared" si="457"/>
        <v>0</v>
      </c>
      <c r="BE205" s="175">
        <f>SUMIFS('1-2 人员岗位信息'!O:O,'1-2 人员岗位信息'!$C:$C,"专业外包",'1-2 人员岗位信息'!$B:$B,$D205)</f>
        <v>0</v>
      </c>
      <c r="BF205" s="297"/>
      <c r="BG205" s="175">
        <f t="shared" si="458"/>
        <v>0</v>
      </c>
      <c r="BH205" s="175">
        <f>SUMIFS('1-2 人员岗位信息'!P:P,'1-2 人员岗位信息'!$C:$C,"专业外包",'1-2 人员岗位信息'!$B:$B,$D205)</f>
        <v>0</v>
      </c>
      <c r="BI205" s="297"/>
      <c r="BJ205" s="175">
        <f t="shared" si="459"/>
        <v>0</v>
      </c>
      <c r="BK205" s="175">
        <f>SUMIFS('1-2 人员岗位信息'!Q:Q,'1-2 人员岗位信息'!$C:$C,"专业外包",'1-2 人员岗位信息'!$B:$B,$D205)</f>
        <v>0</v>
      </c>
      <c r="BL205" s="306"/>
      <c r="BM205" s="310"/>
      <c r="BN205" s="314"/>
    </row>
    <row r="206" s="262" customFormat="1" ht="33.95" hidden="1" customHeight="1" outlineLevel="5" spans="2:66">
      <c r="B206" s="175" t="s">
        <v>747</v>
      </c>
      <c r="C206" s="282" t="s">
        <v>1092</v>
      </c>
      <c r="D206" s="262" t="s">
        <v>1078</v>
      </c>
      <c r="E206" s="175" t="s">
        <v>1089</v>
      </c>
      <c r="F206" s="175"/>
      <c r="G206" s="175" t="s">
        <v>751</v>
      </c>
      <c r="H206" s="175">
        <f t="shared" si="443"/>
        <v>0</v>
      </c>
      <c r="I206" s="175" t="s">
        <v>752</v>
      </c>
      <c r="J206" s="175" t="e">
        <f t="shared" si="444"/>
        <v>#DIV/0!</v>
      </c>
      <c r="K206" s="175" t="s">
        <v>753</v>
      </c>
      <c r="L206" s="175" t="e">
        <f t="shared" si="445"/>
        <v>#DIV/0!</v>
      </c>
      <c r="M206" s="175" t="s">
        <v>754</v>
      </c>
      <c r="N206" s="175">
        <f t="shared" si="446"/>
        <v>0</v>
      </c>
      <c r="O206" s="175"/>
      <c r="P206" s="289"/>
      <c r="Q206" s="289"/>
      <c r="R206" s="289"/>
      <c r="S206" s="289"/>
      <c r="T206" s="289"/>
      <c r="U206" s="289"/>
      <c r="V206" s="289"/>
      <c r="W206" s="289"/>
      <c r="X206" s="289"/>
      <c r="Y206" s="289"/>
      <c r="Z206" s="289"/>
      <c r="AA206" s="289"/>
      <c r="AB206" s="175">
        <f t="shared" si="447"/>
        <v>0</v>
      </c>
      <c r="AC206" s="175">
        <f t="shared" si="448"/>
        <v>0</v>
      </c>
      <c r="AD206" s="175">
        <f>SUMIFS('1-2 人员岗位信息'!F:F,'1-2 人员岗位信息'!$C:$C,"专业外包",'1-2 人员岗位信息'!$B:$B,$D206)</f>
        <v>0</v>
      </c>
      <c r="AE206" s="297"/>
      <c r="AF206" s="175">
        <f t="shared" si="449"/>
        <v>0</v>
      </c>
      <c r="AG206" s="175">
        <f>SUMIFS('1-2 人员岗位信息'!G:G,'1-2 人员岗位信息'!$C:$C,"专业外包",'1-2 人员岗位信息'!$B:$B,$D206)</f>
        <v>0</v>
      </c>
      <c r="AH206" s="297"/>
      <c r="AI206" s="175">
        <f t="shared" si="450"/>
        <v>0</v>
      </c>
      <c r="AJ206" s="175">
        <f>SUMIFS('1-2 人员岗位信息'!H:H,'1-2 人员岗位信息'!$C:$C,"专业外包",'1-2 人员岗位信息'!$B:$B,$D206)</f>
        <v>0</v>
      </c>
      <c r="AK206" s="297"/>
      <c r="AL206" s="175">
        <f t="shared" si="451"/>
        <v>0</v>
      </c>
      <c r="AM206" s="175">
        <f>SUMIFS('1-2 人员岗位信息'!I:I,'1-2 人员岗位信息'!$C:$C,"专业外包",'1-2 人员岗位信息'!$B:$B,$D206)</f>
        <v>0</v>
      </c>
      <c r="AN206" s="297"/>
      <c r="AO206" s="175">
        <f t="shared" si="452"/>
        <v>0</v>
      </c>
      <c r="AP206" s="175">
        <f>SUMIFS('1-2 人员岗位信息'!J:J,'1-2 人员岗位信息'!$C:$C,"专业外包",'1-2 人员岗位信息'!$B:$B,$D206)</f>
        <v>0</v>
      </c>
      <c r="AQ206" s="297"/>
      <c r="AR206" s="175">
        <f t="shared" si="453"/>
        <v>0</v>
      </c>
      <c r="AS206" s="175">
        <f>SUMIFS('1-2 人员岗位信息'!K:K,'1-2 人员岗位信息'!$C:$C,"专业外包",'1-2 人员岗位信息'!$B:$B,$D206)</f>
        <v>0</v>
      </c>
      <c r="AT206" s="297"/>
      <c r="AU206" s="175">
        <f t="shared" si="454"/>
        <v>0</v>
      </c>
      <c r="AV206" s="175">
        <f>SUMIFS('1-2 人员岗位信息'!L:L,'1-2 人员岗位信息'!$C:$C,"专业外包",'1-2 人员岗位信息'!$B:$B,$D206)</f>
        <v>0</v>
      </c>
      <c r="AW206" s="297"/>
      <c r="AX206" s="175">
        <f t="shared" si="455"/>
        <v>0</v>
      </c>
      <c r="AY206" s="175">
        <f>SUMIFS('1-2 人员岗位信息'!M:M,'1-2 人员岗位信息'!$C:$C,"专业外包",'1-2 人员岗位信息'!$B:$B,$D206)</f>
        <v>0</v>
      </c>
      <c r="AZ206" s="297"/>
      <c r="BA206" s="175">
        <f t="shared" si="456"/>
        <v>0</v>
      </c>
      <c r="BB206" s="175">
        <f>SUMIFS('1-2 人员岗位信息'!N:N,'1-2 人员岗位信息'!$C:$C,"专业外包",'1-2 人员岗位信息'!$B:$B,$D206)</f>
        <v>0</v>
      </c>
      <c r="BC206" s="297"/>
      <c r="BD206" s="175">
        <f t="shared" si="457"/>
        <v>0</v>
      </c>
      <c r="BE206" s="175">
        <f>SUMIFS('1-2 人员岗位信息'!O:O,'1-2 人员岗位信息'!$C:$C,"专业外包",'1-2 人员岗位信息'!$B:$B,$D206)</f>
        <v>0</v>
      </c>
      <c r="BF206" s="297"/>
      <c r="BG206" s="175">
        <f t="shared" si="458"/>
        <v>0</v>
      </c>
      <c r="BH206" s="175">
        <f>SUMIFS('1-2 人员岗位信息'!P:P,'1-2 人员岗位信息'!$C:$C,"专业外包",'1-2 人员岗位信息'!$B:$B,$D206)</f>
        <v>0</v>
      </c>
      <c r="BI206" s="297"/>
      <c r="BJ206" s="175">
        <f t="shared" si="459"/>
        <v>0</v>
      </c>
      <c r="BK206" s="175">
        <f>SUMIFS('1-2 人员岗位信息'!Q:Q,'1-2 人员岗位信息'!$C:$C,"专业外包",'1-2 人员岗位信息'!$B:$B,$D206)</f>
        <v>0</v>
      </c>
      <c r="BL206" s="306"/>
      <c r="BM206" s="310"/>
      <c r="BN206" s="314"/>
    </row>
    <row r="207" s="262" customFormat="1" ht="33.95" hidden="1" customHeight="1" outlineLevel="5" spans="2:66">
      <c r="B207" s="175" t="s">
        <v>747</v>
      </c>
      <c r="C207" s="282" t="s">
        <v>1093</v>
      </c>
      <c r="D207" s="262" t="s">
        <v>1080</v>
      </c>
      <c r="E207" s="175" t="s">
        <v>1089</v>
      </c>
      <c r="F207" s="175"/>
      <c r="G207" s="175" t="s">
        <v>751</v>
      </c>
      <c r="H207" s="175">
        <f t="shared" si="443"/>
        <v>0</v>
      </c>
      <c r="I207" s="175" t="s">
        <v>752</v>
      </c>
      <c r="J207" s="175" t="e">
        <f t="shared" si="444"/>
        <v>#DIV/0!</v>
      </c>
      <c r="K207" s="175" t="s">
        <v>753</v>
      </c>
      <c r="L207" s="175" t="e">
        <f t="shared" si="445"/>
        <v>#DIV/0!</v>
      </c>
      <c r="M207" s="175" t="s">
        <v>754</v>
      </c>
      <c r="N207" s="175">
        <f t="shared" si="446"/>
        <v>0</v>
      </c>
      <c r="O207" s="175"/>
      <c r="P207" s="289"/>
      <c r="Q207" s="289"/>
      <c r="R207" s="289"/>
      <c r="S207" s="289"/>
      <c r="T207" s="289"/>
      <c r="U207" s="289"/>
      <c r="V207" s="289"/>
      <c r="W207" s="289"/>
      <c r="X207" s="289"/>
      <c r="Y207" s="289"/>
      <c r="Z207" s="289"/>
      <c r="AA207" s="289"/>
      <c r="AB207" s="175">
        <f t="shared" si="447"/>
        <v>0</v>
      </c>
      <c r="AC207" s="175">
        <f t="shared" si="448"/>
        <v>0</v>
      </c>
      <c r="AD207" s="175">
        <f>SUMIFS('1-2 人员岗位信息'!F:F,'1-2 人员岗位信息'!$C:$C,"专业外包",'1-2 人员岗位信息'!$B:$B,$D207)</f>
        <v>0</v>
      </c>
      <c r="AE207" s="297"/>
      <c r="AF207" s="175">
        <f t="shared" si="449"/>
        <v>0</v>
      </c>
      <c r="AG207" s="175">
        <f>SUMIFS('1-2 人员岗位信息'!G:G,'1-2 人员岗位信息'!$C:$C,"专业外包",'1-2 人员岗位信息'!$B:$B,$D207)</f>
        <v>0</v>
      </c>
      <c r="AH207" s="297"/>
      <c r="AI207" s="175">
        <f t="shared" si="450"/>
        <v>0</v>
      </c>
      <c r="AJ207" s="175">
        <f>SUMIFS('1-2 人员岗位信息'!H:H,'1-2 人员岗位信息'!$C:$C,"专业外包",'1-2 人员岗位信息'!$B:$B,$D207)</f>
        <v>0</v>
      </c>
      <c r="AK207" s="297"/>
      <c r="AL207" s="175">
        <f t="shared" si="451"/>
        <v>0</v>
      </c>
      <c r="AM207" s="175">
        <f>SUMIFS('1-2 人员岗位信息'!I:I,'1-2 人员岗位信息'!$C:$C,"专业外包",'1-2 人员岗位信息'!$B:$B,$D207)</f>
        <v>0</v>
      </c>
      <c r="AN207" s="297"/>
      <c r="AO207" s="175">
        <f t="shared" si="452"/>
        <v>0</v>
      </c>
      <c r="AP207" s="175">
        <f>SUMIFS('1-2 人员岗位信息'!J:J,'1-2 人员岗位信息'!$C:$C,"专业外包",'1-2 人员岗位信息'!$B:$B,$D207)</f>
        <v>0</v>
      </c>
      <c r="AQ207" s="297"/>
      <c r="AR207" s="175">
        <f t="shared" si="453"/>
        <v>0</v>
      </c>
      <c r="AS207" s="175">
        <f>SUMIFS('1-2 人员岗位信息'!K:K,'1-2 人员岗位信息'!$C:$C,"专业外包",'1-2 人员岗位信息'!$B:$B,$D207)</f>
        <v>0</v>
      </c>
      <c r="AT207" s="297"/>
      <c r="AU207" s="175">
        <f t="shared" si="454"/>
        <v>0</v>
      </c>
      <c r="AV207" s="175">
        <f>SUMIFS('1-2 人员岗位信息'!L:L,'1-2 人员岗位信息'!$C:$C,"专业外包",'1-2 人员岗位信息'!$B:$B,$D207)</f>
        <v>0</v>
      </c>
      <c r="AW207" s="297"/>
      <c r="AX207" s="175">
        <f t="shared" si="455"/>
        <v>0</v>
      </c>
      <c r="AY207" s="175">
        <f>SUMIFS('1-2 人员岗位信息'!M:M,'1-2 人员岗位信息'!$C:$C,"专业外包",'1-2 人员岗位信息'!$B:$B,$D207)</f>
        <v>0</v>
      </c>
      <c r="AZ207" s="297"/>
      <c r="BA207" s="175">
        <f t="shared" si="456"/>
        <v>0</v>
      </c>
      <c r="BB207" s="175">
        <f>SUMIFS('1-2 人员岗位信息'!N:N,'1-2 人员岗位信息'!$C:$C,"专业外包",'1-2 人员岗位信息'!$B:$B,$D207)</f>
        <v>0</v>
      </c>
      <c r="BC207" s="297"/>
      <c r="BD207" s="175">
        <f t="shared" si="457"/>
        <v>0</v>
      </c>
      <c r="BE207" s="175">
        <f>SUMIFS('1-2 人员岗位信息'!O:O,'1-2 人员岗位信息'!$C:$C,"专业外包",'1-2 人员岗位信息'!$B:$B,$D207)</f>
        <v>0</v>
      </c>
      <c r="BF207" s="297"/>
      <c r="BG207" s="175">
        <f t="shared" si="458"/>
        <v>0</v>
      </c>
      <c r="BH207" s="175">
        <f>SUMIFS('1-2 人员岗位信息'!P:P,'1-2 人员岗位信息'!$C:$C,"专业外包",'1-2 人员岗位信息'!$B:$B,$D207)</f>
        <v>0</v>
      </c>
      <c r="BI207" s="297"/>
      <c r="BJ207" s="175">
        <f t="shared" si="459"/>
        <v>0</v>
      </c>
      <c r="BK207" s="175">
        <f>SUMIFS('1-2 人员岗位信息'!Q:Q,'1-2 人员岗位信息'!$C:$C,"专业外包",'1-2 人员岗位信息'!$B:$B,$D207)</f>
        <v>0</v>
      </c>
      <c r="BL207" s="306"/>
      <c r="BM207" s="310"/>
      <c r="BN207" s="314"/>
    </row>
    <row r="208" s="22" customFormat="1" ht="33.95" hidden="1" customHeight="1" outlineLevel="2" collapsed="1" spans="2:66">
      <c r="B208" s="112" t="s">
        <v>742</v>
      </c>
      <c r="C208" s="113" t="s">
        <v>220</v>
      </c>
      <c r="D208" s="22" t="s">
        <v>221</v>
      </c>
      <c r="E208" s="112"/>
      <c r="F208" s="112"/>
      <c r="G208" s="112"/>
      <c r="H208" s="112">
        <f>H209+H223+H224+H236+H239+H247+H262+H291+H303+H307</f>
        <v>0</v>
      </c>
      <c r="I208" s="112"/>
      <c r="J208" s="112"/>
      <c r="K208" s="112"/>
      <c r="L208" s="112"/>
      <c r="M208" s="112"/>
      <c r="N208" s="112"/>
      <c r="O208" s="112"/>
      <c r="P208" s="286"/>
      <c r="Q208" s="286"/>
      <c r="R208" s="286"/>
      <c r="S208" s="286"/>
      <c r="T208" s="286"/>
      <c r="U208" s="286"/>
      <c r="V208" s="286"/>
      <c r="W208" s="286"/>
      <c r="X208" s="286"/>
      <c r="Y208" s="286"/>
      <c r="Z208" s="286"/>
      <c r="AA208" s="286"/>
      <c r="AB208" s="112">
        <f t="shared" ref="AB208:AF208" si="460">AB209+AB223+AB224+AB236+AB239+AB247+AB262+AB291+AB303+AB307</f>
        <v>0</v>
      </c>
      <c r="AC208" s="112">
        <f t="shared" si="460"/>
        <v>0</v>
      </c>
      <c r="AD208" s="112"/>
      <c r="AE208" s="112"/>
      <c r="AF208" s="112">
        <f t="shared" si="460"/>
        <v>0</v>
      </c>
      <c r="AG208" s="112"/>
      <c r="AH208" s="112"/>
      <c r="AI208" s="112">
        <f>AI209+AI223+AI224+AI236+AI239+AI247+AI262+AI291+AI303+AI307</f>
        <v>0</v>
      </c>
      <c r="AJ208" s="112"/>
      <c r="AK208" s="112"/>
      <c r="AL208" s="112">
        <f>AL209+AL223+AL224+AL236+AL239+AL247+AL262+AL291+AL303+AL307</f>
        <v>0</v>
      </c>
      <c r="AM208" s="112"/>
      <c r="AN208" s="112"/>
      <c r="AO208" s="112">
        <f>AO209+AO223+AO224+AO236+AO239+AO247+AO262+AO291+AO303+AO307</f>
        <v>0</v>
      </c>
      <c r="AP208" s="112"/>
      <c r="AQ208" s="112"/>
      <c r="AR208" s="112">
        <f>AR209+AR223+AR224+AR236+AR239+AR247+AR262+AR291+AR303+AR307</f>
        <v>0</v>
      </c>
      <c r="AS208" s="112"/>
      <c r="AT208" s="112"/>
      <c r="AU208" s="112">
        <f>AU209+AU223+AU224+AU236+AU239+AU247+AU262+AU291+AU303+AU307</f>
        <v>0</v>
      </c>
      <c r="AV208" s="112"/>
      <c r="AW208" s="112"/>
      <c r="AX208" s="112">
        <f>AX209+AX223+AX224+AX236+AX239+AX247+AX262+AX291+AX303+AX307</f>
        <v>0</v>
      </c>
      <c r="AY208" s="112"/>
      <c r="AZ208" s="112"/>
      <c r="BA208" s="112">
        <f>BA209+BA223+BA224+BA236+BA239+BA247+BA262+BA291+BA303+BA307</f>
        <v>0</v>
      </c>
      <c r="BB208" s="112"/>
      <c r="BC208" s="112"/>
      <c r="BD208" s="112">
        <f>BD209+BD223+BD224+BD236+BD239+BD247+BD262+BD291+BD303+BD307</f>
        <v>0</v>
      </c>
      <c r="BE208" s="112"/>
      <c r="BF208" s="112"/>
      <c r="BG208" s="112">
        <f>BG209+BG223+BG224+BG236+BG239+BG247+BG262+BG291+BG303+BG307</f>
        <v>0</v>
      </c>
      <c r="BH208" s="112"/>
      <c r="BI208" s="112"/>
      <c r="BJ208" s="112">
        <f>BJ209+BJ223+BJ224+BJ236+BJ239+BJ247+BJ262+BJ291+BJ303+BJ307</f>
        <v>0</v>
      </c>
      <c r="BK208" s="112"/>
      <c r="BL208" s="303"/>
      <c r="BM208" s="310"/>
      <c r="BN208" s="311"/>
    </row>
    <row r="209" s="48" customFormat="1" ht="33.95" hidden="1" customHeight="1" outlineLevel="3" collapsed="1" spans="2:66">
      <c r="B209" s="115" t="s">
        <v>742</v>
      </c>
      <c r="C209" s="116" t="s">
        <v>32</v>
      </c>
      <c r="D209" s="48" t="s">
        <v>33</v>
      </c>
      <c r="E209" s="115" t="s">
        <v>1094</v>
      </c>
      <c r="F209" s="115"/>
      <c r="G209" s="115"/>
      <c r="H209" s="115">
        <f>SUM(H210:H222)</f>
        <v>0</v>
      </c>
      <c r="I209" s="115"/>
      <c r="J209" s="115"/>
      <c r="K209" s="115"/>
      <c r="L209" s="115"/>
      <c r="M209" s="115"/>
      <c r="N209" s="115"/>
      <c r="O209" s="115"/>
      <c r="P209" s="287"/>
      <c r="Q209" s="287"/>
      <c r="R209" s="287"/>
      <c r="S209" s="287"/>
      <c r="T209" s="287"/>
      <c r="U209" s="287"/>
      <c r="V209" s="287"/>
      <c r="W209" s="287"/>
      <c r="X209" s="287"/>
      <c r="Y209" s="287"/>
      <c r="Z209" s="287"/>
      <c r="AA209" s="287"/>
      <c r="AB209" s="115">
        <f t="shared" ref="AB209:AF209" si="461">SUM(AB210:AB222)</f>
        <v>0</v>
      </c>
      <c r="AC209" s="115">
        <f t="shared" si="461"/>
        <v>0</v>
      </c>
      <c r="AD209" s="115"/>
      <c r="AE209" s="115"/>
      <c r="AF209" s="115">
        <f t="shared" si="461"/>
        <v>0</v>
      </c>
      <c r="AG209" s="115"/>
      <c r="AH209" s="115"/>
      <c r="AI209" s="115">
        <f>SUM(AI210:AI222)</f>
        <v>0</v>
      </c>
      <c r="AJ209" s="115"/>
      <c r="AK209" s="115"/>
      <c r="AL209" s="115">
        <f>SUM(AL210:AL222)</f>
        <v>0</v>
      </c>
      <c r="AM209" s="115"/>
      <c r="AN209" s="115"/>
      <c r="AO209" s="115">
        <f>SUM(AO210:AO222)</f>
        <v>0</v>
      </c>
      <c r="AP209" s="115"/>
      <c r="AQ209" s="115"/>
      <c r="AR209" s="115">
        <f>SUM(AR210:AR222)</f>
        <v>0</v>
      </c>
      <c r="AS209" s="115"/>
      <c r="AT209" s="115"/>
      <c r="AU209" s="115">
        <f>SUM(AU210:AU222)</f>
        <v>0</v>
      </c>
      <c r="AV209" s="115"/>
      <c r="AW209" s="115"/>
      <c r="AX209" s="115">
        <f>SUM(AX210:AX222)</f>
        <v>0</v>
      </c>
      <c r="AY209" s="115"/>
      <c r="AZ209" s="115"/>
      <c r="BA209" s="115">
        <f>SUM(BA210:BA222)</f>
        <v>0</v>
      </c>
      <c r="BB209" s="115"/>
      <c r="BC209" s="115"/>
      <c r="BD209" s="115">
        <f>SUM(BD210:BD222)</f>
        <v>0</v>
      </c>
      <c r="BE209" s="115"/>
      <c r="BF209" s="115"/>
      <c r="BG209" s="115">
        <f>SUM(BG210:BG222)</f>
        <v>0</v>
      </c>
      <c r="BH209" s="115"/>
      <c r="BI209" s="115"/>
      <c r="BJ209" s="115">
        <f>SUM(BJ210:BJ222)</f>
        <v>0</v>
      </c>
      <c r="BK209" s="115"/>
      <c r="BL209" s="304"/>
      <c r="BM209" s="310"/>
      <c r="BN209" s="312"/>
    </row>
    <row r="210" s="118" customFormat="1" ht="33.95" hidden="1" customHeight="1" outlineLevel="5" spans="2:66">
      <c r="B210" s="119" t="s">
        <v>747</v>
      </c>
      <c r="C210" s="120" t="s">
        <v>1095</v>
      </c>
      <c r="D210" s="118" t="s">
        <v>1096</v>
      </c>
      <c r="E210" s="119"/>
      <c r="F210" s="119"/>
      <c r="G210" s="119" t="s">
        <v>751</v>
      </c>
      <c r="H210" s="119">
        <f t="shared" ref="H210:H222" si="462">AB210</f>
        <v>0</v>
      </c>
      <c r="I210" s="119" t="s">
        <v>1097</v>
      </c>
      <c r="J210" s="119" t="e">
        <f t="shared" ref="J210:J222" si="463">SUM(AD210,AG210,AJ210,AM210,AP210,AS210,AV210,AY210,BB210,BE210,BH210,BK210)/N210</f>
        <v>#DIV/0!</v>
      </c>
      <c r="K210" s="119" t="s">
        <v>1098</v>
      </c>
      <c r="L210" s="119" t="e">
        <f t="shared" ref="L210:L222" si="464">H210/N210/J210</f>
        <v>#DIV/0!</v>
      </c>
      <c r="M210" s="119" t="s">
        <v>1099</v>
      </c>
      <c r="N210" s="119">
        <f t="shared" ref="N210:N222" si="465">COUNTIF(AD210,"&gt;0")+COUNTIF(AG210,"&gt;0")+COUNTIF(AJ210,"&gt;0")+COUNTIF(AM210,"&gt;0")+COUNTIF(AP210,"&gt;0")+COUNTIF(AS210,"&gt;0")+COUNTIF(AV210,"&gt;0")+COUNTIF(AY210,"&gt;0")+COUNTIF(BB210,"&gt;0")+COUNTIF(BE210,"&gt;0")+COUNTIF(BH210,"&gt;0")+COUNTIF(BK210,"&gt;0")</f>
        <v>0</v>
      </c>
      <c r="O210" s="119"/>
      <c r="P210" s="288"/>
      <c r="Q210" s="288"/>
      <c r="R210" s="288"/>
      <c r="S210" s="288"/>
      <c r="T210" s="288"/>
      <c r="U210" s="288"/>
      <c r="V210" s="288"/>
      <c r="W210" s="288"/>
      <c r="X210" s="288"/>
      <c r="Y210" s="288"/>
      <c r="Z210" s="288"/>
      <c r="AA210" s="288"/>
      <c r="AB210" s="119">
        <f t="shared" ref="AB210:AB223" si="466">SUM(AC210,AF210,AI210,AL210,AO210,AR210,AU210,AX210,BA210,BD210,BG210,BJ210)</f>
        <v>0</v>
      </c>
      <c r="AC210" s="119">
        <f t="shared" ref="AC210:AC223" si="467">AD210*AE210</f>
        <v>0</v>
      </c>
      <c r="AD210" s="119">
        <f>'1-1 项目基础信息'!H21</f>
        <v>0</v>
      </c>
      <c r="AE210" s="288">
        <f>SUMIFS('附表1-数据库'!$F30:$EA30,'附表1-数据库'!$F$26:$EA$26,'1-1 项目基础信息'!$D$19,'附表1-数据库'!$F$28:$EA$28,'1-1 项目基础信息'!$D$20,'附表1-数据库'!$F$27:$EA$27,'1-1 项目基础信息'!$D$21,'附表1-数据库'!$F$29:$EA$29,'1-1 项目基础信息'!$D$18)</f>
        <v>340</v>
      </c>
      <c r="AF210" s="119">
        <f t="shared" ref="AF210:AF223" si="468">AG210*AH210</f>
        <v>0</v>
      </c>
      <c r="AG210" s="119">
        <f>'1-1 项目基础信息'!I21</f>
        <v>0</v>
      </c>
      <c r="AH210" s="317">
        <f t="shared" ref="AH210:AH222" si="469">AE210</f>
        <v>340</v>
      </c>
      <c r="AI210" s="119">
        <f t="shared" ref="AI210:AI223" si="470">AJ210*AK210</f>
        <v>0</v>
      </c>
      <c r="AJ210" s="119">
        <f>'1-1 项目基础信息'!J21</f>
        <v>0</v>
      </c>
      <c r="AK210" s="317">
        <f t="shared" ref="AK210:AK222" si="471">AH210</f>
        <v>340</v>
      </c>
      <c r="AL210" s="119">
        <f t="shared" ref="AL210:AL223" si="472">AM210*AN210</f>
        <v>0</v>
      </c>
      <c r="AM210" s="119">
        <f>'1-1 项目基础信息'!K21</f>
        <v>0</v>
      </c>
      <c r="AN210" s="317">
        <f t="shared" ref="AN210:AN222" si="473">AK210</f>
        <v>340</v>
      </c>
      <c r="AO210" s="119">
        <f t="shared" ref="AO210:AO223" si="474">AP210*AQ210</f>
        <v>0</v>
      </c>
      <c r="AP210" s="119">
        <f>'1-1 项目基础信息'!L21</f>
        <v>0</v>
      </c>
      <c r="AQ210" s="317">
        <f t="shared" ref="AQ210:AQ222" si="475">AN210</f>
        <v>340</v>
      </c>
      <c r="AR210" s="119">
        <f t="shared" ref="AR210:AR223" si="476">AS210*AT210</f>
        <v>0</v>
      </c>
      <c r="AS210" s="119">
        <f>'1-1 项目基础信息'!M21</f>
        <v>0</v>
      </c>
      <c r="AT210" s="317">
        <f t="shared" ref="AT210:AT222" si="477">AQ210</f>
        <v>340</v>
      </c>
      <c r="AU210" s="119">
        <f t="shared" ref="AU210:AU223" si="478">AV210*AW210</f>
        <v>0</v>
      </c>
      <c r="AV210" s="119">
        <f>'1-1 项目基础信息'!N21</f>
        <v>0</v>
      </c>
      <c r="AW210" s="317">
        <f t="shared" ref="AW210:AW222" si="479">AT210</f>
        <v>340</v>
      </c>
      <c r="AX210" s="119">
        <f t="shared" ref="AX210:AX223" si="480">AY210*AZ210</f>
        <v>0</v>
      </c>
      <c r="AY210" s="119">
        <f>'1-1 项目基础信息'!O21</f>
        <v>0</v>
      </c>
      <c r="AZ210" s="317">
        <f t="shared" ref="AZ210:AZ222" si="481">AW210</f>
        <v>340</v>
      </c>
      <c r="BA210" s="119">
        <f t="shared" ref="BA210:BA223" si="482">BB210*BC210</f>
        <v>0</v>
      </c>
      <c r="BB210" s="119">
        <f>'1-1 项目基础信息'!P21</f>
        <v>0</v>
      </c>
      <c r="BC210" s="317">
        <f t="shared" ref="BC210:BC222" si="483">AZ210</f>
        <v>340</v>
      </c>
      <c r="BD210" s="119">
        <f t="shared" ref="BD210:BD223" si="484">BE210*BF210</f>
        <v>0</v>
      </c>
      <c r="BE210" s="119">
        <f>'1-1 项目基础信息'!Q21</f>
        <v>0</v>
      </c>
      <c r="BF210" s="317">
        <f t="shared" ref="BF210:BF222" si="485">BC210</f>
        <v>340</v>
      </c>
      <c r="BG210" s="119">
        <f t="shared" ref="BG210:BG223" si="486">BH210*BI210</f>
        <v>0</v>
      </c>
      <c r="BH210" s="119">
        <f>'1-1 项目基础信息'!R21</f>
        <v>0</v>
      </c>
      <c r="BI210" s="317">
        <f t="shared" ref="BI210:BI222" si="487">BF210</f>
        <v>340</v>
      </c>
      <c r="BJ210" s="119">
        <f t="shared" ref="BJ210:BJ223" si="488">BK210*BL210</f>
        <v>0</v>
      </c>
      <c r="BK210" s="119">
        <f>'1-1 项目基础信息'!S21</f>
        <v>0</v>
      </c>
      <c r="BL210" s="318">
        <f t="shared" ref="BL210:BL222" si="489">BI210</f>
        <v>340</v>
      </c>
      <c r="BM210" s="310"/>
      <c r="BN210" s="313"/>
    </row>
    <row r="211" s="118" customFormat="1" ht="33.95" hidden="1" customHeight="1" outlineLevel="5" spans="2:66">
      <c r="B211" s="119" t="s">
        <v>747</v>
      </c>
      <c r="C211" s="120" t="s">
        <v>1100</v>
      </c>
      <c r="D211" s="118" t="s">
        <v>1101</v>
      </c>
      <c r="E211" s="119"/>
      <c r="F211" s="119"/>
      <c r="G211" s="119" t="s">
        <v>751</v>
      </c>
      <c r="H211" s="119">
        <f t="shared" si="462"/>
        <v>0</v>
      </c>
      <c r="I211" s="119" t="s">
        <v>1097</v>
      </c>
      <c r="J211" s="119" t="e">
        <f t="shared" si="463"/>
        <v>#DIV/0!</v>
      </c>
      <c r="K211" s="119" t="s">
        <v>1098</v>
      </c>
      <c r="L211" s="119" t="e">
        <f t="shared" si="464"/>
        <v>#DIV/0!</v>
      </c>
      <c r="M211" s="119" t="s">
        <v>1099</v>
      </c>
      <c r="N211" s="119">
        <f t="shared" si="465"/>
        <v>0</v>
      </c>
      <c r="O211" s="119"/>
      <c r="P211" s="288"/>
      <c r="Q211" s="288"/>
      <c r="R211" s="288"/>
      <c r="S211" s="288"/>
      <c r="T211" s="288"/>
      <c r="U211" s="288"/>
      <c r="V211" s="288"/>
      <c r="W211" s="288"/>
      <c r="X211" s="288"/>
      <c r="Y211" s="288"/>
      <c r="Z211" s="288"/>
      <c r="AA211" s="288"/>
      <c r="AB211" s="119">
        <f t="shared" si="466"/>
        <v>0</v>
      </c>
      <c r="AC211" s="119">
        <f t="shared" si="467"/>
        <v>0</v>
      </c>
      <c r="AD211" s="119">
        <f>'1-1 项目基础信息'!H22</f>
        <v>0</v>
      </c>
      <c r="AE211" s="288">
        <f>SUMIFS('附表1-数据库'!$F31:$EA31,'附表1-数据库'!$F$26:$EA$26,'1-1 项目基础信息'!$D$19,'附表1-数据库'!$F$28:$EA$28,'1-1 项目基础信息'!$D$20,'附表1-数据库'!$F$27:$EA$27,'1-1 项目基础信息'!$D$21,'附表1-数据库'!$F$29:$EA$29,'1-1 项目基础信息'!$D$18)</f>
        <v>360</v>
      </c>
      <c r="AF211" s="119">
        <f t="shared" si="468"/>
        <v>0</v>
      </c>
      <c r="AG211" s="119">
        <f>'1-1 项目基础信息'!I22</f>
        <v>0</v>
      </c>
      <c r="AH211" s="317">
        <f t="shared" si="469"/>
        <v>360</v>
      </c>
      <c r="AI211" s="119">
        <f t="shared" si="470"/>
        <v>0</v>
      </c>
      <c r="AJ211" s="119">
        <f>'1-1 项目基础信息'!J22</f>
        <v>0</v>
      </c>
      <c r="AK211" s="317">
        <f t="shared" si="471"/>
        <v>360</v>
      </c>
      <c r="AL211" s="119">
        <f t="shared" si="472"/>
        <v>0</v>
      </c>
      <c r="AM211" s="119">
        <f>'1-1 项目基础信息'!K22</f>
        <v>0</v>
      </c>
      <c r="AN211" s="317">
        <f t="shared" si="473"/>
        <v>360</v>
      </c>
      <c r="AO211" s="119">
        <f t="shared" si="474"/>
        <v>0</v>
      </c>
      <c r="AP211" s="119">
        <f>'1-1 项目基础信息'!L22</f>
        <v>0</v>
      </c>
      <c r="AQ211" s="317">
        <f t="shared" si="475"/>
        <v>360</v>
      </c>
      <c r="AR211" s="119">
        <f t="shared" si="476"/>
        <v>0</v>
      </c>
      <c r="AS211" s="119">
        <f>'1-1 项目基础信息'!M22</f>
        <v>0</v>
      </c>
      <c r="AT211" s="317">
        <f t="shared" si="477"/>
        <v>360</v>
      </c>
      <c r="AU211" s="119">
        <f t="shared" si="478"/>
        <v>0</v>
      </c>
      <c r="AV211" s="119">
        <f>'1-1 项目基础信息'!N22</f>
        <v>0</v>
      </c>
      <c r="AW211" s="317">
        <f t="shared" si="479"/>
        <v>360</v>
      </c>
      <c r="AX211" s="119">
        <f t="shared" si="480"/>
        <v>0</v>
      </c>
      <c r="AY211" s="119">
        <f>'1-1 项目基础信息'!O22</f>
        <v>0</v>
      </c>
      <c r="AZ211" s="317">
        <f t="shared" si="481"/>
        <v>360</v>
      </c>
      <c r="BA211" s="119">
        <f t="shared" si="482"/>
        <v>0</v>
      </c>
      <c r="BB211" s="119">
        <f>'1-1 项目基础信息'!P22</f>
        <v>0</v>
      </c>
      <c r="BC211" s="317">
        <f t="shared" si="483"/>
        <v>360</v>
      </c>
      <c r="BD211" s="119">
        <f t="shared" si="484"/>
        <v>0</v>
      </c>
      <c r="BE211" s="119">
        <f>'1-1 项目基础信息'!Q22</f>
        <v>0</v>
      </c>
      <c r="BF211" s="317">
        <f t="shared" si="485"/>
        <v>360</v>
      </c>
      <c r="BG211" s="119">
        <f t="shared" si="486"/>
        <v>0</v>
      </c>
      <c r="BH211" s="119">
        <f>'1-1 项目基础信息'!R22</f>
        <v>0</v>
      </c>
      <c r="BI211" s="317">
        <f t="shared" si="487"/>
        <v>360</v>
      </c>
      <c r="BJ211" s="119">
        <f t="shared" si="488"/>
        <v>0</v>
      </c>
      <c r="BK211" s="119">
        <f>'1-1 项目基础信息'!S22</f>
        <v>0</v>
      </c>
      <c r="BL211" s="318">
        <f t="shared" si="489"/>
        <v>360</v>
      </c>
      <c r="BM211" s="310"/>
      <c r="BN211" s="313"/>
    </row>
    <row r="212" s="118" customFormat="1" ht="33.95" hidden="1" customHeight="1" outlineLevel="5" spans="2:66">
      <c r="B212" s="119" t="s">
        <v>747</v>
      </c>
      <c r="C212" s="120" t="s">
        <v>1102</v>
      </c>
      <c r="D212" s="118" t="s">
        <v>1103</v>
      </c>
      <c r="E212" s="119"/>
      <c r="F212" s="119"/>
      <c r="G212" s="119" t="s">
        <v>751</v>
      </c>
      <c r="H212" s="119">
        <f t="shared" si="462"/>
        <v>0</v>
      </c>
      <c r="I212" s="119" t="s">
        <v>1097</v>
      </c>
      <c r="J212" s="119" t="e">
        <f t="shared" si="463"/>
        <v>#DIV/0!</v>
      </c>
      <c r="K212" s="119" t="s">
        <v>1098</v>
      </c>
      <c r="L212" s="119" t="e">
        <f t="shared" si="464"/>
        <v>#DIV/0!</v>
      </c>
      <c r="M212" s="119" t="s">
        <v>1099</v>
      </c>
      <c r="N212" s="119">
        <f t="shared" si="465"/>
        <v>0</v>
      </c>
      <c r="O212" s="119"/>
      <c r="P212" s="288"/>
      <c r="Q212" s="288"/>
      <c r="R212" s="288"/>
      <c r="S212" s="288"/>
      <c r="T212" s="288"/>
      <c r="U212" s="288"/>
      <c r="V212" s="288"/>
      <c r="W212" s="288"/>
      <c r="X212" s="288"/>
      <c r="Y212" s="288"/>
      <c r="Z212" s="288"/>
      <c r="AA212" s="288"/>
      <c r="AB212" s="119">
        <f t="shared" si="466"/>
        <v>0</v>
      </c>
      <c r="AC212" s="119">
        <f t="shared" si="467"/>
        <v>0</v>
      </c>
      <c r="AD212" s="119">
        <f>'1-1 项目基础信息'!H23</f>
        <v>0</v>
      </c>
      <c r="AE212" s="288">
        <f>SUMIFS('附表1-数据库'!$F32:$EA32,'附表1-数据库'!$F$26:$EA$26,'1-1 项目基础信息'!$D$19,'附表1-数据库'!$F$28:$EA$28,'1-1 项目基础信息'!$D$20,'附表1-数据库'!$F$27:$EA$27,'1-1 项目基础信息'!$D$21,'附表1-数据库'!$F$29:$EA$29,'1-1 项目基础信息'!$D$18)</f>
        <v>390</v>
      </c>
      <c r="AF212" s="119">
        <f t="shared" si="468"/>
        <v>0</v>
      </c>
      <c r="AG212" s="119">
        <f>'1-1 项目基础信息'!I23</f>
        <v>0</v>
      </c>
      <c r="AH212" s="317">
        <f t="shared" si="469"/>
        <v>390</v>
      </c>
      <c r="AI212" s="119">
        <f t="shared" si="470"/>
        <v>0</v>
      </c>
      <c r="AJ212" s="119">
        <f>'1-1 项目基础信息'!J23</f>
        <v>0</v>
      </c>
      <c r="AK212" s="317">
        <f t="shared" si="471"/>
        <v>390</v>
      </c>
      <c r="AL212" s="119">
        <f t="shared" si="472"/>
        <v>0</v>
      </c>
      <c r="AM212" s="119">
        <f>'1-1 项目基础信息'!K23</f>
        <v>0</v>
      </c>
      <c r="AN212" s="317">
        <f t="shared" si="473"/>
        <v>390</v>
      </c>
      <c r="AO212" s="119">
        <f t="shared" si="474"/>
        <v>0</v>
      </c>
      <c r="AP212" s="119">
        <f>'1-1 项目基础信息'!L23</f>
        <v>0</v>
      </c>
      <c r="AQ212" s="317">
        <f t="shared" si="475"/>
        <v>390</v>
      </c>
      <c r="AR212" s="119">
        <f t="shared" si="476"/>
        <v>0</v>
      </c>
      <c r="AS212" s="119">
        <f>'1-1 项目基础信息'!M23</f>
        <v>0</v>
      </c>
      <c r="AT212" s="317">
        <f t="shared" si="477"/>
        <v>390</v>
      </c>
      <c r="AU212" s="119">
        <f t="shared" si="478"/>
        <v>0</v>
      </c>
      <c r="AV212" s="119">
        <f>'1-1 项目基础信息'!N23</f>
        <v>0</v>
      </c>
      <c r="AW212" s="317">
        <f t="shared" si="479"/>
        <v>390</v>
      </c>
      <c r="AX212" s="119">
        <f t="shared" si="480"/>
        <v>0</v>
      </c>
      <c r="AY212" s="119">
        <f>'1-1 项目基础信息'!O23</f>
        <v>0</v>
      </c>
      <c r="AZ212" s="317">
        <f t="shared" si="481"/>
        <v>390</v>
      </c>
      <c r="BA212" s="119">
        <f t="shared" si="482"/>
        <v>0</v>
      </c>
      <c r="BB212" s="119">
        <f>'1-1 项目基础信息'!P23</f>
        <v>0</v>
      </c>
      <c r="BC212" s="317">
        <f t="shared" si="483"/>
        <v>390</v>
      </c>
      <c r="BD212" s="119">
        <f t="shared" si="484"/>
        <v>0</v>
      </c>
      <c r="BE212" s="119">
        <f>'1-1 项目基础信息'!Q23</f>
        <v>0</v>
      </c>
      <c r="BF212" s="317">
        <f t="shared" si="485"/>
        <v>390</v>
      </c>
      <c r="BG212" s="119">
        <f t="shared" si="486"/>
        <v>0</v>
      </c>
      <c r="BH212" s="119">
        <f>'1-1 项目基础信息'!R23</f>
        <v>0</v>
      </c>
      <c r="BI212" s="317">
        <f t="shared" si="487"/>
        <v>390</v>
      </c>
      <c r="BJ212" s="119">
        <f t="shared" si="488"/>
        <v>0</v>
      </c>
      <c r="BK212" s="119">
        <f>'1-1 项目基础信息'!S23</f>
        <v>0</v>
      </c>
      <c r="BL212" s="318">
        <f t="shared" si="489"/>
        <v>390</v>
      </c>
      <c r="BM212" s="310"/>
      <c r="BN212" s="313"/>
    </row>
    <row r="213" s="118" customFormat="1" ht="33.95" hidden="1" customHeight="1" outlineLevel="5" spans="2:66">
      <c r="B213" s="119" t="s">
        <v>747</v>
      </c>
      <c r="C213" s="120" t="s">
        <v>1104</v>
      </c>
      <c r="D213" s="118" t="s">
        <v>1105</v>
      </c>
      <c r="E213" s="119"/>
      <c r="F213" s="119"/>
      <c r="G213" s="119" t="s">
        <v>751</v>
      </c>
      <c r="H213" s="119">
        <f t="shared" si="462"/>
        <v>0</v>
      </c>
      <c r="I213" s="119" t="s">
        <v>1097</v>
      </c>
      <c r="J213" s="119" t="e">
        <f t="shared" si="463"/>
        <v>#DIV/0!</v>
      </c>
      <c r="K213" s="119" t="s">
        <v>1098</v>
      </c>
      <c r="L213" s="119" t="e">
        <f t="shared" si="464"/>
        <v>#DIV/0!</v>
      </c>
      <c r="M213" s="119" t="s">
        <v>1099</v>
      </c>
      <c r="N213" s="119">
        <f t="shared" si="465"/>
        <v>0</v>
      </c>
      <c r="O213" s="119"/>
      <c r="P213" s="288"/>
      <c r="Q213" s="288"/>
      <c r="R213" s="288"/>
      <c r="S213" s="288"/>
      <c r="T213" s="288"/>
      <c r="U213" s="288"/>
      <c r="V213" s="288"/>
      <c r="W213" s="288"/>
      <c r="X213" s="288"/>
      <c r="Y213" s="288"/>
      <c r="Z213" s="288"/>
      <c r="AA213" s="288"/>
      <c r="AB213" s="119">
        <f t="shared" si="466"/>
        <v>0</v>
      </c>
      <c r="AC213" s="119">
        <f t="shared" si="467"/>
        <v>0</v>
      </c>
      <c r="AD213" s="119">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9">
        <f t="shared" si="468"/>
        <v>0</v>
      </c>
      <c r="AG213" s="119">
        <f>'1-1 项目基础信息'!I24</f>
        <v>0</v>
      </c>
      <c r="AH213" s="317">
        <f t="shared" si="469"/>
        <v>440</v>
      </c>
      <c r="AI213" s="119">
        <f t="shared" si="470"/>
        <v>0</v>
      </c>
      <c r="AJ213" s="119">
        <f>'1-1 项目基础信息'!J24</f>
        <v>0</v>
      </c>
      <c r="AK213" s="317">
        <f t="shared" si="471"/>
        <v>440</v>
      </c>
      <c r="AL213" s="119">
        <f t="shared" si="472"/>
        <v>0</v>
      </c>
      <c r="AM213" s="119">
        <f>'1-1 项目基础信息'!K24</f>
        <v>0</v>
      </c>
      <c r="AN213" s="317">
        <f t="shared" si="473"/>
        <v>440</v>
      </c>
      <c r="AO213" s="119">
        <f t="shared" si="474"/>
        <v>0</v>
      </c>
      <c r="AP213" s="119">
        <f>'1-1 项目基础信息'!L24</f>
        <v>0</v>
      </c>
      <c r="AQ213" s="317">
        <f t="shared" si="475"/>
        <v>440</v>
      </c>
      <c r="AR213" s="119">
        <f t="shared" si="476"/>
        <v>0</v>
      </c>
      <c r="AS213" s="119">
        <f>'1-1 项目基础信息'!M24</f>
        <v>0</v>
      </c>
      <c r="AT213" s="317">
        <f t="shared" si="477"/>
        <v>440</v>
      </c>
      <c r="AU213" s="119">
        <f t="shared" si="478"/>
        <v>0</v>
      </c>
      <c r="AV213" s="119">
        <f>'1-1 项目基础信息'!N24</f>
        <v>0</v>
      </c>
      <c r="AW213" s="317">
        <f t="shared" si="479"/>
        <v>440</v>
      </c>
      <c r="AX213" s="119">
        <f t="shared" si="480"/>
        <v>0</v>
      </c>
      <c r="AY213" s="119">
        <f>'1-1 项目基础信息'!O24</f>
        <v>0</v>
      </c>
      <c r="AZ213" s="317">
        <f t="shared" si="481"/>
        <v>440</v>
      </c>
      <c r="BA213" s="119">
        <f t="shared" si="482"/>
        <v>0</v>
      </c>
      <c r="BB213" s="119">
        <f>'1-1 项目基础信息'!P24</f>
        <v>0</v>
      </c>
      <c r="BC213" s="317">
        <f t="shared" si="483"/>
        <v>440</v>
      </c>
      <c r="BD213" s="119">
        <f t="shared" si="484"/>
        <v>0</v>
      </c>
      <c r="BE213" s="119">
        <f>'1-1 项目基础信息'!Q24</f>
        <v>0</v>
      </c>
      <c r="BF213" s="317">
        <f t="shared" si="485"/>
        <v>440</v>
      </c>
      <c r="BG213" s="119">
        <f t="shared" si="486"/>
        <v>0</v>
      </c>
      <c r="BH213" s="119">
        <f>'1-1 项目基础信息'!R24</f>
        <v>0</v>
      </c>
      <c r="BI213" s="317">
        <f t="shared" si="487"/>
        <v>440</v>
      </c>
      <c r="BJ213" s="119">
        <f t="shared" si="488"/>
        <v>0</v>
      </c>
      <c r="BK213" s="119">
        <f>'1-1 项目基础信息'!S24</f>
        <v>0</v>
      </c>
      <c r="BL213" s="318">
        <f t="shared" si="489"/>
        <v>440</v>
      </c>
      <c r="BM213" s="310"/>
      <c r="BN213" s="313"/>
    </row>
    <row r="214" s="118" customFormat="1" ht="33.95" hidden="1" customHeight="1" outlineLevel="5" spans="2:66">
      <c r="B214" s="119" t="s">
        <v>747</v>
      </c>
      <c r="C214" s="120" t="s">
        <v>1106</v>
      </c>
      <c r="D214" s="118" t="s">
        <v>1107</v>
      </c>
      <c r="E214" s="119"/>
      <c r="F214" s="119"/>
      <c r="G214" s="119" t="s">
        <v>751</v>
      </c>
      <c r="H214" s="119">
        <f t="shared" si="462"/>
        <v>0</v>
      </c>
      <c r="I214" s="119" t="s">
        <v>1097</v>
      </c>
      <c r="J214" s="119" t="e">
        <f t="shared" si="463"/>
        <v>#DIV/0!</v>
      </c>
      <c r="K214" s="119" t="s">
        <v>1098</v>
      </c>
      <c r="L214" s="119" t="e">
        <f t="shared" si="464"/>
        <v>#DIV/0!</v>
      </c>
      <c r="M214" s="119" t="s">
        <v>1099</v>
      </c>
      <c r="N214" s="119">
        <f t="shared" si="465"/>
        <v>0</v>
      </c>
      <c r="O214" s="119"/>
      <c r="P214" s="288"/>
      <c r="Q214" s="288"/>
      <c r="R214" s="288"/>
      <c r="S214" s="288"/>
      <c r="T214" s="288"/>
      <c r="U214" s="288"/>
      <c r="V214" s="288"/>
      <c r="W214" s="288"/>
      <c r="X214" s="288"/>
      <c r="Y214" s="288"/>
      <c r="Z214" s="288"/>
      <c r="AA214" s="288"/>
      <c r="AB214" s="119">
        <f t="shared" si="466"/>
        <v>0</v>
      </c>
      <c r="AC214" s="119">
        <f t="shared" si="467"/>
        <v>0</v>
      </c>
      <c r="AD214" s="119">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9">
        <f t="shared" si="468"/>
        <v>0</v>
      </c>
      <c r="AG214" s="119">
        <f>'1-1 项目基础信息'!I25</f>
        <v>0</v>
      </c>
      <c r="AH214" s="317">
        <f t="shared" si="469"/>
        <v>624</v>
      </c>
      <c r="AI214" s="119">
        <f t="shared" si="470"/>
        <v>0</v>
      </c>
      <c r="AJ214" s="119">
        <f>'1-1 项目基础信息'!J25</f>
        <v>0</v>
      </c>
      <c r="AK214" s="317">
        <f t="shared" si="471"/>
        <v>624</v>
      </c>
      <c r="AL214" s="119">
        <f t="shared" si="472"/>
        <v>0</v>
      </c>
      <c r="AM214" s="119">
        <f>'1-1 项目基础信息'!K25</f>
        <v>0</v>
      </c>
      <c r="AN214" s="317">
        <f t="shared" si="473"/>
        <v>624</v>
      </c>
      <c r="AO214" s="119">
        <f t="shared" si="474"/>
        <v>0</v>
      </c>
      <c r="AP214" s="119">
        <f>'1-1 项目基础信息'!L25</f>
        <v>0</v>
      </c>
      <c r="AQ214" s="317">
        <f t="shared" si="475"/>
        <v>624</v>
      </c>
      <c r="AR214" s="119">
        <f t="shared" si="476"/>
        <v>0</v>
      </c>
      <c r="AS214" s="119">
        <f>'1-1 项目基础信息'!M25</f>
        <v>0</v>
      </c>
      <c r="AT214" s="317">
        <f t="shared" si="477"/>
        <v>624</v>
      </c>
      <c r="AU214" s="119">
        <f t="shared" si="478"/>
        <v>0</v>
      </c>
      <c r="AV214" s="119">
        <f>'1-1 项目基础信息'!N25</f>
        <v>0</v>
      </c>
      <c r="AW214" s="317">
        <f t="shared" si="479"/>
        <v>624</v>
      </c>
      <c r="AX214" s="119">
        <f t="shared" si="480"/>
        <v>0</v>
      </c>
      <c r="AY214" s="119">
        <f>'1-1 项目基础信息'!O25</f>
        <v>0</v>
      </c>
      <c r="AZ214" s="317">
        <f t="shared" si="481"/>
        <v>624</v>
      </c>
      <c r="BA214" s="119">
        <f t="shared" si="482"/>
        <v>0</v>
      </c>
      <c r="BB214" s="119">
        <f>'1-1 项目基础信息'!P25</f>
        <v>0</v>
      </c>
      <c r="BC214" s="317">
        <f t="shared" si="483"/>
        <v>624</v>
      </c>
      <c r="BD214" s="119">
        <f t="shared" si="484"/>
        <v>0</v>
      </c>
      <c r="BE214" s="119">
        <f>'1-1 项目基础信息'!Q25</f>
        <v>0</v>
      </c>
      <c r="BF214" s="317">
        <f t="shared" si="485"/>
        <v>624</v>
      </c>
      <c r="BG214" s="119">
        <f t="shared" si="486"/>
        <v>0</v>
      </c>
      <c r="BH214" s="119">
        <f>'1-1 项目基础信息'!R25</f>
        <v>0</v>
      </c>
      <c r="BI214" s="317">
        <f t="shared" si="487"/>
        <v>624</v>
      </c>
      <c r="BJ214" s="119">
        <f t="shared" si="488"/>
        <v>0</v>
      </c>
      <c r="BK214" s="119">
        <f>'1-1 项目基础信息'!S25</f>
        <v>0</v>
      </c>
      <c r="BL214" s="318">
        <f t="shared" si="489"/>
        <v>624</v>
      </c>
      <c r="BM214" s="310"/>
      <c r="BN214" s="313"/>
    </row>
    <row r="215" s="118" customFormat="1" ht="33.95" hidden="1" customHeight="1" outlineLevel="5" spans="2:66">
      <c r="B215" s="119" t="s">
        <v>747</v>
      </c>
      <c r="C215" s="120" t="s">
        <v>1108</v>
      </c>
      <c r="D215" s="118" t="s">
        <v>1109</v>
      </c>
      <c r="E215" s="119"/>
      <c r="F215" s="119"/>
      <c r="G215" s="119" t="s">
        <v>751</v>
      </c>
      <c r="H215" s="119">
        <f t="shared" si="462"/>
        <v>0</v>
      </c>
      <c r="I215" s="119" t="s">
        <v>1097</v>
      </c>
      <c r="J215" s="119" t="e">
        <f t="shared" si="463"/>
        <v>#DIV/0!</v>
      </c>
      <c r="K215" s="119" t="s">
        <v>1098</v>
      </c>
      <c r="L215" s="119" t="e">
        <f t="shared" si="464"/>
        <v>#DIV/0!</v>
      </c>
      <c r="M215" s="119" t="s">
        <v>1099</v>
      </c>
      <c r="N215" s="119">
        <f t="shared" si="465"/>
        <v>0</v>
      </c>
      <c r="O215" s="119"/>
      <c r="P215" s="288"/>
      <c r="Q215" s="288"/>
      <c r="R215" s="288"/>
      <c r="S215" s="288"/>
      <c r="T215" s="288"/>
      <c r="U215" s="288"/>
      <c r="V215" s="288"/>
      <c r="W215" s="288"/>
      <c r="X215" s="288"/>
      <c r="Y215" s="288"/>
      <c r="Z215" s="288"/>
      <c r="AA215" s="288"/>
      <c r="AB215" s="119">
        <f t="shared" si="466"/>
        <v>0</v>
      </c>
      <c r="AC215" s="119">
        <f t="shared" si="467"/>
        <v>0</v>
      </c>
      <c r="AD215" s="119">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9">
        <f t="shared" si="468"/>
        <v>0</v>
      </c>
      <c r="AG215" s="119">
        <f>'1-1 项目基础信息'!I26</f>
        <v>0</v>
      </c>
      <c r="AH215" s="317">
        <f t="shared" si="469"/>
        <v>780</v>
      </c>
      <c r="AI215" s="119">
        <f t="shared" si="470"/>
        <v>0</v>
      </c>
      <c r="AJ215" s="119">
        <f>'1-1 项目基础信息'!J26</f>
        <v>0</v>
      </c>
      <c r="AK215" s="317">
        <f t="shared" si="471"/>
        <v>780</v>
      </c>
      <c r="AL215" s="119">
        <f t="shared" si="472"/>
        <v>0</v>
      </c>
      <c r="AM215" s="119">
        <f>'1-1 项目基础信息'!K26</f>
        <v>0</v>
      </c>
      <c r="AN215" s="317">
        <f t="shared" si="473"/>
        <v>780</v>
      </c>
      <c r="AO215" s="119">
        <f t="shared" si="474"/>
        <v>0</v>
      </c>
      <c r="AP215" s="119">
        <f>'1-1 项目基础信息'!L26</f>
        <v>0</v>
      </c>
      <c r="AQ215" s="317">
        <f t="shared" si="475"/>
        <v>780</v>
      </c>
      <c r="AR215" s="119">
        <f t="shared" si="476"/>
        <v>0</v>
      </c>
      <c r="AS215" s="119">
        <f>'1-1 项目基础信息'!M26</f>
        <v>0</v>
      </c>
      <c r="AT215" s="317">
        <f t="shared" si="477"/>
        <v>780</v>
      </c>
      <c r="AU215" s="119">
        <f t="shared" si="478"/>
        <v>0</v>
      </c>
      <c r="AV215" s="119">
        <f>'1-1 项目基础信息'!N26</f>
        <v>0</v>
      </c>
      <c r="AW215" s="317">
        <f t="shared" si="479"/>
        <v>780</v>
      </c>
      <c r="AX215" s="119">
        <f t="shared" si="480"/>
        <v>0</v>
      </c>
      <c r="AY215" s="119">
        <f>'1-1 项目基础信息'!O26</f>
        <v>0</v>
      </c>
      <c r="AZ215" s="317">
        <f t="shared" si="481"/>
        <v>780</v>
      </c>
      <c r="BA215" s="119">
        <f t="shared" si="482"/>
        <v>0</v>
      </c>
      <c r="BB215" s="119">
        <f>'1-1 项目基础信息'!P26</f>
        <v>0</v>
      </c>
      <c r="BC215" s="317">
        <f t="shared" si="483"/>
        <v>780</v>
      </c>
      <c r="BD215" s="119">
        <f t="shared" si="484"/>
        <v>0</v>
      </c>
      <c r="BE215" s="119">
        <f>'1-1 项目基础信息'!Q26</f>
        <v>0</v>
      </c>
      <c r="BF215" s="317">
        <f t="shared" si="485"/>
        <v>780</v>
      </c>
      <c r="BG215" s="119">
        <f t="shared" si="486"/>
        <v>0</v>
      </c>
      <c r="BH215" s="119">
        <f>'1-1 项目基础信息'!R26</f>
        <v>0</v>
      </c>
      <c r="BI215" s="317">
        <f t="shared" si="487"/>
        <v>780</v>
      </c>
      <c r="BJ215" s="119">
        <f t="shared" si="488"/>
        <v>0</v>
      </c>
      <c r="BK215" s="119">
        <f>'1-1 项目基础信息'!S26</f>
        <v>0</v>
      </c>
      <c r="BL215" s="318">
        <f t="shared" si="489"/>
        <v>780</v>
      </c>
      <c r="BM215" s="310"/>
      <c r="BN215" s="313"/>
    </row>
    <row r="216" s="118" customFormat="1" ht="33.95" hidden="1" customHeight="1" outlineLevel="5" spans="2:66">
      <c r="B216" s="119" t="s">
        <v>747</v>
      </c>
      <c r="C216" s="120" t="s">
        <v>1110</v>
      </c>
      <c r="D216" s="118" t="s">
        <v>1111</v>
      </c>
      <c r="E216" s="119"/>
      <c r="F216" s="119"/>
      <c r="G216" s="119" t="s">
        <v>751</v>
      </c>
      <c r="H216" s="119">
        <f t="shared" si="462"/>
        <v>0</v>
      </c>
      <c r="I216" s="119" t="s">
        <v>1097</v>
      </c>
      <c r="J216" s="119" t="e">
        <f t="shared" si="463"/>
        <v>#DIV/0!</v>
      </c>
      <c r="K216" s="119" t="s">
        <v>1098</v>
      </c>
      <c r="L216" s="119" t="e">
        <f t="shared" si="464"/>
        <v>#DIV/0!</v>
      </c>
      <c r="M216" s="119" t="s">
        <v>1099</v>
      </c>
      <c r="N216" s="119">
        <f t="shared" si="465"/>
        <v>0</v>
      </c>
      <c r="O216" s="119"/>
      <c r="P216" s="288"/>
      <c r="Q216" s="288"/>
      <c r="R216" s="288"/>
      <c r="S216" s="288"/>
      <c r="T216" s="288"/>
      <c r="U216" s="288"/>
      <c r="V216" s="288"/>
      <c r="W216" s="288"/>
      <c r="X216" s="288"/>
      <c r="Y216" s="288"/>
      <c r="Z216" s="288"/>
      <c r="AA216" s="288"/>
      <c r="AB216" s="119">
        <f t="shared" si="466"/>
        <v>0</v>
      </c>
      <c r="AC216" s="119">
        <f t="shared" si="467"/>
        <v>0</v>
      </c>
      <c r="AD216" s="119">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9">
        <f t="shared" si="468"/>
        <v>0</v>
      </c>
      <c r="AG216" s="119">
        <f>'1-1 项目基础信息'!I27</f>
        <v>0</v>
      </c>
      <c r="AH216" s="317">
        <f t="shared" si="469"/>
        <v>912</v>
      </c>
      <c r="AI216" s="119">
        <f t="shared" si="470"/>
        <v>0</v>
      </c>
      <c r="AJ216" s="119">
        <f>'1-1 项目基础信息'!J27</f>
        <v>0</v>
      </c>
      <c r="AK216" s="317">
        <f t="shared" si="471"/>
        <v>912</v>
      </c>
      <c r="AL216" s="119">
        <f t="shared" si="472"/>
        <v>0</v>
      </c>
      <c r="AM216" s="119">
        <f>'1-1 项目基础信息'!K27</f>
        <v>0</v>
      </c>
      <c r="AN216" s="317">
        <f t="shared" si="473"/>
        <v>912</v>
      </c>
      <c r="AO216" s="119">
        <f t="shared" si="474"/>
        <v>0</v>
      </c>
      <c r="AP216" s="119">
        <f>'1-1 项目基础信息'!L27</f>
        <v>0</v>
      </c>
      <c r="AQ216" s="317">
        <f t="shared" si="475"/>
        <v>912</v>
      </c>
      <c r="AR216" s="119">
        <f t="shared" si="476"/>
        <v>0</v>
      </c>
      <c r="AS216" s="119">
        <f>'1-1 项目基础信息'!M27</f>
        <v>0</v>
      </c>
      <c r="AT216" s="317">
        <f t="shared" si="477"/>
        <v>912</v>
      </c>
      <c r="AU216" s="119">
        <f t="shared" si="478"/>
        <v>0</v>
      </c>
      <c r="AV216" s="119">
        <f>'1-1 项目基础信息'!N27</f>
        <v>0</v>
      </c>
      <c r="AW216" s="317">
        <f t="shared" si="479"/>
        <v>912</v>
      </c>
      <c r="AX216" s="119">
        <f t="shared" si="480"/>
        <v>0</v>
      </c>
      <c r="AY216" s="119">
        <f>'1-1 项目基础信息'!O27</f>
        <v>0</v>
      </c>
      <c r="AZ216" s="317">
        <f t="shared" si="481"/>
        <v>912</v>
      </c>
      <c r="BA216" s="119">
        <f t="shared" si="482"/>
        <v>0</v>
      </c>
      <c r="BB216" s="119">
        <f>'1-1 项目基础信息'!P27</f>
        <v>0</v>
      </c>
      <c r="BC216" s="317">
        <f t="shared" si="483"/>
        <v>912</v>
      </c>
      <c r="BD216" s="119">
        <f t="shared" si="484"/>
        <v>0</v>
      </c>
      <c r="BE216" s="119">
        <f>'1-1 项目基础信息'!Q27</f>
        <v>0</v>
      </c>
      <c r="BF216" s="317">
        <f t="shared" si="485"/>
        <v>912</v>
      </c>
      <c r="BG216" s="119">
        <f t="shared" si="486"/>
        <v>0</v>
      </c>
      <c r="BH216" s="119">
        <f>'1-1 项目基础信息'!R27</f>
        <v>0</v>
      </c>
      <c r="BI216" s="317">
        <f t="shared" si="487"/>
        <v>912</v>
      </c>
      <c r="BJ216" s="119">
        <f t="shared" si="488"/>
        <v>0</v>
      </c>
      <c r="BK216" s="119">
        <f>'1-1 项目基础信息'!S27</f>
        <v>0</v>
      </c>
      <c r="BL216" s="318">
        <f t="shared" si="489"/>
        <v>912</v>
      </c>
      <c r="BM216" s="310"/>
      <c r="BN216" s="313"/>
    </row>
    <row r="217" s="118" customFormat="1" ht="33.95" hidden="1" customHeight="1" outlineLevel="5" spans="2:66">
      <c r="B217" s="119" t="s">
        <v>747</v>
      </c>
      <c r="C217" s="120" t="s">
        <v>1112</v>
      </c>
      <c r="D217" s="118" t="s">
        <v>1113</v>
      </c>
      <c r="E217" s="119"/>
      <c r="F217" s="119"/>
      <c r="G217" s="119" t="s">
        <v>751</v>
      </c>
      <c r="H217" s="119">
        <f t="shared" si="462"/>
        <v>0</v>
      </c>
      <c r="I217" s="119" t="s">
        <v>1097</v>
      </c>
      <c r="J217" s="119" t="e">
        <f t="shared" si="463"/>
        <v>#DIV/0!</v>
      </c>
      <c r="K217" s="119" t="s">
        <v>1098</v>
      </c>
      <c r="L217" s="119" t="e">
        <f t="shared" si="464"/>
        <v>#DIV/0!</v>
      </c>
      <c r="M217" s="119" t="s">
        <v>1099</v>
      </c>
      <c r="N217" s="119">
        <f t="shared" si="465"/>
        <v>0</v>
      </c>
      <c r="O217" s="119"/>
      <c r="P217" s="288"/>
      <c r="Q217" s="288"/>
      <c r="R217" s="288"/>
      <c r="S217" s="288"/>
      <c r="T217" s="288"/>
      <c r="U217" s="288"/>
      <c r="V217" s="288"/>
      <c r="W217" s="288"/>
      <c r="X217" s="288"/>
      <c r="Y217" s="288"/>
      <c r="Z217" s="288"/>
      <c r="AA217" s="288"/>
      <c r="AB217" s="119">
        <f t="shared" si="466"/>
        <v>0</v>
      </c>
      <c r="AC217" s="119">
        <f t="shared" si="467"/>
        <v>0</v>
      </c>
      <c r="AD217" s="119">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9">
        <f t="shared" si="468"/>
        <v>0</v>
      </c>
      <c r="AG217" s="119">
        <f>'1-1 项目基础信息'!I28</f>
        <v>0</v>
      </c>
      <c r="AH217" s="317">
        <f t="shared" si="469"/>
        <v>1030</v>
      </c>
      <c r="AI217" s="119">
        <f t="shared" si="470"/>
        <v>0</v>
      </c>
      <c r="AJ217" s="119">
        <f>'1-1 项目基础信息'!J28</f>
        <v>0</v>
      </c>
      <c r="AK217" s="317">
        <f t="shared" si="471"/>
        <v>1030</v>
      </c>
      <c r="AL217" s="119">
        <f t="shared" si="472"/>
        <v>0</v>
      </c>
      <c r="AM217" s="119">
        <f>'1-1 项目基础信息'!K28</f>
        <v>0</v>
      </c>
      <c r="AN217" s="317">
        <f t="shared" si="473"/>
        <v>1030</v>
      </c>
      <c r="AO217" s="119">
        <f t="shared" si="474"/>
        <v>0</v>
      </c>
      <c r="AP217" s="119">
        <f>'1-1 项目基础信息'!L28</f>
        <v>0</v>
      </c>
      <c r="AQ217" s="317">
        <f t="shared" si="475"/>
        <v>1030</v>
      </c>
      <c r="AR217" s="119">
        <f t="shared" si="476"/>
        <v>0</v>
      </c>
      <c r="AS217" s="119">
        <f>'1-1 项目基础信息'!M28</f>
        <v>0</v>
      </c>
      <c r="AT217" s="317">
        <f t="shared" si="477"/>
        <v>1030</v>
      </c>
      <c r="AU217" s="119">
        <f t="shared" si="478"/>
        <v>0</v>
      </c>
      <c r="AV217" s="119">
        <f>'1-1 项目基础信息'!N28</f>
        <v>0</v>
      </c>
      <c r="AW217" s="317">
        <f t="shared" si="479"/>
        <v>1030</v>
      </c>
      <c r="AX217" s="119">
        <f t="shared" si="480"/>
        <v>0</v>
      </c>
      <c r="AY217" s="119">
        <f>'1-1 项目基础信息'!O28</f>
        <v>0</v>
      </c>
      <c r="AZ217" s="317">
        <f t="shared" si="481"/>
        <v>1030</v>
      </c>
      <c r="BA217" s="119">
        <f t="shared" si="482"/>
        <v>0</v>
      </c>
      <c r="BB217" s="119">
        <f>'1-1 项目基础信息'!P28</f>
        <v>0</v>
      </c>
      <c r="BC217" s="317">
        <f t="shared" si="483"/>
        <v>1030</v>
      </c>
      <c r="BD217" s="119">
        <f t="shared" si="484"/>
        <v>0</v>
      </c>
      <c r="BE217" s="119">
        <f>'1-1 项目基础信息'!Q28</f>
        <v>0</v>
      </c>
      <c r="BF217" s="317">
        <f t="shared" si="485"/>
        <v>1030</v>
      </c>
      <c r="BG217" s="119">
        <f t="shared" si="486"/>
        <v>0</v>
      </c>
      <c r="BH217" s="119">
        <f>'1-1 项目基础信息'!R28</f>
        <v>0</v>
      </c>
      <c r="BI217" s="317">
        <f t="shared" si="487"/>
        <v>1030</v>
      </c>
      <c r="BJ217" s="119">
        <f t="shared" si="488"/>
        <v>0</v>
      </c>
      <c r="BK217" s="119">
        <f>'1-1 项目基础信息'!S28</f>
        <v>0</v>
      </c>
      <c r="BL217" s="318">
        <f t="shared" si="489"/>
        <v>1030</v>
      </c>
      <c r="BM217" s="310"/>
      <c r="BN217" s="313"/>
    </row>
    <row r="218" s="118" customFormat="1" ht="33.95" hidden="1" customHeight="1" outlineLevel="5" spans="2:66">
      <c r="B218" s="119" t="s">
        <v>747</v>
      </c>
      <c r="C218" s="120" t="s">
        <v>1114</v>
      </c>
      <c r="D218" s="118" t="s">
        <v>1115</v>
      </c>
      <c r="E218" s="119"/>
      <c r="F218" s="119"/>
      <c r="G218" s="119" t="s">
        <v>751</v>
      </c>
      <c r="H218" s="119">
        <f t="shared" si="462"/>
        <v>0</v>
      </c>
      <c r="I218" s="119" t="s">
        <v>1097</v>
      </c>
      <c r="J218" s="119" t="e">
        <f t="shared" si="463"/>
        <v>#DIV/0!</v>
      </c>
      <c r="K218" s="119" t="s">
        <v>1098</v>
      </c>
      <c r="L218" s="119" t="e">
        <f t="shared" si="464"/>
        <v>#DIV/0!</v>
      </c>
      <c r="M218" s="119" t="s">
        <v>1099</v>
      </c>
      <c r="N218" s="119">
        <f t="shared" si="465"/>
        <v>0</v>
      </c>
      <c r="O218" s="119"/>
      <c r="P218" s="288"/>
      <c r="Q218" s="288"/>
      <c r="R218" s="288"/>
      <c r="S218" s="288"/>
      <c r="T218" s="288"/>
      <c r="U218" s="288"/>
      <c r="V218" s="288"/>
      <c r="W218" s="288"/>
      <c r="X218" s="288"/>
      <c r="Y218" s="288"/>
      <c r="Z218" s="288"/>
      <c r="AA218" s="288"/>
      <c r="AB218" s="119">
        <f t="shared" si="466"/>
        <v>0</v>
      </c>
      <c r="AC218" s="119">
        <f t="shared" si="467"/>
        <v>0</v>
      </c>
      <c r="AD218" s="119">
        <f>'1-1 项目基础信息'!H29</f>
        <v>0</v>
      </c>
      <c r="AE218" s="288">
        <f>SUMIFS('附表1-数据库'!$F38:$EA38,'附表1-数据库'!$F$26:$EA$26,'1-1 项目基础信息'!$D$19,'附表1-数据库'!$F$28:$EA$28,'1-1 项目基础信息'!$D$20,'附表1-数据库'!$F$27:$EA$27,'1-1 项目基础信息'!$D$21,'附表1-数据库'!$F$29:$EA$29,'1-1 项目基础信息'!$D$18)</f>
        <v>948</v>
      </c>
      <c r="AF218" s="119">
        <f t="shared" si="468"/>
        <v>0</v>
      </c>
      <c r="AG218" s="119">
        <f>'1-1 项目基础信息'!I29</f>
        <v>0</v>
      </c>
      <c r="AH218" s="317">
        <f t="shared" si="469"/>
        <v>948</v>
      </c>
      <c r="AI218" s="119">
        <f t="shared" si="470"/>
        <v>0</v>
      </c>
      <c r="AJ218" s="119">
        <f>'1-1 项目基础信息'!J29</f>
        <v>0</v>
      </c>
      <c r="AK218" s="317">
        <f t="shared" si="471"/>
        <v>948</v>
      </c>
      <c r="AL218" s="119">
        <f t="shared" si="472"/>
        <v>0</v>
      </c>
      <c r="AM218" s="119">
        <f>'1-1 项目基础信息'!K29</f>
        <v>0</v>
      </c>
      <c r="AN218" s="317">
        <f t="shared" si="473"/>
        <v>948</v>
      </c>
      <c r="AO218" s="119">
        <f t="shared" si="474"/>
        <v>0</v>
      </c>
      <c r="AP218" s="119">
        <f>'1-1 项目基础信息'!L29</f>
        <v>0</v>
      </c>
      <c r="AQ218" s="317">
        <f t="shared" si="475"/>
        <v>948</v>
      </c>
      <c r="AR218" s="119">
        <f t="shared" si="476"/>
        <v>0</v>
      </c>
      <c r="AS218" s="119">
        <f>'1-1 项目基础信息'!M29</f>
        <v>0</v>
      </c>
      <c r="AT218" s="317">
        <f t="shared" si="477"/>
        <v>948</v>
      </c>
      <c r="AU218" s="119">
        <f t="shared" si="478"/>
        <v>0</v>
      </c>
      <c r="AV218" s="119">
        <f>'1-1 项目基础信息'!N29</f>
        <v>0</v>
      </c>
      <c r="AW218" s="317">
        <f t="shared" si="479"/>
        <v>948</v>
      </c>
      <c r="AX218" s="119">
        <f t="shared" si="480"/>
        <v>0</v>
      </c>
      <c r="AY218" s="119">
        <f>'1-1 项目基础信息'!O29</f>
        <v>0</v>
      </c>
      <c r="AZ218" s="317">
        <f t="shared" si="481"/>
        <v>948</v>
      </c>
      <c r="BA218" s="119">
        <f t="shared" si="482"/>
        <v>0</v>
      </c>
      <c r="BB218" s="119">
        <f>'1-1 项目基础信息'!P29</f>
        <v>0</v>
      </c>
      <c r="BC218" s="317">
        <f t="shared" si="483"/>
        <v>948</v>
      </c>
      <c r="BD218" s="119">
        <f t="shared" si="484"/>
        <v>0</v>
      </c>
      <c r="BE218" s="119">
        <f>'1-1 项目基础信息'!Q29</f>
        <v>0</v>
      </c>
      <c r="BF218" s="317">
        <f t="shared" si="485"/>
        <v>948</v>
      </c>
      <c r="BG218" s="119">
        <f t="shared" si="486"/>
        <v>0</v>
      </c>
      <c r="BH218" s="119">
        <f>'1-1 项目基础信息'!R29</f>
        <v>0</v>
      </c>
      <c r="BI218" s="317">
        <f t="shared" si="487"/>
        <v>948</v>
      </c>
      <c r="BJ218" s="119">
        <f t="shared" si="488"/>
        <v>0</v>
      </c>
      <c r="BK218" s="119">
        <f>'1-1 项目基础信息'!S29</f>
        <v>0</v>
      </c>
      <c r="BL218" s="318">
        <f t="shared" si="489"/>
        <v>948</v>
      </c>
      <c r="BM218" s="310"/>
      <c r="BN218" s="313"/>
    </row>
    <row r="219" s="118" customFormat="1" ht="33.95" hidden="1" customHeight="1" outlineLevel="5" spans="2:66">
      <c r="B219" s="119" t="s">
        <v>747</v>
      </c>
      <c r="C219" s="120" t="s">
        <v>1116</v>
      </c>
      <c r="D219" s="118" t="s">
        <v>1117</v>
      </c>
      <c r="E219" s="119"/>
      <c r="F219" s="119"/>
      <c r="G219" s="119" t="s">
        <v>751</v>
      </c>
      <c r="H219" s="119">
        <f t="shared" si="462"/>
        <v>0</v>
      </c>
      <c r="I219" s="119" t="s">
        <v>1097</v>
      </c>
      <c r="J219" s="119" t="e">
        <f t="shared" si="463"/>
        <v>#DIV/0!</v>
      </c>
      <c r="K219" s="119" t="s">
        <v>1098</v>
      </c>
      <c r="L219" s="119" t="e">
        <f t="shared" si="464"/>
        <v>#DIV/0!</v>
      </c>
      <c r="M219" s="119" t="s">
        <v>1099</v>
      </c>
      <c r="N219" s="119">
        <f t="shared" si="465"/>
        <v>0</v>
      </c>
      <c r="O219" s="119"/>
      <c r="P219" s="288"/>
      <c r="Q219" s="288"/>
      <c r="R219" s="288"/>
      <c r="S219" s="288"/>
      <c r="T219" s="288"/>
      <c r="U219" s="288"/>
      <c r="V219" s="288"/>
      <c r="W219" s="288"/>
      <c r="X219" s="288"/>
      <c r="Y219" s="288"/>
      <c r="Z219" s="288"/>
      <c r="AA219" s="288"/>
      <c r="AB219" s="119">
        <f t="shared" si="466"/>
        <v>0</v>
      </c>
      <c r="AC219" s="119">
        <f t="shared" si="467"/>
        <v>0</v>
      </c>
      <c r="AD219" s="119">
        <f>'1-1 项目基础信息'!H30</f>
        <v>0</v>
      </c>
      <c r="AE219" s="288">
        <f>SUMIFS('附表1-数据库'!$F39:$EA39,'附表1-数据库'!$F$26:$EA$26,'1-1 项目基础信息'!$D$19,'附表1-数据库'!$F$28:$EA$28,'1-1 项目基础信息'!$D$20,'附表1-数据库'!$F$27:$EA$27,'1-1 项目基础信息'!$D$21,'附表1-数据库'!$F$29:$EA$29,'1-1 项目基础信息'!$D$18)</f>
        <v>1008</v>
      </c>
      <c r="AF219" s="119">
        <f t="shared" si="468"/>
        <v>0</v>
      </c>
      <c r="AG219" s="119">
        <f>'1-1 项目基础信息'!I30</f>
        <v>0</v>
      </c>
      <c r="AH219" s="317">
        <f t="shared" si="469"/>
        <v>1008</v>
      </c>
      <c r="AI219" s="119">
        <f t="shared" si="470"/>
        <v>0</v>
      </c>
      <c r="AJ219" s="119">
        <f>'1-1 项目基础信息'!J30</f>
        <v>0</v>
      </c>
      <c r="AK219" s="317">
        <f t="shared" si="471"/>
        <v>1008</v>
      </c>
      <c r="AL219" s="119">
        <f t="shared" si="472"/>
        <v>0</v>
      </c>
      <c r="AM219" s="119">
        <f>'1-1 项目基础信息'!K30</f>
        <v>0</v>
      </c>
      <c r="AN219" s="317">
        <f t="shared" si="473"/>
        <v>1008</v>
      </c>
      <c r="AO219" s="119">
        <f t="shared" si="474"/>
        <v>0</v>
      </c>
      <c r="AP219" s="119">
        <f>'1-1 项目基础信息'!L30</f>
        <v>0</v>
      </c>
      <c r="AQ219" s="317">
        <f t="shared" si="475"/>
        <v>1008</v>
      </c>
      <c r="AR219" s="119">
        <f t="shared" si="476"/>
        <v>0</v>
      </c>
      <c r="AS219" s="119">
        <f>'1-1 项目基础信息'!M30</f>
        <v>0</v>
      </c>
      <c r="AT219" s="317">
        <f t="shared" si="477"/>
        <v>1008</v>
      </c>
      <c r="AU219" s="119">
        <f t="shared" si="478"/>
        <v>0</v>
      </c>
      <c r="AV219" s="119">
        <f>'1-1 项目基础信息'!N30</f>
        <v>0</v>
      </c>
      <c r="AW219" s="317">
        <f t="shared" si="479"/>
        <v>1008</v>
      </c>
      <c r="AX219" s="119">
        <f t="shared" si="480"/>
        <v>0</v>
      </c>
      <c r="AY219" s="119">
        <f>'1-1 项目基础信息'!O30</f>
        <v>0</v>
      </c>
      <c r="AZ219" s="317">
        <f t="shared" si="481"/>
        <v>1008</v>
      </c>
      <c r="BA219" s="119">
        <f t="shared" si="482"/>
        <v>0</v>
      </c>
      <c r="BB219" s="119">
        <f>'1-1 项目基础信息'!P30</f>
        <v>0</v>
      </c>
      <c r="BC219" s="317">
        <f t="shared" si="483"/>
        <v>1008</v>
      </c>
      <c r="BD219" s="119">
        <f t="shared" si="484"/>
        <v>0</v>
      </c>
      <c r="BE219" s="119">
        <f>'1-1 项目基础信息'!Q30</f>
        <v>0</v>
      </c>
      <c r="BF219" s="317">
        <f t="shared" si="485"/>
        <v>1008</v>
      </c>
      <c r="BG219" s="119">
        <f t="shared" si="486"/>
        <v>0</v>
      </c>
      <c r="BH219" s="119">
        <f>'1-1 项目基础信息'!R30</f>
        <v>0</v>
      </c>
      <c r="BI219" s="317">
        <f t="shared" si="487"/>
        <v>1008</v>
      </c>
      <c r="BJ219" s="119">
        <f t="shared" si="488"/>
        <v>0</v>
      </c>
      <c r="BK219" s="119">
        <f>'1-1 项目基础信息'!S30</f>
        <v>0</v>
      </c>
      <c r="BL219" s="318">
        <f t="shared" si="489"/>
        <v>1008</v>
      </c>
      <c r="BM219" s="310"/>
      <c r="BN219" s="313"/>
    </row>
    <row r="220" s="118" customFormat="1" ht="33.95" hidden="1" customHeight="1" outlineLevel="5" spans="2:66">
      <c r="B220" s="119" t="s">
        <v>747</v>
      </c>
      <c r="C220" s="120" t="s">
        <v>1118</v>
      </c>
      <c r="D220" s="118" t="s">
        <v>1119</v>
      </c>
      <c r="E220" s="119"/>
      <c r="F220" s="119"/>
      <c r="G220" s="119" t="s">
        <v>751</v>
      </c>
      <c r="H220" s="119">
        <f t="shared" si="462"/>
        <v>0</v>
      </c>
      <c r="I220" s="119" t="s">
        <v>1097</v>
      </c>
      <c r="J220" s="119" t="e">
        <f t="shared" si="463"/>
        <v>#DIV/0!</v>
      </c>
      <c r="K220" s="119" t="s">
        <v>1098</v>
      </c>
      <c r="L220" s="119" t="e">
        <f t="shared" si="464"/>
        <v>#DIV/0!</v>
      </c>
      <c r="M220" s="119" t="s">
        <v>1099</v>
      </c>
      <c r="N220" s="119">
        <f t="shared" si="465"/>
        <v>0</v>
      </c>
      <c r="O220" s="119"/>
      <c r="P220" s="288"/>
      <c r="Q220" s="288"/>
      <c r="R220" s="288"/>
      <c r="S220" s="288"/>
      <c r="T220" s="288"/>
      <c r="U220" s="288"/>
      <c r="V220" s="288"/>
      <c r="W220" s="288"/>
      <c r="X220" s="288"/>
      <c r="Y220" s="288"/>
      <c r="Z220" s="288"/>
      <c r="AA220" s="288"/>
      <c r="AB220" s="119">
        <f t="shared" si="466"/>
        <v>0</v>
      </c>
      <c r="AC220" s="119">
        <f t="shared" si="467"/>
        <v>0</v>
      </c>
      <c r="AD220" s="119">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9">
        <f t="shared" si="468"/>
        <v>0</v>
      </c>
      <c r="AG220" s="119">
        <f>'1-1 项目基础信息'!I31</f>
        <v>0</v>
      </c>
      <c r="AH220" s="317">
        <f t="shared" si="469"/>
        <v>1152</v>
      </c>
      <c r="AI220" s="119">
        <f t="shared" si="470"/>
        <v>0</v>
      </c>
      <c r="AJ220" s="119">
        <f>'1-1 项目基础信息'!J31</f>
        <v>0</v>
      </c>
      <c r="AK220" s="317">
        <f t="shared" si="471"/>
        <v>1152</v>
      </c>
      <c r="AL220" s="119">
        <f t="shared" si="472"/>
        <v>0</v>
      </c>
      <c r="AM220" s="119">
        <f>'1-1 项目基础信息'!K31</f>
        <v>0</v>
      </c>
      <c r="AN220" s="317">
        <f t="shared" si="473"/>
        <v>1152</v>
      </c>
      <c r="AO220" s="119">
        <f t="shared" si="474"/>
        <v>0</v>
      </c>
      <c r="AP220" s="119">
        <f>'1-1 项目基础信息'!L31</f>
        <v>0</v>
      </c>
      <c r="AQ220" s="317">
        <f t="shared" si="475"/>
        <v>1152</v>
      </c>
      <c r="AR220" s="119">
        <f t="shared" si="476"/>
        <v>0</v>
      </c>
      <c r="AS220" s="119">
        <f>'1-1 项目基础信息'!M31</f>
        <v>0</v>
      </c>
      <c r="AT220" s="317">
        <f t="shared" si="477"/>
        <v>1152</v>
      </c>
      <c r="AU220" s="119">
        <f t="shared" si="478"/>
        <v>0</v>
      </c>
      <c r="AV220" s="119">
        <f>'1-1 项目基础信息'!N31</f>
        <v>0</v>
      </c>
      <c r="AW220" s="317">
        <f t="shared" si="479"/>
        <v>1152</v>
      </c>
      <c r="AX220" s="119">
        <f t="shared" si="480"/>
        <v>0</v>
      </c>
      <c r="AY220" s="119">
        <f>'1-1 项目基础信息'!O31</f>
        <v>0</v>
      </c>
      <c r="AZ220" s="317">
        <f t="shared" si="481"/>
        <v>1152</v>
      </c>
      <c r="BA220" s="119">
        <f t="shared" si="482"/>
        <v>0</v>
      </c>
      <c r="BB220" s="119">
        <f>'1-1 项目基础信息'!P31</f>
        <v>0</v>
      </c>
      <c r="BC220" s="317">
        <f t="shared" si="483"/>
        <v>1152</v>
      </c>
      <c r="BD220" s="119">
        <f t="shared" si="484"/>
        <v>0</v>
      </c>
      <c r="BE220" s="119">
        <f>'1-1 项目基础信息'!Q31</f>
        <v>0</v>
      </c>
      <c r="BF220" s="317">
        <f t="shared" si="485"/>
        <v>1152</v>
      </c>
      <c r="BG220" s="119">
        <f t="shared" si="486"/>
        <v>0</v>
      </c>
      <c r="BH220" s="119">
        <f>'1-1 项目基础信息'!R31</f>
        <v>0</v>
      </c>
      <c r="BI220" s="317">
        <f t="shared" si="487"/>
        <v>1152</v>
      </c>
      <c r="BJ220" s="119">
        <f t="shared" si="488"/>
        <v>0</v>
      </c>
      <c r="BK220" s="119">
        <f>'1-1 项目基础信息'!S31</f>
        <v>0</v>
      </c>
      <c r="BL220" s="318">
        <f t="shared" si="489"/>
        <v>1152</v>
      </c>
      <c r="BM220" s="310"/>
      <c r="BN220" s="313"/>
    </row>
    <row r="221" s="118" customFormat="1" ht="33.95" hidden="1" customHeight="1" outlineLevel="5" spans="2:66">
      <c r="B221" s="119" t="s">
        <v>747</v>
      </c>
      <c r="C221" s="120" t="s">
        <v>1120</v>
      </c>
      <c r="D221" s="118" t="s">
        <v>1121</v>
      </c>
      <c r="E221" s="119"/>
      <c r="F221" s="119"/>
      <c r="G221" s="119" t="s">
        <v>751</v>
      </c>
      <c r="H221" s="119">
        <f t="shared" si="462"/>
        <v>0</v>
      </c>
      <c r="I221" s="119" t="s">
        <v>1097</v>
      </c>
      <c r="J221" s="119" t="e">
        <f t="shared" si="463"/>
        <v>#DIV/0!</v>
      </c>
      <c r="K221" s="119" t="s">
        <v>1098</v>
      </c>
      <c r="L221" s="119" t="e">
        <f t="shared" si="464"/>
        <v>#DIV/0!</v>
      </c>
      <c r="M221" s="119" t="s">
        <v>1099</v>
      </c>
      <c r="N221" s="119">
        <f t="shared" si="465"/>
        <v>0</v>
      </c>
      <c r="O221" s="119"/>
      <c r="P221" s="288"/>
      <c r="Q221" s="288"/>
      <c r="R221" s="288"/>
      <c r="S221" s="288"/>
      <c r="T221" s="288"/>
      <c r="U221" s="288"/>
      <c r="V221" s="288"/>
      <c r="W221" s="288"/>
      <c r="X221" s="288"/>
      <c r="Y221" s="288"/>
      <c r="Z221" s="288"/>
      <c r="AA221" s="288"/>
      <c r="AB221" s="119">
        <f t="shared" si="466"/>
        <v>0</v>
      </c>
      <c r="AC221" s="119">
        <f t="shared" si="467"/>
        <v>0</v>
      </c>
      <c r="AD221" s="119">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9">
        <f t="shared" si="468"/>
        <v>0</v>
      </c>
      <c r="AG221" s="119">
        <f>'1-1 项目基础信息'!I32</f>
        <v>0</v>
      </c>
      <c r="AH221" s="317">
        <f t="shared" si="469"/>
        <v>0</v>
      </c>
      <c r="AI221" s="119">
        <f t="shared" si="470"/>
        <v>0</v>
      </c>
      <c r="AJ221" s="119">
        <f>'1-1 项目基础信息'!J32</f>
        <v>0</v>
      </c>
      <c r="AK221" s="317">
        <f t="shared" si="471"/>
        <v>0</v>
      </c>
      <c r="AL221" s="119">
        <f t="shared" si="472"/>
        <v>0</v>
      </c>
      <c r="AM221" s="119">
        <f>'1-1 项目基础信息'!K32</f>
        <v>0</v>
      </c>
      <c r="AN221" s="317">
        <f t="shared" si="473"/>
        <v>0</v>
      </c>
      <c r="AO221" s="119">
        <f t="shared" si="474"/>
        <v>0</v>
      </c>
      <c r="AP221" s="119">
        <f>'1-1 项目基础信息'!L32</f>
        <v>0</v>
      </c>
      <c r="AQ221" s="317">
        <f t="shared" si="475"/>
        <v>0</v>
      </c>
      <c r="AR221" s="119">
        <f t="shared" si="476"/>
        <v>0</v>
      </c>
      <c r="AS221" s="119">
        <f>'1-1 项目基础信息'!M32</f>
        <v>0</v>
      </c>
      <c r="AT221" s="317">
        <f t="shared" si="477"/>
        <v>0</v>
      </c>
      <c r="AU221" s="119">
        <f t="shared" si="478"/>
        <v>0</v>
      </c>
      <c r="AV221" s="119">
        <f>'1-1 项目基础信息'!N32</f>
        <v>0</v>
      </c>
      <c r="AW221" s="317">
        <f t="shared" si="479"/>
        <v>0</v>
      </c>
      <c r="AX221" s="119">
        <f t="shared" si="480"/>
        <v>0</v>
      </c>
      <c r="AY221" s="119">
        <f>'1-1 项目基础信息'!O32</f>
        <v>0</v>
      </c>
      <c r="AZ221" s="317">
        <f t="shared" si="481"/>
        <v>0</v>
      </c>
      <c r="BA221" s="119">
        <f t="shared" si="482"/>
        <v>0</v>
      </c>
      <c r="BB221" s="119">
        <f>'1-1 项目基础信息'!P32</f>
        <v>0</v>
      </c>
      <c r="BC221" s="317">
        <f t="shared" si="483"/>
        <v>0</v>
      </c>
      <c r="BD221" s="119">
        <f t="shared" si="484"/>
        <v>0</v>
      </c>
      <c r="BE221" s="119">
        <f>'1-1 项目基础信息'!Q32</f>
        <v>0</v>
      </c>
      <c r="BF221" s="317">
        <f t="shared" si="485"/>
        <v>0</v>
      </c>
      <c r="BG221" s="119">
        <f t="shared" si="486"/>
        <v>0</v>
      </c>
      <c r="BH221" s="119">
        <f>'1-1 项目基础信息'!R32</f>
        <v>0</v>
      </c>
      <c r="BI221" s="317">
        <f t="shared" si="487"/>
        <v>0</v>
      </c>
      <c r="BJ221" s="119">
        <f t="shared" si="488"/>
        <v>0</v>
      </c>
      <c r="BK221" s="119">
        <f>'1-1 项目基础信息'!S32</f>
        <v>0</v>
      </c>
      <c r="BL221" s="318">
        <f t="shared" si="489"/>
        <v>0</v>
      </c>
      <c r="BM221" s="310"/>
      <c r="BN221" s="313"/>
    </row>
    <row r="222" s="118" customFormat="1" ht="33.95" hidden="1" customHeight="1" outlineLevel="5" spans="2:66">
      <c r="B222" s="119" t="s">
        <v>747</v>
      </c>
      <c r="C222" s="120" t="s">
        <v>1122</v>
      </c>
      <c r="D222" s="118" t="s">
        <v>1123</v>
      </c>
      <c r="E222" s="119"/>
      <c r="F222" s="119"/>
      <c r="G222" s="119" t="s">
        <v>751</v>
      </c>
      <c r="H222" s="119">
        <f t="shared" si="462"/>
        <v>0</v>
      </c>
      <c r="I222" s="119" t="s">
        <v>1097</v>
      </c>
      <c r="J222" s="119" t="e">
        <f t="shared" si="463"/>
        <v>#DIV/0!</v>
      </c>
      <c r="K222" s="119" t="s">
        <v>1098</v>
      </c>
      <c r="L222" s="119" t="e">
        <f t="shared" si="464"/>
        <v>#DIV/0!</v>
      </c>
      <c r="M222" s="119" t="s">
        <v>1099</v>
      </c>
      <c r="N222" s="119">
        <f t="shared" si="465"/>
        <v>0</v>
      </c>
      <c r="O222" s="119"/>
      <c r="P222" s="288"/>
      <c r="Q222" s="288"/>
      <c r="R222" s="288"/>
      <c r="S222" s="288"/>
      <c r="T222" s="288"/>
      <c r="U222" s="288"/>
      <c r="V222" s="288"/>
      <c r="W222" s="288"/>
      <c r="X222" s="288"/>
      <c r="Y222" s="288"/>
      <c r="Z222" s="288"/>
      <c r="AA222" s="288"/>
      <c r="AB222" s="119">
        <f t="shared" si="466"/>
        <v>0</v>
      </c>
      <c r="AC222" s="119">
        <f t="shared" si="467"/>
        <v>0</v>
      </c>
      <c r="AD222" s="119">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9">
        <f t="shared" si="468"/>
        <v>0</v>
      </c>
      <c r="AG222" s="119">
        <f>'1-1 项目基础信息'!I33</f>
        <v>0</v>
      </c>
      <c r="AH222" s="317">
        <f t="shared" si="469"/>
        <v>0</v>
      </c>
      <c r="AI222" s="119">
        <f t="shared" si="470"/>
        <v>0</v>
      </c>
      <c r="AJ222" s="119">
        <f>'1-1 项目基础信息'!J33</f>
        <v>0</v>
      </c>
      <c r="AK222" s="317">
        <f t="shared" si="471"/>
        <v>0</v>
      </c>
      <c r="AL222" s="119">
        <f t="shared" si="472"/>
        <v>0</v>
      </c>
      <c r="AM222" s="119">
        <f>'1-1 项目基础信息'!K33</f>
        <v>0</v>
      </c>
      <c r="AN222" s="317">
        <f t="shared" si="473"/>
        <v>0</v>
      </c>
      <c r="AO222" s="119">
        <f t="shared" si="474"/>
        <v>0</v>
      </c>
      <c r="AP222" s="119">
        <f>'1-1 项目基础信息'!L33</f>
        <v>0</v>
      </c>
      <c r="AQ222" s="317">
        <f t="shared" si="475"/>
        <v>0</v>
      </c>
      <c r="AR222" s="119">
        <f t="shared" si="476"/>
        <v>0</v>
      </c>
      <c r="AS222" s="119">
        <f>'1-1 项目基础信息'!M33</f>
        <v>0</v>
      </c>
      <c r="AT222" s="317">
        <f t="shared" si="477"/>
        <v>0</v>
      </c>
      <c r="AU222" s="119">
        <f t="shared" si="478"/>
        <v>0</v>
      </c>
      <c r="AV222" s="119">
        <f>'1-1 项目基础信息'!N33</f>
        <v>0</v>
      </c>
      <c r="AW222" s="317">
        <f t="shared" si="479"/>
        <v>0</v>
      </c>
      <c r="AX222" s="119">
        <f t="shared" si="480"/>
        <v>0</v>
      </c>
      <c r="AY222" s="119">
        <f>'1-1 项目基础信息'!O33</f>
        <v>0</v>
      </c>
      <c r="AZ222" s="317">
        <f t="shared" si="481"/>
        <v>0</v>
      </c>
      <c r="BA222" s="119">
        <f t="shared" si="482"/>
        <v>0</v>
      </c>
      <c r="BB222" s="119">
        <f>'1-1 项目基础信息'!P33</f>
        <v>0</v>
      </c>
      <c r="BC222" s="317">
        <f t="shared" si="483"/>
        <v>0</v>
      </c>
      <c r="BD222" s="119">
        <f t="shared" si="484"/>
        <v>0</v>
      </c>
      <c r="BE222" s="119">
        <f>'1-1 项目基础信息'!Q33</f>
        <v>0</v>
      </c>
      <c r="BF222" s="317">
        <f t="shared" si="485"/>
        <v>0</v>
      </c>
      <c r="BG222" s="119">
        <f t="shared" si="486"/>
        <v>0</v>
      </c>
      <c r="BH222" s="119">
        <f>'1-1 项目基础信息'!R33</f>
        <v>0</v>
      </c>
      <c r="BI222" s="317">
        <f t="shared" si="487"/>
        <v>0</v>
      </c>
      <c r="BJ222" s="119">
        <f t="shared" si="488"/>
        <v>0</v>
      </c>
      <c r="BK222" s="119">
        <f>'1-1 项目基础信息'!S33</f>
        <v>0</v>
      </c>
      <c r="BL222" s="318">
        <f t="shared" si="489"/>
        <v>0</v>
      </c>
      <c r="BM222" s="310"/>
      <c r="BN222" s="313"/>
    </row>
    <row r="223" s="48" customFormat="1" ht="33.95" hidden="1" customHeight="1" outlineLevel="3" spans="2:66">
      <c r="B223" s="115" t="s">
        <v>747</v>
      </c>
      <c r="C223" s="116" t="s">
        <v>46</v>
      </c>
      <c r="D223" s="48" t="s">
        <v>47</v>
      </c>
      <c r="E223" s="115" t="s">
        <v>1124</v>
      </c>
      <c r="F223" s="115"/>
      <c r="G223" s="115" t="s">
        <v>751</v>
      </c>
      <c r="H223" s="304">
        <f>IFERROR(J223*L223*N223,0)</f>
        <v>0</v>
      </c>
      <c r="I223" s="304" t="s">
        <v>1125</v>
      </c>
      <c r="J223" s="304">
        <f>AVERAGE(AD223,AG223,AJ223,AM223,AP223,AS223,AV223,AY223,BB223,BE223,BH223,BK223)</f>
        <v>5829.78</v>
      </c>
      <c r="K223" s="304" t="s">
        <v>981</v>
      </c>
      <c r="L223" s="304" t="e">
        <f>AVERAGE(AE223,AH223,AK223,AN223,AQ223,AT223,AW223,AZ223,BC223,BF223,BI223,BL223)</f>
        <v>#DIV/0!</v>
      </c>
      <c r="M223" s="115" t="s">
        <v>754</v>
      </c>
      <c r="N223" s="115">
        <v>12</v>
      </c>
      <c r="O223" s="115"/>
      <c r="P223" s="287"/>
      <c r="Q223" s="287"/>
      <c r="R223" s="287"/>
      <c r="S223" s="287"/>
      <c r="T223" s="287"/>
      <c r="U223" s="287"/>
      <c r="V223" s="287"/>
      <c r="W223" s="287"/>
      <c r="X223" s="287"/>
      <c r="Y223" s="287"/>
      <c r="Z223" s="287"/>
      <c r="AA223" s="287"/>
      <c r="AB223" s="115">
        <f t="shared" si="466"/>
        <v>0</v>
      </c>
      <c r="AC223" s="115">
        <f t="shared" si="467"/>
        <v>0</v>
      </c>
      <c r="AD223" s="115">
        <f>VLOOKUP($I223,'1-1 项目基础信息'!$F:$S,3,FALSE)</f>
        <v>5829.78</v>
      </c>
      <c r="AE223" s="297"/>
      <c r="AF223" s="115">
        <f t="shared" si="468"/>
        <v>0</v>
      </c>
      <c r="AG223" s="115">
        <f>VLOOKUP($I223,'1-1 项目基础信息'!$F:$S,4,FALSE)</f>
        <v>5829.78</v>
      </c>
      <c r="AH223" s="297"/>
      <c r="AI223" s="115">
        <f t="shared" si="470"/>
        <v>0</v>
      </c>
      <c r="AJ223" s="115">
        <f>VLOOKUP($I223,'1-1 项目基础信息'!$F:$S,5,FALSE)</f>
        <v>5829.78</v>
      </c>
      <c r="AK223" s="297"/>
      <c r="AL223" s="115">
        <f t="shared" si="472"/>
        <v>0</v>
      </c>
      <c r="AM223" s="115">
        <f>VLOOKUP($I223,'1-1 项目基础信息'!$F:$S,6,FALSE)</f>
        <v>5829.78</v>
      </c>
      <c r="AN223" s="297"/>
      <c r="AO223" s="115">
        <f t="shared" si="474"/>
        <v>0</v>
      </c>
      <c r="AP223" s="115">
        <f>VLOOKUP($I223,'1-1 项目基础信息'!$F:$S,7,FALSE)</f>
        <v>5829.78</v>
      </c>
      <c r="AQ223" s="297"/>
      <c r="AR223" s="115">
        <f t="shared" si="476"/>
        <v>0</v>
      </c>
      <c r="AS223" s="115">
        <f>VLOOKUP($I223,'1-1 项目基础信息'!$F:$S,8,FALSE)</f>
        <v>5829.78</v>
      </c>
      <c r="AT223" s="297"/>
      <c r="AU223" s="115">
        <f t="shared" si="478"/>
        <v>0</v>
      </c>
      <c r="AV223" s="115">
        <f>VLOOKUP($I223,'1-1 项目基础信息'!$F:$S,9,FALSE)</f>
        <v>5829.78</v>
      </c>
      <c r="AW223" s="297"/>
      <c r="AX223" s="115">
        <f t="shared" si="480"/>
        <v>0</v>
      </c>
      <c r="AY223" s="115">
        <f>VLOOKUP($I223,'1-1 项目基础信息'!$F:$S,10,FALSE)</f>
        <v>5829.78</v>
      </c>
      <c r="AZ223" s="297"/>
      <c r="BA223" s="115">
        <f t="shared" si="482"/>
        <v>0</v>
      </c>
      <c r="BB223" s="115">
        <f>VLOOKUP($I223,'1-1 项目基础信息'!$F:$S,11,FALSE)</f>
        <v>5829.78</v>
      </c>
      <c r="BC223" s="297"/>
      <c r="BD223" s="115">
        <f t="shared" si="484"/>
        <v>0</v>
      </c>
      <c r="BE223" s="115">
        <f>VLOOKUP($I223,'1-1 项目基础信息'!$F:$S,12,FALSE)</f>
        <v>5829.78</v>
      </c>
      <c r="BF223" s="297"/>
      <c r="BG223" s="115">
        <f t="shared" si="486"/>
        <v>0</v>
      </c>
      <c r="BH223" s="115">
        <f>VLOOKUP($I223,'1-1 项目基础信息'!$F:$S,13,FALSE)</f>
        <v>5829.78</v>
      </c>
      <c r="BI223" s="297"/>
      <c r="BJ223" s="115">
        <f t="shared" si="488"/>
        <v>0</v>
      </c>
      <c r="BK223" s="115">
        <f>VLOOKUP($I223,'1-1 项目基础信息'!$F:$S,14,FALSE)</f>
        <v>5829.78</v>
      </c>
      <c r="BL223" s="297"/>
      <c r="BM223" s="310"/>
      <c r="BN223" s="312"/>
    </row>
    <row r="224" s="48" customFormat="1" ht="33.95" hidden="1" customHeight="1" outlineLevel="3" collapsed="1" spans="2:66">
      <c r="B224" s="115" t="s">
        <v>742</v>
      </c>
      <c r="C224" s="116" t="s">
        <v>36</v>
      </c>
      <c r="D224" s="48" t="s">
        <v>37</v>
      </c>
      <c r="E224" s="115"/>
      <c r="F224" s="115"/>
      <c r="G224" s="115"/>
      <c r="H224" s="115">
        <f>H225+H230+H231+H232+H233+H234+H235</f>
        <v>0</v>
      </c>
      <c r="I224" s="115"/>
      <c r="J224" s="115"/>
      <c r="K224" s="115"/>
      <c r="L224" s="115"/>
      <c r="M224" s="115"/>
      <c r="N224" s="115"/>
      <c r="O224" s="115"/>
      <c r="P224" s="287"/>
      <c r="Q224" s="287"/>
      <c r="R224" s="287"/>
      <c r="S224" s="287"/>
      <c r="T224" s="287"/>
      <c r="U224" s="287"/>
      <c r="V224" s="287"/>
      <c r="W224" s="287"/>
      <c r="X224" s="287"/>
      <c r="Y224" s="287"/>
      <c r="Z224" s="287"/>
      <c r="AA224" s="287"/>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4"/>
      <c r="BM224" s="310"/>
      <c r="BN224" s="312"/>
    </row>
    <row r="225" s="118" customFormat="1" ht="33.95" hidden="1" customHeight="1" outlineLevel="4" collapsed="1" spans="2:66">
      <c r="B225" s="119" t="s">
        <v>742</v>
      </c>
      <c r="C225" s="120" t="s">
        <v>1126</v>
      </c>
      <c r="D225" s="118" t="s">
        <v>1127</v>
      </c>
      <c r="E225" s="119" t="s">
        <v>1128</v>
      </c>
      <c r="F225" s="119"/>
      <c r="G225" s="119"/>
      <c r="H225" s="119">
        <f>SUM(H226:H229)</f>
        <v>0</v>
      </c>
      <c r="I225" s="119"/>
      <c r="J225" s="119"/>
      <c r="K225" s="119"/>
      <c r="L225" s="119"/>
      <c r="M225" s="119"/>
      <c r="N225" s="119"/>
      <c r="O225" s="119"/>
      <c r="P225" s="288"/>
      <c r="Q225" s="288"/>
      <c r="R225" s="288"/>
      <c r="S225" s="288"/>
      <c r="T225" s="288"/>
      <c r="U225" s="288"/>
      <c r="V225" s="288"/>
      <c r="W225" s="288"/>
      <c r="X225" s="288"/>
      <c r="Y225" s="288"/>
      <c r="Z225" s="288"/>
      <c r="AA225" s="288"/>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5"/>
      <c r="BM225" s="310"/>
      <c r="BN225" s="313"/>
    </row>
    <row r="226" s="262" customFormat="1" ht="33.95" hidden="1" customHeight="1" outlineLevel="5" spans="2:66">
      <c r="B226" s="175" t="s">
        <v>747</v>
      </c>
      <c r="C226" s="282" t="s">
        <v>1126</v>
      </c>
      <c r="D226" s="262" t="s">
        <v>1129</v>
      </c>
      <c r="E226" s="175"/>
      <c r="F226" s="175"/>
      <c r="G226" s="175" t="s">
        <v>751</v>
      </c>
      <c r="H226" s="175">
        <f t="shared" ref="H226:H235" si="492">IFERROR(J226*L226*N226,0)</f>
        <v>0</v>
      </c>
      <c r="I226" s="175" t="s">
        <v>1130</v>
      </c>
      <c r="J226" s="175" t="e">
        <f t="shared" ref="J226:J229" si="493">AVERAGE(AD226,AG226,AJ226,AM226,AP226,AS226,AV226,AY226,BB226,BE226,BH226,BK226)</f>
        <v>#DIV/0!</v>
      </c>
      <c r="K226" s="175" t="s">
        <v>1098</v>
      </c>
      <c r="L226" s="175" t="e">
        <f t="shared" ref="L226:L229" si="494">AVERAGE(AE226,AH226,AK226,AN226,AQ226,AT226,AW226,AZ226,BC226,BF226,BI226,BL226)</f>
        <v>#DIV/0!</v>
      </c>
      <c r="M226" s="175" t="s">
        <v>1131</v>
      </c>
      <c r="N226" s="175">
        <v>1</v>
      </c>
      <c r="O226" s="175"/>
      <c r="P226" s="289"/>
      <c r="Q226" s="289"/>
      <c r="R226" s="289"/>
      <c r="S226" s="289"/>
      <c r="T226" s="289"/>
      <c r="U226" s="289"/>
      <c r="V226" s="289"/>
      <c r="W226" s="289"/>
      <c r="X226" s="289"/>
      <c r="Y226" s="289"/>
      <c r="Z226" s="289"/>
      <c r="AA226" s="289"/>
      <c r="AB226" s="175">
        <f t="shared" ref="AB226:AB235" si="495">SUM(AC226,AF226,AI226,AL226,AO226,AR226,AU226,AX226,BA226,BD226,BG226,BJ226)</f>
        <v>0</v>
      </c>
      <c r="AC226" s="175">
        <f>AD226*AE226</f>
        <v>0</v>
      </c>
      <c r="AD226" s="297"/>
      <c r="AE226" s="297"/>
      <c r="AF226" s="175">
        <f>AG226*AH226</f>
        <v>0</v>
      </c>
      <c r="AG226" s="297"/>
      <c r="AH226" s="297"/>
      <c r="AI226" s="175">
        <f>AJ226*AK226</f>
        <v>0</v>
      </c>
      <c r="AJ226" s="297"/>
      <c r="AK226" s="297"/>
      <c r="AL226" s="175">
        <f>AM226*AN226</f>
        <v>0</v>
      </c>
      <c r="AM226" s="297"/>
      <c r="AN226" s="297"/>
      <c r="AO226" s="175">
        <f>AP226*AQ226</f>
        <v>0</v>
      </c>
      <c r="AP226" s="297"/>
      <c r="AQ226" s="297"/>
      <c r="AR226" s="175">
        <f>AS226*AT226</f>
        <v>0</v>
      </c>
      <c r="AS226" s="297"/>
      <c r="AT226" s="297"/>
      <c r="AU226" s="175">
        <f>AV226*AW226</f>
        <v>0</v>
      </c>
      <c r="AV226" s="297"/>
      <c r="AW226" s="297"/>
      <c r="AX226" s="175">
        <f>AY226*AZ226</f>
        <v>0</v>
      </c>
      <c r="AY226" s="297"/>
      <c r="AZ226" s="297"/>
      <c r="BA226" s="175">
        <f>BB226*BC226</f>
        <v>0</v>
      </c>
      <c r="BB226" s="297"/>
      <c r="BC226" s="297"/>
      <c r="BD226" s="175">
        <f>BE226*BF226</f>
        <v>0</v>
      </c>
      <c r="BE226" s="297"/>
      <c r="BF226" s="297"/>
      <c r="BG226" s="175">
        <f>BH226*BI226</f>
        <v>0</v>
      </c>
      <c r="BH226" s="297"/>
      <c r="BI226" s="297"/>
      <c r="BJ226" s="175">
        <f>BK226*BL226</f>
        <v>0</v>
      </c>
      <c r="BK226" s="297"/>
      <c r="BL226" s="306"/>
      <c r="BM226" s="310"/>
      <c r="BN226" s="314"/>
    </row>
    <row r="227" s="262" customFormat="1" ht="33.95" hidden="1" customHeight="1" outlineLevel="5" spans="2:66">
      <c r="B227" s="175" t="s">
        <v>747</v>
      </c>
      <c r="C227" s="282" t="s">
        <v>1132</v>
      </c>
      <c r="D227" s="262" t="s">
        <v>1133</v>
      </c>
      <c r="E227" s="175"/>
      <c r="F227" s="175"/>
      <c r="G227" s="175" t="s">
        <v>751</v>
      </c>
      <c r="H227" s="175">
        <f t="shared" si="492"/>
        <v>0</v>
      </c>
      <c r="I227" s="175" t="s">
        <v>1130</v>
      </c>
      <c r="J227" s="175" t="e">
        <f t="shared" si="493"/>
        <v>#DIV/0!</v>
      </c>
      <c r="K227" s="175" t="s">
        <v>1098</v>
      </c>
      <c r="L227" s="175" t="e">
        <f t="shared" si="494"/>
        <v>#DIV/0!</v>
      </c>
      <c r="M227" s="175" t="s">
        <v>1131</v>
      </c>
      <c r="N227" s="175">
        <v>1</v>
      </c>
      <c r="O227" s="175"/>
      <c r="P227" s="289"/>
      <c r="Q227" s="289"/>
      <c r="R227" s="289"/>
      <c r="S227" s="289"/>
      <c r="T227" s="289"/>
      <c r="U227" s="289"/>
      <c r="V227" s="289"/>
      <c r="W227" s="289"/>
      <c r="X227" s="289"/>
      <c r="Y227" s="289"/>
      <c r="Z227" s="289"/>
      <c r="AA227" s="289"/>
      <c r="AB227" s="175">
        <f t="shared" si="495"/>
        <v>0</v>
      </c>
      <c r="AC227" s="175">
        <f>AD227*AE227</f>
        <v>0</v>
      </c>
      <c r="AD227" s="297"/>
      <c r="AE227" s="297"/>
      <c r="AF227" s="175">
        <f>AG227*AH227</f>
        <v>0</v>
      </c>
      <c r="AG227" s="297"/>
      <c r="AH227" s="297"/>
      <c r="AI227" s="175">
        <f>AJ227*AK227</f>
        <v>0</v>
      </c>
      <c r="AJ227" s="297"/>
      <c r="AK227" s="297"/>
      <c r="AL227" s="175">
        <f>AM227*AN227</f>
        <v>0</v>
      </c>
      <c r="AM227" s="297"/>
      <c r="AN227" s="297"/>
      <c r="AO227" s="175">
        <f>AP227*AQ227</f>
        <v>0</v>
      </c>
      <c r="AP227" s="297"/>
      <c r="AQ227" s="297"/>
      <c r="AR227" s="175">
        <f>AS227*AT227</f>
        <v>0</v>
      </c>
      <c r="AS227" s="297"/>
      <c r="AT227" s="297"/>
      <c r="AU227" s="175">
        <f>AV227*AW227</f>
        <v>0</v>
      </c>
      <c r="AV227" s="297"/>
      <c r="AW227" s="297"/>
      <c r="AX227" s="175">
        <f>AY227*AZ227</f>
        <v>0</v>
      </c>
      <c r="AY227" s="297"/>
      <c r="AZ227" s="297"/>
      <c r="BA227" s="175">
        <f>BB227*BC227</f>
        <v>0</v>
      </c>
      <c r="BB227" s="297"/>
      <c r="BC227" s="297"/>
      <c r="BD227" s="175">
        <f>BE227*BF227</f>
        <v>0</v>
      </c>
      <c r="BE227" s="297"/>
      <c r="BF227" s="297"/>
      <c r="BG227" s="175">
        <f>BH227*BI227</f>
        <v>0</v>
      </c>
      <c r="BH227" s="297"/>
      <c r="BI227" s="297"/>
      <c r="BJ227" s="175">
        <f>BK227*BL227</f>
        <v>0</v>
      </c>
      <c r="BK227" s="297"/>
      <c r="BL227" s="306"/>
      <c r="BM227" s="310"/>
      <c r="BN227" s="314"/>
    </row>
    <row r="228" s="262" customFormat="1" ht="33.95" hidden="1" customHeight="1" outlineLevel="5" spans="2:66">
      <c r="B228" s="175" t="s">
        <v>747</v>
      </c>
      <c r="C228" s="282" t="s">
        <v>1134</v>
      </c>
      <c r="D228" s="262" t="s">
        <v>1135</v>
      </c>
      <c r="E228" s="175"/>
      <c r="F228" s="175"/>
      <c r="G228" s="175" t="s">
        <v>751</v>
      </c>
      <c r="H228" s="175">
        <f t="shared" si="492"/>
        <v>0</v>
      </c>
      <c r="I228" s="175" t="s">
        <v>1130</v>
      </c>
      <c r="J228" s="175" t="e">
        <f t="shared" si="493"/>
        <v>#DIV/0!</v>
      </c>
      <c r="K228" s="175" t="s">
        <v>1098</v>
      </c>
      <c r="L228" s="175" t="e">
        <f t="shared" si="494"/>
        <v>#DIV/0!</v>
      </c>
      <c r="M228" s="175" t="s">
        <v>1131</v>
      </c>
      <c r="N228" s="175">
        <v>1</v>
      </c>
      <c r="O228" s="175"/>
      <c r="P228" s="289"/>
      <c r="Q228" s="289"/>
      <c r="R228" s="289"/>
      <c r="S228" s="289"/>
      <c r="T228" s="289"/>
      <c r="U228" s="289"/>
      <c r="V228" s="289"/>
      <c r="W228" s="289"/>
      <c r="X228" s="289"/>
      <c r="Y228" s="289"/>
      <c r="Z228" s="289"/>
      <c r="AA228" s="289"/>
      <c r="AB228" s="175">
        <f t="shared" si="495"/>
        <v>0</v>
      </c>
      <c r="AC228" s="175">
        <f>AD228*AE228</f>
        <v>0</v>
      </c>
      <c r="AD228" s="297"/>
      <c r="AE228" s="297"/>
      <c r="AF228" s="175">
        <f>AG228*AH228</f>
        <v>0</v>
      </c>
      <c r="AG228" s="297"/>
      <c r="AH228" s="297"/>
      <c r="AI228" s="175">
        <f>AJ228*AK228</f>
        <v>0</v>
      </c>
      <c r="AJ228" s="297"/>
      <c r="AK228" s="297"/>
      <c r="AL228" s="175">
        <f>AM228*AN228</f>
        <v>0</v>
      </c>
      <c r="AM228" s="297"/>
      <c r="AN228" s="297"/>
      <c r="AO228" s="175">
        <f>AP228*AQ228</f>
        <v>0</v>
      </c>
      <c r="AP228" s="297"/>
      <c r="AQ228" s="297"/>
      <c r="AR228" s="175">
        <f>AS228*AT228</f>
        <v>0</v>
      </c>
      <c r="AS228" s="297"/>
      <c r="AT228" s="297"/>
      <c r="AU228" s="175">
        <f>AV228*AW228</f>
        <v>0</v>
      </c>
      <c r="AV228" s="297"/>
      <c r="AW228" s="297"/>
      <c r="AX228" s="175">
        <f>AY228*AZ228</f>
        <v>0</v>
      </c>
      <c r="AY228" s="297"/>
      <c r="AZ228" s="297"/>
      <c r="BA228" s="175">
        <f>BB228*BC228</f>
        <v>0</v>
      </c>
      <c r="BB228" s="297"/>
      <c r="BC228" s="297"/>
      <c r="BD228" s="175">
        <f>BE228*BF228</f>
        <v>0</v>
      </c>
      <c r="BE228" s="297"/>
      <c r="BF228" s="297"/>
      <c r="BG228" s="175">
        <f>BH228*BI228</f>
        <v>0</v>
      </c>
      <c r="BH228" s="297"/>
      <c r="BI228" s="297"/>
      <c r="BJ228" s="175">
        <f>BK228*BL228</f>
        <v>0</v>
      </c>
      <c r="BK228" s="297"/>
      <c r="BL228" s="306"/>
      <c r="BM228" s="310"/>
      <c r="BN228" s="314"/>
    </row>
    <row r="229" s="262" customFormat="1" ht="33.95" hidden="1" customHeight="1" outlineLevel="5" spans="2:66">
      <c r="B229" s="175" t="s">
        <v>747</v>
      </c>
      <c r="C229" s="282" t="s">
        <v>1136</v>
      </c>
      <c r="D229" s="262" t="s">
        <v>1137</v>
      </c>
      <c r="E229" s="175"/>
      <c r="F229" s="175"/>
      <c r="G229" s="175" t="s">
        <v>751</v>
      </c>
      <c r="H229" s="175">
        <f t="shared" si="492"/>
        <v>0</v>
      </c>
      <c r="I229" s="175" t="s">
        <v>1130</v>
      </c>
      <c r="J229" s="175" t="e">
        <f t="shared" si="493"/>
        <v>#DIV/0!</v>
      </c>
      <c r="K229" s="175" t="s">
        <v>1098</v>
      </c>
      <c r="L229" s="175" t="e">
        <f t="shared" si="494"/>
        <v>#DIV/0!</v>
      </c>
      <c r="M229" s="175" t="s">
        <v>1131</v>
      </c>
      <c r="N229" s="175">
        <v>1</v>
      </c>
      <c r="O229" s="175"/>
      <c r="P229" s="289"/>
      <c r="Q229" s="289"/>
      <c r="R229" s="289"/>
      <c r="S229" s="289"/>
      <c r="T229" s="289"/>
      <c r="U229" s="289"/>
      <c r="V229" s="289"/>
      <c r="W229" s="289"/>
      <c r="X229" s="289"/>
      <c r="Y229" s="289"/>
      <c r="Z229" s="289"/>
      <c r="AA229" s="289"/>
      <c r="AB229" s="175">
        <f t="shared" si="495"/>
        <v>0</v>
      </c>
      <c r="AC229" s="175">
        <f>AD229*AE229</f>
        <v>0</v>
      </c>
      <c r="AD229" s="297"/>
      <c r="AE229" s="297"/>
      <c r="AF229" s="175">
        <f>AG229*AH229</f>
        <v>0</v>
      </c>
      <c r="AG229" s="297"/>
      <c r="AH229" s="297"/>
      <c r="AI229" s="175">
        <f>AJ229*AK229</f>
        <v>0</v>
      </c>
      <c r="AJ229" s="297"/>
      <c r="AK229" s="297"/>
      <c r="AL229" s="175">
        <f>AM229*AN229</f>
        <v>0</v>
      </c>
      <c r="AM229" s="297"/>
      <c r="AN229" s="297"/>
      <c r="AO229" s="175">
        <f>AP229*AQ229</f>
        <v>0</v>
      </c>
      <c r="AP229" s="297"/>
      <c r="AQ229" s="297"/>
      <c r="AR229" s="175">
        <f>AS229*AT229</f>
        <v>0</v>
      </c>
      <c r="AS229" s="297"/>
      <c r="AT229" s="297"/>
      <c r="AU229" s="175">
        <f>AV229*AW229</f>
        <v>0</v>
      </c>
      <c r="AV229" s="297"/>
      <c r="AW229" s="297"/>
      <c r="AX229" s="175">
        <f>AY229*AZ229</f>
        <v>0</v>
      </c>
      <c r="AY229" s="297"/>
      <c r="AZ229" s="297"/>
      <c r="BA229" s="175">
        <f>BB229*BC229</f>
        <v>0</v>
      </c>
      <c r="BB229" s="297"/>
      <c r="BC229" s="297"/>
      <c r="BD229" s="175">
        <f>BE229*BF229</f>
        <v>0</v>
      </c>
      <c r="BE229" s="297"/>
      <c r="BF229" s="297"/>
      <c r="BG229" s="175">
        <f>BH229*BI229</f>
        <v>0</v>
      </c>
      <c r="BH229" s="297"/>
      <c r="BI229" s="297"/>
      <c r="BJ229" s="175">
        <f>BK229*BL229</f>
        <v>0</v>
      </c>
      <c r="BK229" s="297"/>
      <c r="BL229" s="306"/>
      <c r="BM229" s="310"/>
      <c r="BN229" s="314"/>
    </row>
    <row r="230" s="118" customFormat="1" ht="33.95" hidden="1" customHeight="1" outlineLevel="4" spans="2:66">
      <c r="B230" s="119" t="s">
        <v>747</v>
      </c>
      <c r="C230" s="120" t="s">
        <v>1132</v>
      </c>
      <c r="D230" s="118" t="s">
        <v>1138</v>
      </c>
      <c r="E230" s="119" t="s">
        <v>1139</v>
      </c>
      <c r="F230" s="119"/>
      <c r="G230" s="119" t="s">
        <v>891</v>
      </c>
      <c r="H230" s="119">
        <f t="shared" si="492"/>
        <v>0</v>
      </c>
      <c r="I230" s="119" t="s">
        <v>980</v>
      </c>
      <c r="J230" s="119">
        <f>AVERAGE('1-1 项目基础信息'!$H$9:$S$9)</f>
        <v>5829.78</v>
      </c>
      <c r="K230" s="119" t="s">
        <v>981</v>
      </c>
      <c r="L230" s="297"/>
      <c r="M230" s="119" t="s">
        <v>754</v>
      </c>
      <c r="N230" s="119">
        <f>COUNTA(O230:Z230)</f>
        <v>0</v>
      </c>
      <c r="O230" s="297"/>
      <c r="P230" s="297"/>
      <c r="Q230" s="297"/>
      <c r="R230" s="297"/>
      <c r="S230" s="297"/>
      <c r="T230" s="297"/>
      <c r="U230" s="297"/>
      <c r="V230" s="297"/>
      <c r="W230" s="297"/>
      <c r="X230" s="297"/>
      <c r="Y230" s="297"/>
      <c r="Z230" s="297"/>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5"/>
      <c r="BM230" s="310"/>
      <c r="BN230" s="313"/>
    </row>
    <row r="231" s="118" customFormat="1" ht="33.95" hidden="1" customHeight="1" outlineLevel="4" spans="2:66">
      <c r="B231" s="119" t="s">
        <v>747</v>
      </c>
      <c r="C231" s="120" t="s">
        <v>1134</v>
      </c>
      <c r="D231" s="118" t="s">
        <v>1140</v>
      </c>
      <c r="E231" s="119" t="s">
        <v>1141</v>
      </c>
      <c r="F231" s="119"/>
      <c r="G231" s="119" t="s">
        <v>891</v>
      </c>
      <c r="H231" s="119">
        <f t="shared" si="492"/>
        <v>0</v>
      </c>
      <c r="I231" s="119" t="s">
        <v>980</v>
      </c>
      <c r="J231" s="119">
        <f>AVERAGE('1-1 项目基础信息'!$H$9:$S$9)</f>
        <v>5829.78</v>
      </c>
      <c r="K231" s="119" t="s">
        <v>981</v>
      </c>
      <c r="L231" s="297"/>
      <c r="M231" s="119" t="s">
        <v>754</v>
      </c>
      <c r="N231" s="119">
        <f>COUNTA(O231:Z231)</f>
        <v>0</v>
      </c>
      <c r="O231" s="297"/>
      <c r="P231" s="297"/>
      <c r="Q231" s="297"/>
      <c r="R231" s="297"/>
      <c r="S231" s="297"/>
      <c r="T231" s="297"/>
      <c r="U231" s="297"/>
      <c r="V231" s="297"/>
      <c r="W231" s="297"/>
      <c r="X231" s="297"/>
      <c r="Y231" s="297"/>
      <c r="Z231" s="297"/>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5"/>
      <c r="BM231" s="310"/>
      <c r="BN231" s="313"/>
    </row>
    <row r="232" s="118" customFormat="1" ht="33.95" hidden="1" customHeight="1" outlineLevel="4" spans="2:66">
      <c r="B232" s="119" t="s">
        <v>747</v>
      </c>
      <c r="C232" s="120" t="s">
        <v>1136</v>
      </c>
      <c r="D232" s="118" t="s">
        <v>1142</v>
      </c>
      <c r="E232" s="119" t="s">
        <v>1143</v>
      </c>
      <c r="F232" s="119"/>
      <c r="G232" s="119" t="s">
        <v>891</v>
      </c>
      <c r="H232" s="119">
        <f t="shared" si="492"/>
        <v>0</v>
      </c>
      <c r="I232" s="119" t="s">
        <v>980</v>
      </c>
      <c r="J232" s="119">
        <f>AVERAGE('1-1 项目基础信息'!$H$9:$S$9)</f>
        <v>5829.78</v>
      </c>
      <c r="K232" s="119" t="s">
        <v>981</v>
      </c>
      <c r="L232" s="297"/>
      <c r="M232" s="119" t="s">
        <v>1144</v>
      </c>
      <c r="N232" s="119">
        <f t="shared" ref="N232:N235" si="508">COUNTA(O232:Z232)</f>
        <v>0</v>
      </c>
      <c r="O232" s="297"/>
      <c r="P232" s="297"/>
      <c r="Q232" s="297"/>
      <c r="R232" s="297"/>
      <c r="S232" s="297"/>
      <c r="T232" s="297"/>
      <c r="U232" s="297"/>
      <c r="V232" s="297"/>
      <c r="W232" s="297"/>
      <c r="X232" s="297"/>
      <c r="Y232" s="297"/>
      <c r="Z232" s="297"/>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5"/>
      <c r="BM232" s="310"/>
      <c r="BN232" s="313"/>
    </row>
    <row r="233" s="118" customFormat="1" ht="33.95" hidden="1" customHeight="1" outlineLevel="4" spans="2:66">
      <c r="B233" s="119" t="s">
        <v>747</v>
      </c>
      <c r="C233" s="120" t="s">
        <v>1145</v>
      </c>
      <c r="D233" s="118" t="s">
        <v>1146</v>
      </c>
      <c r="E233" s="119" t="s">
        <v>1147</v>
      </c>
      <c r="F233" s="119"/>
      <c r="G233" s="119" t="s">
        <v>891</v>
      </c>
      <c r="H233" s="119">
        <f t="shared" si="492"/>
        <v>0</v>
      </c>
      <c r="I233" s="119" t="s">
        <v>1148</v>
      </c>
      <c r="J233" s="297"/>
      <c r="K233" s="119" t="s">
        <v>1149</v>
      </c>
      <c r="L233" s="297"/>
      <c r="M233" s="119" t="s">
        <v>1150</v>
      </c>
      <c r="N233" s="119">
        <f t="shared" si="508"/>
        <v>0</v>
      </c>
      <c r="O233" s="297"/>
      <c r="P233" s="297"/>
      <c r="Q233" s="297"/>
      <c r="R233" s="297"/>
      <c r="S233" s="297"/>
      <c r="T233" s="297"/>
      <c r="U233" s="297"/>
      <c r="V233" s="297"/>
      <c r="W233" s="297"/>
      <c r="X233" s="297"/>
      <c r="Y233" s="297"/>
      <c r="Z233" s="297"/>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5"/>
      <c r="BM233" s="310"/>
      <c r="BN233" s="313"/>
    </row>
    <row r="234" s="118" customFormat="1" ht="33.95" hidden="1" customHeight="1" outlineLevel="4" spans="2:66">
      <c r="B234" s="119" t="s">
        <v>747</v>
      </c>
      <c r="C234" s="120" t="s">
        <v>1151</v>
      </c>
      <c r="D234" s="118" t="s">
        <v>1152</v>
      </c>
      <c r="E234" s="119" t="s">
        <v>1153</v>
      </c>
      <c r="F234" s="119"/>
      <c r="G234" s="119" t="s">
        <v>891</v>
      </c>
      <c r="H234" s="119">
        <f t="shared" si="492"/>
        <v>0</v>
      </c>
      <c r="I234" s="119" t="s">
        <v>1148</v>
      </c>
      <c r="J234" s="297"/>
      <c r="K234" s="119" t="s">
        <v>1149</v>
      </c>
      <c r="L234" s="297"/>
      <c r="M234" s="119" t="s">
        <v>1150</v>
      </c>
      <c r="N234" s="119">
        <f t="shared" si="508"/>
        <v>0</v>
      </c>
      <c r="O234" s="297"/>
      <c r="P234" s="297"/>
      <c r="Q234" s="297"/>
      <c r="R234" s="297"/>
      <c r="S234" s="297"/>
      <c r="T234" s="297"/>
      <c r="U234" s="297"/>
      <c r="V234" s="297"/>
      <c r="W234" s="297"/>
      <c r="X234" s="297"/>
      <c r="Y234" s="297"/>
      <c r="Z234" s="297"/>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5"/>
      <c r="BM234" s="310"/>
      <c r="BN234" s="313"/>
    </row>
    <row r="235" s="118" customFormat="1" ht="33.95" hidden="1" customHeight="1" outlineLevel="4" spans="2:66">
      <c r="B235" s="119" t="s">
        <v>747</v>
      </c>
      <c r="C235" s="120" t="s">
        <v>1154</v>
      </c>
      <c r="D235" s="118" t="s">
        <v>1155</v>
      </c>
      <c r="E235" s="119" t="s">
        <v>1156</v>
      </c>
      <c r="F235" s="119"/>
      <c r="G235" s="119" t="s">
        <v>891</v>
      </c>
      <c r="H235" s="119">
        <f t="shared" si="492"/>
        <v>0</v>
      </c>
      <c r="I235" s="119" t="s">
        <v>980</v>
      </c>
      <c r="J235" s="119">
        <f>AVERAGE('1-1 项目基础信息'!$H$9:$S$9)</f>
        <v>5829.78</v>
      </c>
      <c r="K235" s="119" t="s">
        <v>981</v>
      </c>
      <c r="L235" s="297"/>
      <c r="M235" s="119" t="s">
        <v>754</v>
      </c>
      <c r="N235" s="119">
        <f t="shared" si="508"/>
        <v>0</v>
      </c>
      <c r="O235" s="297"/>
      <c r="P235" s="315"/>
      <c r="Q235" s="315"/>
      <c r="R235" s="315"/>
      <c r="S235" s="315"/>
      <c r="T235" s="315"/>
      <c r="U235" s="315"/>
      <c r="V235" s="315"/>
      <c r="W235" s="315"/>
      <c r="X235" s="315"/>
      <c r="Y235" s="315"/>
      <c r="Z235" s="315"/>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5"/>
      <c r="BM235" s="310"/>
      <c r="BN235" s="313"/>
    </row>
    <row r="236" s="48" customFormat="1" ht="33.95" hidden="1" customHeight="1" outlineLevel="3" collapsed="1" spans="2:66">
      <c r="B236" s="115" t="s">
        <v>742</v>
      </c>
      <c r="C236" s="116" t="s">
        <v>38</v>
      </c>
      <c r="D236" s="48" t="s">
        <v>39</v>
      </c>
      <c r="E236" s="115"/>
      <c r="F236" s="115"/>
      <c r="G236" s="115"/>
      <c r="H236" s="115">
        <f>H237+H238</f>
        <v>0</v>
      </c>
      <c r="I236" s="115"/>
      <c r="J236" s="115"/>
      <c r="K236" s="115"/>
      <c r="L236" s="115"/>
      <c r="M236" s="115"/>
      <c r="N236" s="115"/>
      <c r="O236" s="115"/>
      <c r="P236" s="287"/>
      <c r="Q236" s="287"/>
      <c r="R236" s="287"/>
      <c r="S236" s="287"/>
      <c r="T236" s="287"/>
      <c r="U236" s="287"/>
      <c r="V236" s="287"/>
      <c r="W236" s="287"/>
      <c r="X236" s="287"/>
      <c r="Y236" s="287"/>
      <c r="Z236" s="287"/>
      <c r="AA236" s="287"/>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4"/>
      <c r="BM236" s="310"/>
      <c r="BN236" s="312"/>
    </row>
    <row r="237" s="118" customFormat="1" ht="33.95" hidden="1" customHeight="1" outlineLevel="4" spans="2:66">
      <c r="B237" s="119" t="s">
        <v>747</v>
      </c>
      <c r="C237" s="120" t="s">
        <v>1157</v>
      </c>
      <c r="D237" s="118" t="s">
        <v>1158</v>
      </c>
      <c r="E237" s="119" t="s">
        <v>1159</v>
      </c>
      <c r="F237" s="119"/>
      <c r="G237" s="119" t="s">
        <v>891</v>
      </c>
      <c r="H237" s="119">
        <f t="shared" ref="H237:H240" si="510">IFERROR(J237*L237*N237,0)</f>
        <v>0</v>
      </c>
      <c r="I237" s="119" t="s">
        <v>980</v>
      </c>
      <c r="J237" s="119">
        <f>AVERAGE('1-1 项目基础信息'!$H$9:$S$9)</f>
        <v>5829.78</v>
      </c>
      <c r="K237" s="119" t="s">
        <v>981</v>
      </c>
      <c r="L237" s="297"/>
      <c r="M237" s="119" t="s">
        <v>754</v>
      </c>
      <c r="N237" s="119">
        <f t="shared" ref="N237:N240" si="511">COUNTA(O237:Z237)</f>
        <v>0</v>
      </c>
      <c r="O237" s="297"/>
      <c r="P237" s="316"/>
      <c r="Q237" s="316"/>
      <c r="R237" s="316"/>
      <c r="S237" s="316"/>
      <c r="T237" s="316"/>
      <c r="U237" s="316"/>
      <c r="V237" s="316"/>
      <c r="W237" s="316"/>
      <c r="X237" s="316"/>
      <c r="Y237" s="316"/>
      <c r="Z237" s="316"/>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5"/>
      <c r="BM237" s="310"/>
      <c r="BN237" s="313"/>
    </row>
    <row r="238" s="118" customFormat="1" ht="33.95" hidden="1" customHeight="1" outlineLevel="4" spans="2:66">
      <c r="B238" s="119" t="s">
        <v>747</v>
      </c>
      <c r="C238" s="120" t="s">
        <v>1160</v>
      </c>
      <c r="D238" s="118" t="s">
        <v>1161</v>
      </c>
      <c r="E238" s="119" t="s">
        <v>1162</v>
      </c>
      <c r="F238" s="119"/>
      <c r="G238" s="119" t="s">
        <v>891</v>
      </c>
      <c r="H238" s="119">
        <f t="shared" si="510"/>
        <v>0</v>
      </c>
      <c r="I238" s="119" t="s">
        <v>980</v>
      </c>
      <c r="J238" s="119">
        <f>AVERAGE('1-1 项目基础信息'!$H$9:$S$9)</f>
        <v>5829.78</v>
      </c>
      <c r="K238" s="119" t="s">
        <v>981</v>
      </c>
      <c r="L238" s="297"/>
      <c r="M238" s="119" t="s">
        <v>754</v>
      </c>
      <c r="N238" s="119">
        <f t="shared" si="511"/>
        <v>0</v>
      </c>
      <c r="O238" s="297"/>
      <c r="P238" s="297"/>
      <c r="Q238" s="297"/>
      <c r="R238" s="297"/>
      <c r="S238" s="297"/>
      <c r="T238" s="297"/>
      <c r="U238" s="297"/>
      <c r="V238" s="297"/>
      <c r="W238" s="297"/>
      <c r="X238" s="297"/>
      <c r="Y238" s="297"/>
      <c r="Z238" s="297"/>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5"/>
      <c r="BM238" s="310"/>
      <c r="BN238" s="313"/>
    </row>
    <row r="239" s="48" customFormat="1" ht="33.95" hidden="1" customHeight="1" outlineLevel="3" collapsed="1" spans="2:66">
      <c r="B239" s="115" t="s">
        <v>742</v>
      </c>
      <c r="C239" s="116" t="s">
        <v>40</v>
      </c>
      <c r="D239" s="48" t="s">
        <v>41</v>
      </c>
      <c r="E239" s="115"/>
      <c r="F239" s="115"/>
      <c r="G239" s="115"/>
      <c r="H239" s="115">
        <f>H240+H241</f>
        <v>0</v>
      </c>
      <c r="I239" s="115"/>
      <c r="J239" s="115"/>
      <c r="K239" s="115"/>
      <c r="L239" s="115"/>
      <c r="M239" s="115"/>
      <c r="N239" s="115"/>
      <c r="O239" s="115"/>
      <c r="P239" s="287"/>
      <c r="Q239" s="287"/>
      <c r="R239" s="287"/>
      <c r="S239" s="287"/>
      <c r="T239" s="287"/>
      <c r="U239" s="287"/>
      <c r="V239" s="287"/>
      <c r="W239" s="287"/>
      <c r="X239" s="287"/>
      <c r="Y239" s="287"/>
      <c r="Z239" s="287"/>
      <c r="AA239" s="287"/>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4"/>
      <c r="BM239" s="310"/>
      <c r="BN239" s="312"/>
    </row>
    <row r="240" s="118" customFormat="1" ht="33.95" hidden="1" customHeight="1" outlineLevel="4" spans="2:66">
      <c r="B240" s="119" t="s">
        <v>747</v>
      </c>
      <c r="C240" s="120" t="s">
        <v>1163</v>
      </c>
      <c r="D240" s="118" t="s">
        <v>1164</v>
      </c>
      <c r="E240" s="119" t="s">
        <v>1165</v>
      </c>
      <c r="F240" s="119"/>
      <c r="G240" s="119" t="s">
        <v>891</v>
      </c>
      <c r="H240" s="119">
        <f t="shared" si="510"/>
        <v>0</v>
      </c>
      <c r="I240" s="119" t="s">
        <v>980</v>
      </c>
      <c r="J240" s="119">
        <f>AVERAGE('1-1 项目基础信息'!$H$9:$S$9)</f>
        <v>5829.78</v>
      </c>
      <c r="K240" s="119" t="s">
        <v>981</v>
      </c>
      <c r="L240" s="297"/>
      <c r="M240" s="119" t="s">
        <v>754</v>
      </c>
      <c r="N240" s="119">
        <f t="shared" si="511"/>
        <v>0</v>
      </c>
      <c r="O240" s="297"/>
      <c r="P240" s="297"/>
      <c r="Q240" s="297"/>
      <c r="R240" s="297"/>
      <c r="S240" s="297"/>
      <c r="T240" s="297"/>
      <c r="U240" s="297"/>
      <c r="V240" s="297"/>
      <c r="W240" s="297"/>
      <c r="X240" s="297"/>
      <c r="Y240" s="297"/>
      <c r="Z240" s="297"/>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5"/>
      <c r="BM240" s="310"/>
      <c r="BN240" s="313"/>
    </row>
    <row r="241" s="118" customFormat="1" ht="33.95" hidden="1" customHeight="1" outlineLevel="4" collapsed="1" spans="2:66">
      <c r="B241" s="119" t="s">
        <v>742</v>
      </c>
      <c r="C241" s="120" t="s">
        <v>1166</v>
      </c>
      <c r="D241" s="118" t="s">
        <v>1167</v>
      </c>
      <c r="E241" s="119"/>
      <c r="F241" s="119"/>
      <c r="G241" s="119"/>
      <c r="H241" s="119">
        <f>SUM(H242:H246)</f>
        <v>0</v>
      </c>
      <c r="I241" s="119"/>
      <c r="J241" s="119"/>
      <c r="K241" s="119"/>
      <c r="L241" s="119"/>
      <c r="M241" s="119"/>
      <c r="N241" s="119"/>
      <c r="O241" s="119"/>
      <c r="P241" s="288"/>
      <c r="Q241" s="288"/>
      <c r="R241" s="288"/>
      <c r="S241" s="288"/>
      <c r="T241" s="288"/>
      <c r="U241" s="288"/>
      <c r="V241" s="288"/>
      <c r="W241" s="288"/>
      <c r="X241" s="288"/>
      <c r="Y241" s="288"/>
      <c r="Z241" s="288"/>
      <c r="AA241" s="288"/>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5"/>
      <c r="BM241" s="310"/>
      <c r="BN241" s="313"/>
    </row>
    <row r="242" s="262" customFormat="1" ht="33.95" hidden="1" customHeight="1" outlineLevel="5" spans="2:66">
      <c r="B242" s="175" t="s">
        <v>747</v>
      </c>
      <c r="C242" s="282" t="s">
        <v>1168</v>
      </c>
      <c r="D242" s="262" t="s">
        <v>1169</v>
      </c>
      <c r="E242" s="175" t="s">
        <v>1170</v>
      </c>
      <c r="F242" s="175"/>
      <c r="G242" s="175" t="s">
        <v>891</v>
      </c>
      <c r="H242" s="175">
        <f t="shared" ref="H242:H246" si="527">IFERROR(J242*L242*N242,0)</f>
        <v>0</v>
      </c>
      <c r="I242" s="175" t="s">
        <v>1171</v>
      </c>
      <c r="J242" s="297"/>
      <c r="K242" s="175" t="s">
        <v>1172</v>
      </c>
      <c r="L242" s="297"/>
      <c r="M242" s="175" t="s">
        <v>1173</v>
      </c>
      <c r="N242" s="175">
        <f t="shared" ref="N242:N246" si="528">COUNTA(O242:Z242)</f>
        <v>0</v>
      </c>
      <c r="O242" s="297"/>
      <c r="P242" s="316"/>
      <c r="Q242" s="316"/>
      <c r="R242" s="316"/>
      <c r="S242" s="316"/>
      <c r="T242" s="316"/>
      <c r="U242" s="316"/>
      <c r="V242" s="316"/>
      <c r="W242" s="316"/>
      <c r="X242" s="316"/>
      <c r="Y242" s="316"/>
      <c r="Z242" s="316"/>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19"/>
      <c r="BM242" s="310"/>
      <c r="BN242" s="314"/>
    </row>
    <row r="243" s="262" customFormat="1" ht="33.95" hidden="1" customHeight="1" outlineLevel="5" spans="2:66">
      <c r="B243" s="175" t="s">
        <v>747</v>
      </c>
      <c r="C243" s="282" t="s">
        <v>1174</v>
      </c>
      <c r="D243" s="262" t="s">
        <v>1175</v>
      </c>
      <c r="E243" s="175" t="s">
        <v>1176</v>
      </c>
      <c r="F243" s="175"/>
      <c r="G243" s="175" t="s">
        <v>891</v>
      </c>
      <c r="H243" s="175">
        <f t="shared" si="527"/>
        <v>0</v>
      </c>
      <c r="I243" s="175" t="s">
        <v>1177</v>
      </c>
      <c r="J243" s="297"/>
      <c r="K243" s="175" t="s">
        <v>1172</v>
      </c>
      <c r="L243" s="297"/>
      <c r="M243" s="175" t="s">
        <v>1173</v>
      </c>
      <c r="N243" s="175">
        <f t="shared" si="528"/>
        <v>0</v>
      </c>
      <c r="O243" s="297"/>
      <c r="P243" s="297"/>
      <c r="Q243" s="297"/>
      <c r="R243" s="297"/>
      <c r="S243" s="297"/>
      <c r="T243" s="297"/>
      <c r="U243" s="297"/>
      <c r="V243" s="297"/>
      <c r="W243" s="297"/>
      <c r="X243" s="297"/>
      <c r="Y243" s="297"/>
      <c r="Z243" s="297"/>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19"/>
      <c r="BM243" s="310"/>
      <c r="BN243" s="314"/>
    </row>
    <row r="244" s="262" customFormat="1" ht="33.95" hidden="1" customHeight="1" outlineLevel="5" spans="2:66">
      <c r="B244" s="175" t="s">
        <v>747</v>
      </c>
      <c r="C244" s="282" t="s">
        <v>1178</v>
      </c>
      <c r="D244" s="262" t="s">
        <v>1179</v>
      </c>
      <c r="E244" s="175" t="s">
        <v>1180</v>
      </c>
      <c r="F244" s="175"/>
      <c r="G244" s="175" t="s">
        <v>891</v>
      </c>
      <c r="H244" s="175">
        <f t="shared" si="527"/>
        <v>0</v>
      </c>
      <c r="I244" s="175" t="s">
        <v>1181</v>
      </c>
      <c r="J244" s="297"/>
      <c r="K244" s="175" t="s">
        <v>1182</v>
      </c>
      <c r="L244" s="297"/>
      <c r="M244" s="175" t="s">
        <v>1183</v>
      </c>
      <c r="N244" s="175">
        <f t="shared" si="528"/>
        <v>0</v>
      </c>
      <c r="O244" s="297"/>
      <c r="P244" s="297"/>
      <c r="Q244" s="297"/>
      <c r="R244" s="297"/>
      <c r="S244" s="297"/>
      <c r="T244" s="297"/>
      <c r="U244" s="297"/>
      <c r="V244" s="297"/>
      <c r="W244" s="297"/>
      <c r="X244" s="297"/>
      <c r="Y244" s="297"/>
      <c r="Z244" s="297"/>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19"/>
      <c r="BM244" s="310"/>
      <c r="BN244" s="314"/>
    </row>
    <row r="245" s="262" customFormat="1" ht="33.95" hidden="1" customHeight="1" outlineLevel="5" spans="2:66">
      <c r="B245" s="175" t="s">
        <v>747</v>
      </c>
      <c r="C245" s="282" t="s">
        <v>1184</v>
      </c>
      <c r="D245" s="262" t="s">
        <v>1185</v>
      </c>
      <c r="E245" s="175" t="s">
        <v>1186</v>
      </c>
      <c r="F245" s="175"/>
      <c r="G245" s="175" t="s">
        <v>891</v>
      </c>
      <c r="H245" s="175">
        <f t="shared" si="527"/>
        <v>0</v>
      </c>
      <c r="I245" s="175" t="s">
        <v>1181</v>
      </c>
      <c r="J245" s="297"/>
      <c r="K245" s="175" t="s">
        <v>1182</v>
      </c>
      <c r="L245" s="297"/>
      <c r="M245" s="175" t="s">
        <v>1183</v>
      </c>
      <c r="N245" s="175">
        <f t="shared" si="528"/>
        <v>0</v>
      </c>
      <c r="O245" s="297"/>
      <c r="P245" s="297"/>
      <c r="Q245" s="297"/>
      <c r="R245" s="297"/>
      <c r="S245" s="297"/>
      <c r="T245" s="297"/>
      <c r="U245" s="297"/>
      <c r="V245" s="297"/>
      <c r="W245" s="297"/>
      <c r="X245" s="297"/>
      <c r="Y245" s="297"/>
      <c r="Z245" s="297"/>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19"/>
      <c r="BM245" s="310"/>
      <c r="BN245" s="314"/>
    </row>
    <row r="246" s="262" customFormat="1" ht="33.95" hidden="1" customHeight="1" outlineLevel="5" spans="2:66">
      <c r="B246" s="175" t="s">
        <v>747</v>
      </c>
      <c r="C246" s="282" t="s">
        <v>1187</v>
      </c>
      <c r="D246" s="262" t="s">
        <v>1188</v>
      </c>
      <c r="E246" s="175" t="s">
        <v>1189</v>
      </c>
      <c r="F246" s="175"/>
      <c r="G246" s="175" t="s">
        <v>891</v>
      </c>
      <c r="H246" s="175">
        <f t="shared" si="527"/>
        <v>0</v>
      </c>
      <c r="I246" s="175" t="s">
        <v>1190</v>
      </c>
      <c r="J246" s="175">
        <v>1</v>
      </c>
      <c r="K246" s="175" t="s">
        <v>1191</v>
      </c>
      <c r="L246" s="297"/>
      <c r="M246" s="175" t="s">
        <v>1192</v>
      </c>
      <c r="N246" s="175">
        <f t="shared" si="528"/>
        <v>0</v>
      </c>
      <c r="O246" s="297"/>
      <c r="P246" s="315"/>
      <c r="Q246" s="315"/>
      <c r="R246" s="315"/>
      <c r="S246" s="315"/>
      <c r="T246" s="315"/>
      <c r="U246" s="315"/>
      <c r="V246" s="315"/>
      <c r="W246" s="315"/>
      <c r="X246" s="315"/>
      <c r="Y246" s="315"/>
      <c r="Z246" s="315"/>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19"/>
      <c r="BM246" s="310"/>
      <c r="BN246" s="314"/>
    </row>
    <row r="247" s="48" customFormat="1" ht="33.95" hidden="1" customHeight="1" outlineLevel="3" collapsed="1" spans="2:66">
      <c r="B247" s="115" t="s">
        <v>742</v>
      </c>
      <c r="C247" s="116" t="s">
        <v>42</v>
      </c>
      <c r="D247" s="48" t="s">
        <v>43</v>
      </c>
      <c r="E247" s="115"/>
      <c r="F247" s="115"/>
      <c r="G247" s="115"/>
      <c r="H247" s="115">
        <f>H248+H249+H250+H251+H252+H253+H254+H255+H256+H257</f>
        <v>0</v>
      </c>
      <c r="I247" s="115"/>
      <c r="J247" s="115"/>
      <c r="K247" s="115"/>
      <c r="L247" s="115"/>
      <c r="M247" s="115"/>
      <c r="N247" s="115"/>
      <c r="O247" s="115"/>
      <c r="P247" s="287"/>
      <c r="Q247" s="287"/>
      <c r="R247" s="287"/>
      <c r="S247" s="287"/>
      <c r="T247" s="287"/>
      <c r="U247" s="287"/>
      <c r="V247" s="287"/>
      <c r="W247" s="287"/>
      <c r="X247" s="287"/>
      <c r="Y247" s="287"/>
      <c r="Z247" s="287"/>
      <c r="AA247" s="287"/>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4"/>
      <c r="BM247" s="310"/>
      <c r="BN247" s="312"/>
    </row>
    <row r="248" s="118" customFormat="1" ht="33.95" hidden="1" customHeight="1" outlineLevel="4" spans="2:66">
      <c r="B248" s="119" t="s">
        <v>747</v>
      </c>
      <c r="C248" s="120" t="s">
        <v>1193</v>
      </c>
      <c r="D248" s="118" t="s">
        <v>1194</v>
      </c>
      <c r="E248" s="119" t="s">
        <v>1195</v>
      </c>
      <c r="F248" s="119"/>
      <c r="G248" s="119" t="s">
        <v>891</v>
      </c>
      <c r="H248" s="119">
        <f t="shared" ref="H248:H256" si="543">IFERROR(J248*L248*N248,0)</f>
        <v>0</v>
      </c>
      <c r="I248" s="119" t="s">
        <v>980</v>
      </c>
      <c r="J248" s="119">
        <f>AVERAGE('1-1 项目基础信息'!$H$9:$S$9)</f>
        <v>5829.78</v>
      </c>
      <c r="K248" s="119" t="s">
        <v>981</v>
      </c>
      <c r="L248" s="297"/>
      <c r="M248" s="119" t="s">
        <v>754</v>
      </c>
      <c r="N248" s="119">
        <f t="shared" ref="N248:N256" si="544">COUNTA(O248:Z248)</f>
        <v>0</v>
      </c>
      <c r="O248" s="297"/>
      <c r="P248" s="297"/>
      <c r="Q248" s="297"/>
      <c r="R248" s="297"/>
      <c r="S248" s="297"/>
      <c r="T248" s="297"/>
      <c r="U248" s="297"/>
      <c r="V248" s="297"/>
      <c r="W248" s="297"/>
      <c r="X248" s="297"/>
      <c r="Y248" s="297"/>
      <c r="Z248" s="297"/>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5"/>
      <c r="BM248" s="310"/>
      <c r="BN248" s="313"/>
    </row>
    <row r="249" s="118" customFormat="1" ht="33.95" hidden="1" customHeight="1" outlineLevel="4" spans="2:66">
      <c r="B249" s="119" t="s">
        <v>747</v>
      </c>
      <c r="C249" s="120" t="s">
        <v>1196</v>
      </c>
      <c r="D249" s="118" t="s">
        <v>1197</v>
      </c>
      <c r="E249" s="119" t="s">
        <v>1198</v>
      </c>
      <c r="F249" s="119"/>
      <c r="G249" s="119" t="s">
        <v>891</v>
      </c>
      <c r="H249" s="119">
        <f t="shared" si="543"/>
        <v>0</v>
      </c>
      <c r="I249" s="119" t="s">
        <v>980</v>
      </c>
      <c r="J249" s="119">
        <f>AVERAGE('1-1 项目基础信息'!$H$9:$S$9)</f>
        <v>5829.78</v>
      </c>
      <c r="K249" s="119" t="s">
        <v>981</v>
      </c>
      <c r="L249" s="297"/>
      <c r="M249" s="119" t="s">
        <v>754</v>
      </c>
      <c r="N249" s="119">
        <f t="shared" si="544"/>
        <v>0</v>
      </c>
      <c r="O249" s="297"/>
      <c r="P249" s="297"/>
      <c r="Q249" s="297"/>
      <c r="R249" s="297"/>
      <c r="S249" s="297"/>
      <c r="T249" s="297"/>
      <c r="U249" s="297"/>
      <c r="V249" s="297"/>
      <c r="W249" s="297"/>
      <c r="X249" s="297"/>
      <c r="Y249" s="297"/>
      <c r="Z249" s="297"/>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5"/>
      <c r="BM249" s="310"/>
      <c r="BN249" s="313"/>
    </row>
    <row r="250" s="118" customFormat="1" ht="33.95" hidden="1" customHeight="1" outlineLevel="4" spans="2:66">
      <c r="B250" s="119" t="s">
        <v>747</v>
      </c>
      <c r="C250" s="120" t="s">
        <v>1199</v>
      </c>
      <c r="D250" s="118" t="s">
        <v>1200</v>
      </c>
      <c r="E250" s="119"/>
      <c r="F250" s="119"/>
      <c r="G250" s="119" t="s">
        <v>891</v>
      </c>
      <c r="H250" s="119">
        <f t="shared" si="543"/>
        <v>0</v>
      </c>
      <c r="I250" s="119" t="s">
        <v>980</v>
      </c>
      <c r="J250" s="119">
        <f>AVERAGE('1-1 项目基础信息'!$H$9:$S$9)</f>
        <v>5829.78</v>
      </c>
      <c r="K250" s="119" t="s">
        <v>981</v>
      </c>
      <c r="L250" s="297"/>
      <c r="M250" s="119" t="s">
        <v>754</v>
      </c>
      <c r="N250" s="119">
        <f t="shared" si="544"/>
        <v>0</v>
      </c>
      <c r="O250" s="297"/>
      <c r="P250" s="297"/>
      <c r="Q250" s="297"/>
      <c r="R250" s="297"/>
      <c r="S250" s="297"/>
      <c r="T250" s="297"/>
      <c r="U250" s="297"/>
      <c r="V250" s="297"/>
      <c r="W250" s="297"/>
      <c r="X250" s="297"/>
      <c r="Y250" s="297"/>
      <c r="Z250" s="297"/>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5"/>
      <c r="BM250" s="310"/>
      <c r="BN250" s="313"/>
    </row>
    <row r="251" s="118" customFormat="1" ht="33.95" hidden="1" customHeight="1" outlineLevel="4" spans="2:66">
      <c r="B251" s="119" t="s">
        <v>747</v>
      </c>
      <c r="C251" s="120" t="s">
        <v>1201</v>
      </c>
      <c r="D251" s="118" t="s">
        <v>1202</v>
      </c>
      <c r="E251" s="119" t="s">
        <v>1203</v>
      </c>
      <c r="F251" s="119"/>
      <c r="G251" s="119" t="s">
        <v>891</v>
      </c>
      <c r="H251" s="119">
        <f t="shared" si="543"/>
        <v>0</v>
      </c>
      <c r="I251" s="119" t="s">
        <v>980</v>
      </c>
      <c r="J251" s="119">
        <f>AVERAGE('1-1 项目基础信息'!$H$9:$S$9)</f>
        <v>5829.78</v>
      </c>
      <c r="K251" s="119" t="s">
        <v>981</v>
      </c>
      <c r="L251" s="297"/>
      <c r="M251" s="119" t="s">
        <v>754</v>
      </c>
      <c r="N251" s="119">
        <f t="shared" si="544"/>
        <v>0</v>
      </c>
      <c r="O251" s="297"/>
      <c r="P251" s="297"/>
      <c r="Q251" s="297"/>
      <c r="R251" s="297"/>
      <c r="S251" s="297"/>
      <c r="T251" s="297"/>
      <c r="U251" s="297"/>
      <c r="V251" s="297"/>
      <c r="W251" s="297"/>
      <c r="X251" s="297"/>
      <c r="Y251" s="297"/>
      <c r="Z251" s="297"/>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5"/>
      <c r="BM251" s="310"/>
      <c r="BN251" s="313"/>
    </row>
    <row r="252" s="118" customFormat="1" ht="33.95" hidden="1" customHeight="1" outlineLevel="4" spans="2:66">
      <c r="B252" s="119" t="s">
        <v>747</v>
      </c>
      <c r="C252" s="120" t="s">
        <v>1204</v>
      </c>
      <c r="D252" s="118" t="s">
        <v>1205</v>
      </c>
      <c r="E252" s="119" t="s">
        <v>1206</v>
      </c>
      <c r="F252" s="119"/>
      <c r="G252" s="119" t="s">
        <v>891</v>
      </c>
      <c r="H252" s="119">
        <f t="shared" si="543"/>
        <v>0</v>
      </c>
      <c r="I252" s="119" t="s">
        <v>980</v>
      </c>
      <c r="J252" s="119">
        <f>AVERAGE('1-1 项目基础信息'!$H$9:$S$9)</f>
        <v>5829.78</v>
      </c>
      <c r="K252" s="119" t="s">
        <v>981</v>
      </c>
      <c r="L252" s="297"/>
      <c r="M252" s="119" t="s">
        <v>754</v>
      </c>
      <c r="N252" s="119">
        <f t="shared" si="544"/>
        <v>0</v>
      </c>
      <c r="O252" s="297"/>
      <c r="P252" s="297"/>
      <c r="Q252" s="297"/>
      <c r="R252" s="297"/>
      <c r="S252" s="297"/>
      <c r="T252" s="297"/>
      <c r="U252" s="297"/>
      <c r="V252" s="297"/>
      <c r="W252" s="297"/>
      <c r="X252" s="297"/>
      <c r="Y252" s="297"/>
      <c r="Z252" s="297"/>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5"/>
      <c r="BM252" s="310"/>
      <c r="BN252" s="313"/>
    </row>
    <row r="253" s="118" customFormat="1" ht="33.95" hidden="1" customHeight="1" outlineLevel="4" spans="2:66">
      <c r="B253" s="119" t="s">
        <v>747</v>
      </c>
      <c r="C253" s="120" t="s">
        <v>1207</v>
      </c>
      <c r="D253" s="118" t="s">
        <v>1208</v>
      </c>
      <c r="E253" s="119" t="s">
        <v>1209</v>
      </c>
      <c r="F253" s="119"/>
      <c r="G253" s="119" t="s">
        <v>891</v>
      </c>
      <c r="H253" s="119">
        <f t="shared" si="543"/>
        <v>0</v>
      </c>
      <c r="I253" s="119" t="s">
        <v>980</v>
      </c>
      <c r="J253" s="119">
        <f>AVERAGE('1-1 项目基础信息'!$H$9:$S$9)</f>
        <v>5829.78</v>
      </c>
      <c r="K253" s="119" t="s">
        <v>981</v>
      </c>
      <c r="L253" s="297"/>
      <c r="M253" s="119" t="s">
        <v>754</v>
      </c>
      <c r="N253" s="119">
        <f t="shared" si="544"/>
        <v>0</v>
      </c>
      <c r="O253" s="297"/>
      <c r="P253" s="297"/>
      <c r="Q253" s="297"/>
      <c r="R253" s="297"/>
      <c r="S253" s="297"/>
      <c r="T253" s="297"/>
      <c r="U253" s="297"/>
      <c r="V253" s="297"/>
      <c r="W253" s="297"/>
      <c r="X253" s="297"/>
      <c r="Y253" s="297"/>
      <c r="Z253" s="297"/>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5"/>
      <c r="BM253" s="310"/>
      <c r="BN253" s="313"/>
    </row>
    <row r="254" s="118" customFormat="1" ht="33.95" hidden="1" customHeight="1" outlineLevel="4" spans="2:66">
      <c r="B254" s="119" t="s">
        <v>747</v>
      </c>
      <c r="C254" s="120" t="s">
        <v>1210</v>
      </c>
      <c r="D254" s="118" t="s">
        <v>1211</v>
      </c>
      <c r="E254" s="119" t="s">
        <v>1212</v>
      </c>
      <c r="F254" s="119"/>
      <c r="G254" s="119" t="s">
        <v>891</v>
      </c>
      <c r="H254" s="119">
        <f t="shared" si="543"/>
        <v>0</v>
      </c>
      <c r="I254" s="119" t="s">
        <v>980</v>
      </c>
      <c r="J254" s="119">
        <f>AVERAGE('1-1 项目基础信息'!$H$9:$S$9)</f>
        <v>5829.78</v>
      </c>
      <c r="K254" s="119" t="s">
        <v>981</v>
      </c>
      <c r="L254" s="297"/>
      <c r="M254" s="119" t="s">
        <v>754</v>
      </c>
      <c r="N254" s="119">
        <f t="shared" si="544"/>
        <v>0</v>
      </c>
      <c r="O254" s="297"/>
      <c r="P254" s="297"/>
      <c r="Q254" s="297"/>
      <c r="R254" s="297"/>
      <c r="S254" s="297"/>
      <c r="T254" s="297"/>
      <c r="U254" s="297"/>
      <c r="V254" s="297"/>
      <c r="W254" s="297"/>
      <c r="X254" s="297"/>
      <c r="Y254" s="297"/>
      <c r="Z254" s="297"/>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5"/>
      <c r="BM254" s="310"/>
      <c r="BN254" s="313"/>
    </row>
    <row r="255" s="118" customFormat="1" ht="33.95" hidden="1" customHeight="1" outlineLevel="4" spans="2:66">
      <c r="B255" s="119" t="s">
        <v>747</v>
      </c>
      <c r="C255" s="120" t="s">
        <v>1213</v>
      </c>
      <c r="D255" s="118" t="s">
        <v>1214</v>
      </c>
      <c r="E255" s="119" t="s">
        <v>1212</v>
      </c>
      <c r="F255" s="119"/>
      <c r="G255" s="119" t="s">
        <v>891</v>
      </c>
      <c r="H255" s="119">
        <f t="shared" si="543"/>
        <v>0</v>
      </c>
      <c r="I255" s="119" t="s">
        <v>980</v>
      </c>
      <c r="J255" s="119">
        <f>AVERAGE('1-1 项目基础信息'!$H$9:$S$9)</f>
        <v>5829.78</v>
      </c>
      <c r="K255" s="119" t="s">
        <v>981</v>
      </c>
      <c r="L255" s="297"/>
      <c r="M255" s="119" t="s">
        <v>754</v>
      </c>
      <c r="N255" s="119">
        <f t="shared" si="544"/>
        <v>0</v>
      </c>
      <c r="O255" s="297"/>
      <c r="P255" s="297"/>
      <c r="Q255" s="297"/>
      <c r="R255" s="297"/>
      <c r="S255" s="297"/>
      <c r="T255" s="297"/>
      <c r="U255" s="297"/>
      <c r="V255" s="297"/>
      <c r="W255" s="297"/>
      <c r="X255" s="297"/>
      <c r="Y255" s="297"/>
      <c r="Z255" s="297"/>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5"/>
      <c r="BM255" s="310"/>
      <c r="BN255" s="313"/>
    </row>
    <row r="256" s="118" customFormat="1" ht="33.95" hidden="1" customHeight="1" outlineLevel="4" spans="2:66">
      <c r="B256" s="119" t="s">
        <v>747</v>
      </c>
      <c r="C256" s="120" t="s">
        <v>1215</v>
      </c>
      <c r="D256" s="118" t="s">
        <v>1216</v>
      </c>
      <c r="E256" s="119" t="s">
        <v>1217</v>
      </c>
      <c r="F256" s="119"/>
      <c r="G256" s="119" t="s">
        <v>891</v>
      </c>
      <c r="H256" s="119">
        <f t="shared" si="543"/>
        <v>0</v>
      </c>
      <c r="I256" s="119" t="s">
        <v>980</v>
      </c>
      <c r="J256" s="119">
        <f>AVERAGE('1-1 项目基础信息'!$H$9:$S$9)</f>
        <v>5829.78</v>
      </c>
      <c r="K256" s="119" t="s">
        <v>981</v>
      </c>
      <c r="L256" s="297"/>
      <c r="M256" s="119" t="s">
        <v>754</v>
      </c>
      <c r="N256" s="119">
        <f t="shared" si="544"/>
        <v>0</v>
      </c>
      <c r="O256" s="297"/>
      <c r="P256" s="315"/>
      <c r="Q256" s="315"/>
      <c r="R256" s="315"/>
      <c r="S256" s="315"/>
      <c r="T256" s="315"/>
      <c r="U256" s="315"/>
      <c r="V256" s="315"/>
      <c r="W256" s="315"/>
      <c r="X256" s="315"/>
      <c r="Y256" s="315"/>
      <c r="Z256" s="315"/>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5"/>
      <c r="BM256" s="310"/>
      <c r="BN256" s="313"/>
    </row>
    <row r="257" s="118" customFormat="1" ht="33.95" hidden="1" customHeight="1" outlineLevel="4" collapsed="1" spans="2:66">
      <c r="B257" s="119" t="s">
        <v>742</v>
      </c>
      <c r="C257" s="120" t="s">
        <v>1218</v>
      </c>
      <c r="D257" s="118" t="s">
        <v>1219</v>
      </c>
      <c r="E257" s="119"/>
      <c r="F257" s="119"/>
      <c r="G257" s="119"/>
      <c r="H257" s="119">
        <f>SUM(H258:H261)</f>
        <v>0</v>
      </c>
      <c r="I257" s="119"/>
      <c r="J257" s="119"/>
      <c r="K257" s="119"/>
      <c r="L257" s="119"/>
      <c r="M257" s="119"/>
      <c r="N257" s="119"/>
      <c r="O257" s="119"/>
      <c r="P257" s="288"/>
      <c r="Q257" s="288"/>
      <c r="R257" s="288"/>
      <c r="S257" s="288"/>
      <c r="T257" s="288"/>
      <c r="U257" s="288"/>
      <c r="V257" s="288"/>
      <c r="W257" s="288"/>
      <c r="X257" s="288"/>
      <c r="Y257" s="288"/>
      <c r="Z257" s="288"/>
      <c r="AA257" s="288"/>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5"/>
      <c r="BM257" s="310"/>
      <c r="BN257" s="313"/>
    </row>
    <row r="258" s="262" customFormat="1" ht="33.95" hidden="1" customHeight="1" outlineLevel="5" collapsed="1" spans="2:66">
      <c r="B258" s="175" t="s">
        <v>747</v>
      </c>
      <c r="C258" s="282" t="s">
        <v>1220</v>
      </c>
      <c r="D258" s="262" t="s">
        <v>1221</v>
      </c>
      <c r="E258" s="175" t="s">
        <v>1222</v>
      </c>
      <c r="F258" s="175"/>
      <c r="G258" s="175" t="s">
        <v>891</v>
      </c>
      <c r="H258" s="175">
        <f t="shared" ref="H258:H261" si="559">IFERROR(J258*L258*N258,0)</f>
        <v>0</v>
      </c>
      <c r="I258" s="175" t="s">
        <v>1223</v>
      </c>
      <c r="J258" s="297"/>
      <c r="K258" s="175" t="s">
        <v>1224</v>
      </c>
      <c r="L258" s="297"/>
      <c r="M258" s="175" t="s">
        <v>1225</v>
      </c>
      <c r="N258" s="175">
        <f t="shared" ref="N258:N261" si="560">COUNTA(O258:Z258)</f>
        <v>0</v>
      </c>
      <c r="O258" s="297"/>
      <c r="P258" s="316"/>
      <c r="Q258" s="316"/>
      <c r="R258" s="316"/>
      <c r="S258" s="316"/>
      <c r="T258" s="316"/>
      <c r="U258" s="316"/>
      <c r="V258" s="316"/>
      <c r="W258" s="316"/>
      <c r="X258" s="316"/>
      <c r="Y258" s="316"/>
      <c r="Z258" s="316"/>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19"/>
      <c r="BM258" s="310"/>
      <c r="BN258" s="314"/>
    </row>
    <row r="259" s="262" customFormat="1" ht="33.95" hidden="1" customHeight="1" outlineLevel="5" collapsed="1" spans="2:66">
      <c r="B259" s="175" t="s">
        <v>747</v>
      </c>
      <c r="C259" s="282" t="s">
        <v>1226</v>
      </c>
      <c r="D259" s="262" t="s">
        <v>1227</v>
      </c>
      <c r="E259" s="175" t="s">
        <v>1228</v>
      </c>
      <c r="F259" s="175"/>
      <c r="G259" s="175" t="s">
        <v>891</v>
      </c>
      <c r="H259" s="175">
        <f t="shared" si="559"/>
        <v>0</v>
      </c>
      <c r="I259" s="175" t="s">
        <v>1223</v>
      </c>
      <c r="J259" s="297"/>
      <c r="K259" s="175" t="s">
        <v>1224</v>
      </c>
      <c r="L259" s="297"/>
      <c r="M259" s="175" t="s">
        <v>1225</v>
      </c>
      <c r="N259" s="175">
        <f t="shared" si="560"/>
        <v>0</v>
      </c>
      <c r="O259" s="297"/>
      <c r="P259" s="297"/>
      <c r="Q259" s="297"/>
      <c r="R259" s="297"/>
      <c r="S259" s="297"/>
      <c r="T259" s="297"/>
      <c r="U259" s="297"/>
      <c r="V259" s="297"/>
      <c r="W259" s="297"/>
      <c r="X259" s="297"/>
      <c r="Y259" s="297"/>
      <c r="Z259" s="297"/>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19"/>
      <c r="BM259" s="310"/>
      <c r="BN259" s="314"/>
    </row>
    <row r="260" s="262" customFormat="1" ht="33.95" hidden="1" customHeight="1" outlineLevel="5" collapsed="1" spans="2:66">
      <c r="B260" s="175" t="s">
        <v>747</v>
      </c>
      <c r="C260" s="282" t="s">
        <v>1229</v>
      </c>
      <c r="D260" s="262" t="s">
        <v>1230</v>
      </c>
      <c r="E260" s="175" t="s">
        <v>1231</v>
      </c>
      <c r="F260" s="175"/>
      <c r="G260" s="175" t="s">
        <v>891</v>
      </c>
      <c r="H260" s="175">
        <f t="shared" si="559"/>
        <v>0</v>
      </c>
      <c r="I260" s="175" t="s">
        <v>1223</v>
      </c>
      <c r="J260" s="297"/>
      <c r="K260" s="175" t="s">
        <v>1224</v>
      </c>
      <c r="L260" s="297"/>
      <c r="M260" s="175" t="s">
        <v>1225</v>
      </c>
      <c r="N260" s="175">
        <f t="shared" si="560"/>
        <v>0</v>
      </c>
      <c r="O260" s="297"/>
      <c r="P260" s="297"/>
      <c r="Q260" s="297"/>
      <c r="R260" s="297"/>
      <c r="S260" s="297"/>
      <c r="T260" s="297"/>
      <c r="U260" s="297"/>
      <c r="V260" s="297"/>
      <c r="W260" s="297"/>
      <c r="X260" s="297"/>
      <c r="Y260" s="297"/>
      <c r="Z260" s="297"/>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19"/>
      <c r="BM260" s="310"/>
      <c r="BN260" s="314"/>
    </row>
    <row r="261" s="262" customFormat="1" ht="33.95" hidden="1" customHeight="1" outlineLevel="5" collapsed="1" spans="2:66">
      <c r="B261" s="175" t="s">
        <v>747</v>
      </c>
      <c r="C261" s="282" t="s">
        <v>1232</v>
      </c>
      <c r="D261" s="262" t="s">
        <v>1233</v>
      </c>
      <c r="E261" s="175" t="s">
        <v>1234</v>
      </c>
      <c r="F261" s="175"/>
      <c r="G261" s="175" t="s">
        <v>891</v>
      </c>
      <c r="H261" s="175">
        <f t="shared" si="559"/>
        <v>0</v>
      </c>
      <c r="I261" s="175" t="s">
        <v>1223</v>
      </c>
      <c r="J261" s="297"/>
      <c r="K261" s="175" t="s">
        <v>1224</v>
      </c>
      <c r="L261" s="297"/>
      <c r="M261" s="175" t="s">
        <v>1225</v>
      </c>
      <c r="N261" s="175">
        <f t="shared" si="560"/>
        <v>0</v>
      </c>
      <c r="O261" s="297"/>
      <c r="P261" s="315"/>
      <c r="Q261" s="315"/>
      <c r="R261" s="315"/>
      <c r="S261" s="315"/>
      <c r="T261" s="315"/>
      <c r="U261" s="315"/>
      <c r="V261" s="315"/>
      <c r="W261" s="315"/>
      <c r="X261" s="315"/>
      <c r="Y261" s="315"/>
      <c r="Z261" s="315"/>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19"/>
      <c r="BM261" s="310"/>
      <c r="BN261" s="314"/>
    </row>
    <row r="262" s="48" customFormat="1" ht="33.95" hidden="1" customHeight="1" outlineLevel="3" collapsed="1" spans="2:66">
      <c r="B262" s="115" t="s">
        <v>742</v>
      </c>
      <c r="C262" s="116" t="s">
        <v>1235</v>
      </c>
      <c r="D262" s="48" t="s">
        <v>1236</v>
      </c>
      <c r="E262" s="115" t="s">
        <v>1237</v>
      </c>
      <c r="F262" s="115"/>
      <c r="G262" s="115" t="s">
        <v>891</v>
      </c>
      <c r="H262" s="115">
        <f>H263+H264+H273+H274+H283+H287+H288+H289+H290</f>
        <v>0</v>
      </c>
      <c r="I262" s="115"/>
      <c r="J262" s="115"/>
      <c r="K262" s="115"/>
      <c r="L262" s="115"/>
      <c r="M262" s="115"/>
      <c r="N262" s="115"/>
      <c r="O262" s="115"/>
      <c r="P262" s="287"/>
      <c r="Q262" s="287"/>
      <c r="R262" s="287"/>
      <c r="S262" s="287"/>
      <c r="T262" s="287"/>
      <c r="U262" s="287"/>
      <c r="V262" s="287"/>
      <c r="W262" s="287"/>
      <c r="X262" s="287"/>
      <c r="Y262" s="287"/>
      <c r="Z262" s="287"/>
      <c r="AA262" s="287"/>
      <c r="AB262" s="115">
        <f>AB263+AB264+AB273+AB274+AB283+AB287+AB288+AB289+AB290</f>
        <v>0</v>
      </c>
      <c r="AC262" s="115">
        <f t="shared" ref="AC262:AF262" si="574">AC263+AC264+AC273+AC274+AC283+AC287+AC288+AC289+AC290</f>
        <v>0</v>
      </c>
      <c r="AD262" s="115"/>
      <c r="AE262" s="115"/>
      <c r="AF262" s="115">
        <f t="shared" si="574"/>
        <v>0</v>
      </c>
      <c r="AG262" s="115"/>
      <c r="AH262" s="115"/>
      <c r="AI262" s="115">
        <f>AI263+AI264+AI273+AI274+AI283+AI287+AI288+AI289+AI290</f>
        <v>0</v>
      </c>
      <c r="AJ262" s="115"/>
      <c r="AK262" s="115"/>
      <c r="AL262" s="115">
        <f>AL263+AL264+AL273+AL274+AL283+AL287+AL288+AL289+AL290</f>
        <v>0</v>
      </c>
      <c r="AM262" s="115"/>
      <c r="AN262" s="115"/>
      <c r="AO262" s="115">
        <f>AO263+AO264+AO273+AO274+AO283+AO287+AO288+AO289+AO290</f>
        <v>0</v>
      </c>
      <c r="AP262" s="115"/>
      <c r="AQ262" s="115"/>
      <c r="AR262" s="115">
        <f>AR263+AR264+AR273+AR274+AR283+AR287+AR288+AR289+AR290</f>
        <v>0</v>
      </c>
      <c r="AS262" s="115"/>
      <c r="AT262" s="115"/>
      <c r="AU262" s="115">
        <f>AU263+AU264+AU273+AU274+AU283+AU287+AU288+AU289+AU290</f>
        <v>0</v>
      </c>
      <c r="AV262" s="115"/>
      <c r="AW262" s="115"/>
      <c r="AX262" s="115">
        <f>AX263+AX264+AX273+AX274+AX283+AX287+AX288+AX289+AX290</f>
        <v>0</v>
      </c>
      <c r="AY262" s="115"/>
      <c r="AZ262" s="115"/>
      <c r="BA262" s="115">
        <f>BA263+BA264+BA273+BA274+BA283+BA287+BA288+BA289+BA290</f>
        <v>0</v>
      </c>
      <c r="BB262" s="115"/>
      <c r="BC262" s="115"/>
      <c r="BD262" s="115">
        <f>BD263+BD264+BD273+BD274+BD283+BD287+BD288+BD289+BD290</f>
        <v>0</v>
      </c>
      <c r="BE262" s="115"/>
      <c r="BF262" s="115"/>
      <c r="BG262" s="115">
        <f>BG263+BG264+BG273+BG274+BG283+BG287+BG288+BG289+BG290</f>
        <v>0</v>
      </c>
      <c r="BH262" s="115"/>
      <c r="BI262" s="115"/>
      <c r="BJ262" s="115">
        <f>BJ263+BJ264+BJ273+BJ274+BJ283+BJ287+BJ288+BJ289+BJ290</f>
        <v>0</v>
      </c>
      <c r="BK262" s="115"/>
      <c r="BL262" s="304"/>
      <c r="BM262" s="310"/>
      <c r="BN262" s="312"/>
    </row>
    <row r="263" s="118" customFormat="1" ht="33.95" hidden="1" customHeight="1" outlineLevel="4" spans="2:66">
      <c r="B263" s="119" t="s">
        <v>747</v>
      </c>
      <c r="C263" s="120" t="s">
        <v>28</v>
      </c>
      <c r="D263" s="118" t="s">
        <v>29</v>
      </c>
      <c r="E263" s="119" t="s">
        <v>1238</v>
      </c>
      <c r="F263" s="119"/>
      <c r="G263" s="119" t="s">
        <v>891</v>
      </c>
      <c r="H263" s="119">
        <f>IFERROR(J263*L263*N263,0)</f>
        <v>0</v>
      </c>
      <c r="I263" s="119" t="s">
        <v>1239</v>
      </c>
      <c r="J263" s="297"/>
      <c r="K263" s="119" t="s">
        <v>981</v>
      </c>
      <c r="L263" s="297"/>
      <c r="M263" s="119" t="s">
        <v>1144</v>
      </c>
      <c r="N263" s="119">
        <f t="shared" ref="N263:N273" si="575">COUNTA(O263:Z263)</f>
        <v>0</v>
      </c>
      <c r="O263" s="297"/>
      <c r="P263" s="320"/>
      <c r="Q263" s="320"/>
      <c r="R263" s="320"/>
      <c r="S263" s="320"/>
      <c r="T263" s="320"/>
      <c r="U263" s="320"/>
      <c r="V263" s="320"/>
      <c r="W263" s="320"/>
      <c r="X263" s="320"/>
      <c r="Y263" s="320"/>
      <c r="Z263" s="320"/>
      <c r="AA263" s="119"/>
      <c r="AB263" s="119">
        <f t="shared" ref="AB263:AB273" si="576">SUM(AC263,AF263,AI263,AL263,AO263,AR263,AU263,AX263,BA263,BD263,BG263,BJ263)</f>
        <v>0</v>
      </c>
      <c r="AC263" s="119">
        <f t="shared" ref="AC263:AC273" si="577">IF(O263="",0,$J263*$L263)</f>
        <v>0</v>
      </c>
      <c r="AD263" s="119"/>
      <c r="AE263" s="119"/>
      <c r="AF263" s="119">
        <f t="shared" ref="AF263:AF273" si="578">IF(P263="",0,$J263*$L263)</f>
        <v>0</v>
      </c>
      <c r="AG263" s="119"/>
      <c r="AH263" s="119"/>
      <c r="AI263" s="119">
        <f t="shared" ref="AI263:AI273" si="579">IF(Q263="",0,$J263*$L263)</f>
        <v>0</v>
      </c>
      <c r="AJ263" s="119"/>
      <c r="AK263" s="119"/>
      <c r="AL263" s="119">
        <f t="shared" ref="AL263:AL273" si="580">IF(R263="",0,$J263*$L263)</f>
        <v>0</v>
      </c>
      <c r="AM263" s="119"/>
      <c r="AN263" s="119"/>
      <c r="AO263" s="119">
        <f t="shared" ref="AO263:AO273" si="581">IF(S263="",0,$J263*$L263)</f>
        <v>0</v>
      </c>
      <c r="AP263" s="119"/>
      <c r="AQ263" s="119"/>
      <c r="AR263" s="119">
        <f t="shared" ref="AR263:AR273" si="582">IF(T263="",0,$J263*$L263)</f>
        <v>0</v>
      </c>
      <c r="AS263" s="119"/>
      <c r="AT263" s="119"/>
      <c r="AU263" s="119">
        <f t="shared" ref="AU263:AU273" si="583">IF(U263="",0,$J263*$L263)</f>
        <v>0</v>
      </c>
      <c r="AV263" s="119"/>
      <c r="AW263" s="119"/>
      <c r="AX263" s="119">
        <f t="shared" ref="AX263:AX273" si="584">IF(V263="",0,$J263*$L263)</f>
        <v>0</v>
      </c>
      <c r="AY263" s="119"/>
      <c r="AZ263" s="119"/>
      <c r="BA263" s="119">
        <f t="shared" ref="BA263:BA273" si="585">IF(W263="",0,$J263*$L263)</f>
        <v>0</v>
      </c>
      <c r="BB263" s="119"/>
      <c r="BC263" s="119"/>
      <c r="BD263" s="119">
        <f t="shared" ref="BD263:BD273" si="586">IF(X263="",0,$J263*$L263)</f>
        <v>0</v>
      </c>
      <c r="BE263" s="119"/>
      <c r="BF263" s="119"/>
      <c r="BG263" s="119">
        <f t="shared" ref="BG263:BG273" si="587">IF(Y263="",0,$J263*$L263)</f>
        <v>0</v>
      </c>
      <c r="BH263" s="119"/>
      <c r="BI263" s="119"/>
      <c r="BJ263" s="119">
        <f t="shared" ref="BJ263:BJ273" si="588">IF(Z263="",0,$J263*$L263)</f>
        <v>0</v>
      </c>
      <c r="BK263" s="119"/>
      <c r="BL263" s="305"/>
      <c r="BM263" s="310"/>
      <c r="BN263" s="313"/>
    </row>
    <row r="264" s="118" customFormat="1" ht="33.95" hidden="1" customHeight="1" outlineLevel="4" collapsed="1" spans="2:66">
      <c r="B264" s="119" t="s">
        <v>742</v>
      </c>
      <c r="C264" s="120" t="s">
        <v>1240</v>
      </c>
      <c r="D264" s="118" t="s">
        <v>1241</v>
      </c>
      <c r="E264" s="119"/>
      <c r="F264" s="119"/>
      <c r="G264" s="119"/>
      <c r="H264" s="119">
        <f>SUM(H265:H272)</f>
        <v>0</v>
      </c>
      <c r="I264" s="119"/>
      <c r="J264" s="119"/>
      <c r="K264" s="119"/>
      <c r="L264" s="119"/>
      <c r="M264" s="119"/>
      <c r="N264" s="119"/>
      <c r="O264" s="119"/>
      <c r="P264" s="288"/>
      <c r="Q264" s="288"/>
      <c r="R264" s="288"/>
      <c r="S264" s="288"/>
      <c r="T264" s="288"/>
      <c r="U264" s="288"/>
      <c r="V264" s="288"/>
      <c r="W264" s="288"/>
      <c r="X264" s="288"/>
      <c r="Y264" s="288"/>
      <c r="Z264" s="288"/>
      <c r="AA264" s="288"/>
      <c r="AB264" s="119">
        <f t="shared" ref="AB264:AF264" si="589">SUM(AB265:AB272)</f>
        <v>0</v>
      </c>
      <c r="AC264" s="119">
        <f t="shared" si="589"/>
        <v>0</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5"/>
      <c r="BM264" s="310"/>
      <c r="BN264" s="313"/>
    </row>
    <row r="265" s="262" customFormat="1" ht="33.95" hidden="1" customHeight="1" outlineLevel="5" spans="2:66">
      <c r="B265" s="175" t="s">
        <v>747</v>
      </c>
      <c r="C265" s="282" t="s">
        <v>56</v>
      </c>
      <c r="D265" s="262" t="s">
        <v>57</v>
      </c>
      <c r="E265" s="175" t="s">
        <v>1242</v>
      </c>
      <c r="F265" s="175"/>
      <c r="G265" s="175" t="s">
        <v>891</v>
      </c>
      <c r="H265" s="175">
        <f t="shared" ref="H265:H273" si="590">IFERROR(J265*L265*N265,0)</f>
        <v>0</v>
      </c>
      <c r="I265" s="175" t="s">
        <v>1243</v>
      </c>
      <c r="J265" s="297"/>
      <c r="K265" s="175" t="s">
        <v>1244</v>
      </c>
      <c r="L265" s="297"/>
      <c r="M265" s="175" t="s">
        <v>1245</v>
      </c>
      <c r="N265" s="175">
        <f t="shared" si="575"/>
        <v>0</v>
      </c>
      <c r="O265" s="297"/>
      <c r="P265" s="316"/>
      <c r="Q265" s="316"/>
      <c r="R265" s="316"/>
      <c r="S265" s="316"/>
      <c r="T265" s="316"/>
      <c r="U265" s="316"/>
      <c r="V265" s="316"/>
      <c r="W265" s="316"/>
      <c r="X265" s="316"/>
      <c r="Y265" s="316"/>
      <c r="Z265" s="316"/>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19"/>
      <c r="BM265" s="310"/>
      <c r="BN265" s="314"/>
    </row>
    <row r="266" s="262" customFormat="1" ht="33.95" hidden="1" customHeight="1" outlineLevel="5" spans="2:66">
      <c r="B266" s="175" t="s">
        <v>747</v>
      </c>
      <c r="C266" s="282" t="s">
        <v>58</v>
      </c>
      <c r="D266" s="262" t="s">
        <v>59</v>
      </c>
      <c r="E266" s="175" t="s">
        <v>1246</v>
      </c>
      <c r="F266" s="175"/>
      <c r="G266" s="175" t="s">
        <v>891</v>
      </c>
      <c r="H266" s="175">
        <f t="shared" si="590"/>
        <v>0</v>
      </c>
      <c r="I266" s="175" t="s">
        <v>1247</v>
      </c>
      <c r="J266" s="297"/>
      <c r="K266" s="175" t="s">
        <v>1224</v>
      </c>
      <c r="L266" s="297"/>
      <c r="M266" s="175" t="s">
        <v>1248</v>
      </c>
      <c r="N266" s="175">
        <f t="shared" si="575"/>
        <v>0</v>
      </c>
      <c r="O266" s="297"/>
      <c r="P266" s="297"/>
      <c r="Q266" s="297"/>
      <c r="R266" s="297"/>
      <c r="S266" s="297"/>
      <c r="T266" s="297"/>
      <c r="U266" s="297"/>
      <c r="V266" s="297"/>
      <c r="W266" s="297"/>
      <c r="X266" s="297"/>
      <c r="Y266" s="297"/>
      <c r="Z266" s="297"/>
      <c r="AA266" s="175"/>
      <c r="AB266" s="175">
        <f t="shared" si="576"/>
        <v>0</v>
      </c>
      <c r="AC266" s="175">
        <f t="shared" si="577"/>
        <v>0</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19"/>
      <c r="BM266" s="310"/>
      <c r="BN266" s="314"/>
    </row>
    <row r="267" s="262" customFormat="1" ht="33.95" hidden="1" customHeight="1" outlineLevel="5" spans="2:66">
      <c r="B267" s="175" t="s">
        <v>747</v>
      </c>
      <c r="C267" s="282" t="s">
        <v>60</v>
      </c>
      <c r="D267" s="262" t="s">
        <v>61</v>
      </c>
      <c r="E267" s="175" t="s">
        <v>1249</v>
      </c>
      <c r="F267" s="175"/>
      <c r="G267" s="175" t="s">
        <v>891</v>
      </c>
      <c r="H267" s="175">
        <f t="shared" si="590"/>
        <v>0</v>
      </c>
      <c r="I267" s="175" t="s">
        <v>1250</v>
      </c>
      <c r="J267" s="297"/>
      <c r="K267" s="175" t="s">
        <v>1251</v>
      </c>
      <c r="L267" s="297"/>
      <c r="M267" s="175" t="s">
        <v>1252</v>
      </c>
      <c r="N267" s="175">
        <f t="shared" si="575"/>
        <v>0</v>
      </c>
      <c r="O267" s="297"/>
      <c r="P267" s="297"/>
      <c r="Q267" s="297"/>
      <c r="R267" s="297"/>
      <c r="S267" s="297"/>
      <c r="T267" s="297"/>
      <c r="U267" s="297"/>
      <c r="V267" s="297"/>
      <c r="W267" s="297"/>
      <c r="X267" s="297"/>
      <c r="Y267" s="297"/>
      <c r="Z267" s="297"/>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19"/>
      <c r="BM267" s="310"/>
      <c r="BN267" s="314"/>
    </row>
    <row r="268" s="262" customFormat="1" ht="33.95" hidden="1" customHeight="1" outlineLevel="5" spans="2:66">
      <c r="B268" s="175" t="s">
        <v>747</v>
      </c>
      <c r="C268" s="282" t="s">
        <v>50</v>
      </c>
      <c r="D268" s="262" t="s">
        <v>51</v>
      </c>
      <c r="E268" s="175" t="s">
        <v>1246</v>
      </c>
      <c r="F268" s="175"/>
      <c r="G268" s="175" t="s">
        <v>891</v>
      </c>
      <c r="H268" s="175">
        <f t="shared" si="590"/>
        <v>0</v>
      </c>
      <c r="I268" s="175" t="s">
        <v>1190</v>
      </c>
      <c r="J268" s="297"/>
      <c r="K268" s="175" t="s">
        <v>1224</v>
      </c>
      <c r="L268" s="297"/>
      <c r="M268" s="175" t="s">
        <v>1248</v>
      </c>
      <c r="N268" s="175">
        <f t="shared" si="575"/>
        <v>0</v>
      </c>
      <c r="O268" s="297"/>
      <c r="P268" s="297"/>
      <c r="Q268" s="297"/>
      <c r="R268" s="297"/>
      <c r="S268" s="297"/>
      <c r="T268" s="297"/>
      <c r="U268" s="297"/>
      <c r="V268" s="297"/>
      <c r="W268" s="297"/>
      <c r="X268" s="297"/>
      <c r="Y268" s="297"/>
      <c r="Z268" s="297"/>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19"/>
      <c r="BM268" s="310"/>
      <c r="BN268" s="314"/>
    </row>
    <row r="269" s="262" customFormat="1" ht="33.95" hidden="1" customHeight="1" outlineLevel="5" spans="2:66">
      <c r="B269" s="175" t="s">
        <v>747</v>
      </c>
      <c r="C269" s="282" t="s">
        <v>52</v>
      </c>
      <c r="D269" s="262" t="s">
        <v>53</v>
      </c>
      <c r="E269" s="175" t="s">
        <v>1246</v>
      </c>
      <c r="F269" s="175"/>
      <c r="G269" s="175" t="s">
        <v>891</v>
      </c>
      <c r="H269" s="175">
        <f t="shared" si="590"/>
        <v>0</v>
      </c>
      <c r="I269" s="175" t="s">
        <v>1190</v>
      </c>
      <c r="J269" s="297"/>
      <c r="K269" s="175" t="s">
        <v>1224</v>
      </c>
      <c r="L269" s="297"/>
      <c r="M269" s="175" t="s">
        <v>1248</v>
      </c>
      <c r="N269" s="175">
        <f t="shared" si="575"/>
        <v>0</v>
      </c>
      <c r="O269" s="297"/>
      <c r="P269" s="297"/>
      <c r="Q269" s="297"/>
      <c r="R269" s="297"/>
      <c r="S269" s="297"/>
      <c r="T269" s="297"/>
      <c r="U269" s="297"/>
      <c r="V269" s="297"/>
      <c r="W269" s="297"/>
      <c r="X269" s="297"/>
      <c r="Y269" s="297"/>
      <c r="Z269" s="297"/>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19"/>
      <c r="BM269" s="310"/>
      <c r="BN269" s="314"/>
    </row>
    <row r="270" s="262" customFormat="1" ht="33.95" hidden="1" customHeight="1" outlineLevel="5" spans="2:66">
      <c r="B270" s="175" t="s">
        <v>747</v>
      </c>
      <c r="C270" s="282" t="s">
        <v>1253</v>
      </c>
      <c r="D270" s="262" t="s">
        <v>1254</v>
      </c>
      <c r="E270" s="175" t="s">
        <v>1246</v>
      </c>
      <c r="F270" s="175"/>
      <c r="G270" s="175" t="s">
        <v>891</v>
      </c>
      <c r="H270" s="175">
        <f t="shared" si="590"/>
        <v>0</v>
      </c>
      <c r="I270" s="175" t="s">
        <v>1190</v>
      </c>
      <c r="J270" s="297"/>
      <c r="K270" s="175" t="s">
        <v>1224</v>
      </c>
      <c r="L270" s="297"/>
      <c r="M270" s="175" t="s">
        <v>1248</v>
      </c>
      <c r="N270" s="175">
        <f t="shared" si="575"/>
        <v>0</v>
      </c>
      <c r="O270" s="297"/>
      <c r="P270" s="297"/>
      <c r="Q270" s="297"/>
      <c r="R270" s="297"/>
      <c r="S270" s="297"/>
      <c r="T270" s="297"/>
      <c r="U270" s="297"/>
      <c r="V270" s="297"/>
      <c r="W270" s="297"/>
      <c r="X270" s="297"/>
      <c r="Y270" s="297"/>
      <c r="Z270" s="297"/>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19"/>
      <c r="BM270" s="310"/>
      <c r="BN270" s="314"/>
    </row>
    <row r="271" s="262" customFormat="1" ht="33.95" hidden="1" customHeight="1" outlineLevel="5" spans="2:66">
      <c r="B271" s="175" t="s">
        <v>747</v>
      </c>
      <c r="C271" s="282" t="s">
        <v>1255</v>
      </c>
      <c r="D271" s="262" t="s">
        <v>1256</v>
      </c>
      <c r="E271" s="175" t="s">
        <v>1246</v>
      </c>
      <c r="F271" s="175"/>
      <c r="G271" s="175" t="s">
        <v>891</v>
      </c>
      <c r="H271" s="175">
        <f t="shared" si="590"/>
        <v>0</v>
      </c>
      <c r="I271" s="175" t="s">
        <v>1190</v>
      </c>
      <c r="J271" s="297"/>
      <c r="K271" s="175" t="s">
        <v>1224</v>
      </c>
      <c r="L271" s="297"/>
      <c r="M271" s="175" t="s">
        <v>1248</v>
      </c>
      <c r="N271" s="175">
        <f t="shared" si="575"/>
        <v>0</v>
      </c>
      <c r="O271" s="297"/>
      <c r="P271" s="297"/>
      <c r="Q271" s="297"/>
      <c r="R271" s="297"/>
      <c r="S271" s="297"/>
      <c r="T271" s="297"/>
      <c r="U271" s="297"/>
      <c r="V271" s="297"/>
      <c r="W271" s="297"/>
      <c r="X271" s="297"/>
      <c r="Y271" s="297"/>
      <c r="Z271" s="297"/>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19"/>
      <c r="BM271" s="310"/>
      <c r="BN271" s="314"/>
    </row>
    <row r="272" s="262" customFormat="1" ht="33.95" hidden="1" customHeight="1" outlineLevel="5" spans="2:66">
      <c r="B272" s="175" t="s">
        <v>747</v>
      </c>
      <c r="C272" s="282" t="s">
        <v>1257</v>
      </c>
      <c r="D272" s="262" t="s">
        <v>1258</v>
      </c>
      <c r="E272" s="175" t="s">
        <v>1246</v>
      </c>
      <c r="F272" s="175"/>
      <c r="G272" s="175" t="s">
        <v>891</v>
      </c>
      <c r="H272" s="175">
        <f t="shared" si="590"/>
        <v>0</v>
      </c>
      <c r="I272" s="175" t="s">
        <v>1190</v>
      </c>
      <c r="J272" s="297"/>
      <c r="K272" s="175" t="s">
        <v>1224</v>
      </c>
      <c r="L272" s="297"/>
      <c r="M272" s="175" t="s">
        <v>1248</v>
      </c>
      <c r="N272" s="175">
        <f t="shared" si="575"/>
        <v>0</v>
      </c>
      <c r="O272" s="297"/>
      <c r="P272" s="297"/>
      <c r="Q272" s="297"/>
      <c r="R272" s="297"/>
      <c r="S272" s="297"/>
      <c r="T272" s="297"/>
      <c r="U272" s="297"/>
      <c r="V272" s="297"/>
      <c r="W272" s="297"/>
      <c r="X272" s="297"/>
      <c r="Y272" s="297"/>
      <c r="Z272" s="297"/>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19"/>
      <c r="BM272" s="310"/>
      <c r="BN272" s="314"/>
    </row>
    <row r="273" s="118" customFormat="1" ht="33.95" hidden="1" customHeight="1" outlineLevel="4" spans="2:66">
      <c r="B273" s="119" t="s">
        <v>747</v>
      </c>
      <c r="C273" s="120" t="s">
        <v>1259</v>
      </c>
      <c r="D273" s="118" t="s">
        <v>1260</v>
      </c>
      <c r="E273" s="119"/>
      <c r="F273" s="119"/>
      <c r="G273" s="119" t="s">
        <v>891</v>
      </c>
      <c r="H273" s="119">
        <f t="shared" si="590"/>
        <v>0</v>
      </c>
      <c r="I273" s="119" t="s">
        <v>1191</v>
      </c>
      <c r="J273" s="119">
        <v>1</v>
      </c>
      <c r="K273" s="119" t="s">
        <v>1191</v>
      </c>
      <c r="L273" s="297"/>
      <c r="M273" s="119" t="s">
        <v>1183</v>
      </c>
      <c r="N273" s="119">
        <f t="shared" si="575"/>
        <v>0</v>
      </c>
      <c r="O273" s="297"/>
      <c r="P273" s="315"/>
      <c r="Q273" s="315"/>
      <c r="R273" s="315"/>
      <c r="S273" s="315"/>
      <c r="T273" s="315"/>
      <c r="U273" s="315"/>
      <c r="V273" s="315"/>
      <c r="W273" s="315"/>
      <c r="X273" s="315"/>
      <c r="Y273" s="315"/>
      <c r="Z273" s="315"/>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5"/>
      <c r="BM273" s="310"/>
      <c r="BN273" s="313"/>
    </row>
    <row r="274" s="118" customFormat="1" ht="33.95" hidden="1" customHeight="1" outlineLevel="4" collapsed="1" spans="2:66">
      <c r="B274" s="119" t="s">
        <v>742</v>
      </c>
      <c r="C274" s="120" t="s">
        <v>1261</v>
      </c>
      <c r="D274" s="118" t="s">
        <v>1262</v>
      </c>
      <c r="E274" s="119"/>
      <c r="F274" s="119"/>
      <c r="G274" s="119"/>
      <c r="H274" s="119">
        <f>SUM(H275:H282)</f>
        <v>0</v>
      </c>
      <c r="I274" s="119"/>
      <c r="J274" s="119"/>
      <c r="K274" s="119"/>
      <c r="L274" s="119"/>
      <c r="M274" s="119"/>
      <c r="N274" s="119"/>
      <c r="O274" s="119"/>
      <c r="P274" s="288"/>
      <c r="Q274" s="288"/>
      <c r="R274" s="288"/>
      <c r="S274" s="288"/>
      <c r="T274" s="288"/>
      <c r="U274" s="288"/>
      <c r="V274" s="288"/>
      <c r="W274" s="288"/>
      <c r="X274" s="288"/>
      <c r="Y274" s="288"/>
      <c r="Z274" s="288"/>
      <c r="AA274" s="288"/>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5"/>
      <c r="BM274" s="310"/>
      <c r="BN274" s="313"/>
    </row>
    <row r="275" s="262" customFormat="1" ht="33.95" hidden="1" customHeight="1" outlineLevel="5" spans="2:66">
      <c r="B275" s="175" t="s">
        <v>747</v>
      </c>
      <c r="C275" s="282" t="s">
        <v>1263</v>
      </c>
      <c r="D275" s="262" t="s">
        <v>1264</v>
      </c>
      <c r="E275" s="175" t="s">
        <v>1265</v>
      </c>
      <c r="F275" s="175"/>
      <c r="G275" s="175" t="s">
        <v>891</v>
      </c>
      <c r="H275" s="175">
        <f t="shared" ref="H275:H282" si="591">IFERROR(J275*L275*N275,0)</f>
        <v>0</v>
      </c>
      <c r="I275" s="175" t="s">
        <v>1266</v>
      </c>
      <c r="J275" s="297"/>
      <c r="K275" s="175" t="s">
        <v>981</v>
      </c>
      <c r="L275" s="297"/>
      <c r="M275" s="175" t="s">
        <v>1144</v>
      </c>
      <c r="N275" s="175">
        <f t="shared" ref="N275:N282" si="592">COUNTA(O275:Z275)</f>
        <v>0</v>
      </c>
      <c r="O275" s="297"/>
      <c r="P275" s="316"/>
      <c r="Q275" s="316"/>
      <c r="R275" s="316"/>
      <c r="S275" s="316"/>
      <c r="T275" s="316"/>
      <c r="U275" s="316"/>
      <c r="V275" s="316"/>
      <c r="W275" s="316"/>
      <c r="X275" s="316"/>
      <c r="Y275" s="316"/>
      <c r="Z275" s="316"/>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19"/>
      <c r="BM275" s="310"/>
      <c r="BN275" s="314"/>
    </row>
    <row r="276" s="262" customFormat="1" ht="33.95" hidden="1" customHeight="1" outlineLevel="5" spans="2:66">
      <c r="B276" s="175" t="s">
        <v>747</v>
      </c>
      <c r="C276" s="282" t="s">
        <v>1267</v>
      </c>
      <c r="D276" s="262" t="s">
        <v>1268</v>
      </c>
      <c r="E276" s="175" t="s">
        <v>1269</v>
      </c>
      <c r="F276" s="175"/>
      <c r="G276" s="175" t="s">
        <v>891</v>
      </c>
      <c r="H276" s="175">
        <f t="shared" si="591"/>
        <v>0</v>
      </c>
      <c r="I276" s="175" t="s">
        <v>1266</v>
      </c>
      <c r="J276" s="297"/>
      <c r="K276" s="175" t="s">
        <v>981</v>
      </c>
      <c r="L276" s="297"/>
      <c r="M276" s="175" t="s">
        <v>1144</v>
      </c>
      <c r="N276" s="175">
        <f t="shared" si="592"/>
        <v>0</v>
      </c>
      <c r="O276" s="297"/>
      <c r="P276" s="297"/>
      <c r="Q276" s="297"/>
      <c r="R276" s="297"/>
      <c r="S276" s="297"/>
      <c r="T276" s="297"/>
      <c r="U276" s="297"/>
      <c r="V276" s="297"/>
      <c r="W276" s="297"/>
      <c r="X276" s="297"/>
      <c r="Y276" s="297"/>
      <c r="Z276" s="297"/>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19"/>
      <c r="BM276" s="310"/>
      <c r="BN276" s="314"/>
    </row>
    <row r="277" s="262" customFormat="1" ht="33.95" hidden="1" customHeight="1" outlineLevel="5" spans="2:66">
      <c r="B277" s="175" t="s">
        <v>747</v>
      </c>
      <c r="C277" s="282" t="s">
        <v>1270</v>
      </c>
      <c r="D277" s="262" t="s">
        <v>1271</v>
      </c>
      <c r="E277" s="175" t="s">
        <v>1272</v>
      </c>
      <c r="F277" s="175"/>
      <c r="G277" s="175" t="s">
        <v>891</v>
      </c>
      <c r="H277" s="175">
        <f t="shared" si="591"/>
        <v>0</v>
      </c>
      <c r="I277" s="175" t="s">
        <v>1266</v>
      </c>
      <c r="J277" s="297"/>
      <c r="K277" s="175" t="s">
        <v>981</v>
      </c>
      <c r="L277" s="297"/>
      <c r="M277" s="175" t="s">
        <v>1144</v>
      </c>
      <c r="N277" s="175">
        <f t="shared" si="592"/>
        <v>0</v>
      </c>
      <c r="O277" s="297"/>
      <c r="P277" s="297"/>
      <c r="Q277" s="297"/>
      <c r="R277" s="297"/>
      <c r="S277" s="297"/>
      <c r="T277" s="297"/>
      <c r="U277" s="297"/>
      <c r="V277" s="297"/>
      <c r="W277" s="297"/>
      <c r="X277" s="297"/>
      <c r="Y277" s="297"/>
      <c r="Z277" s="297"/>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19"/>
      <c r="BM277" s="310"/>
      <c r="BN277" s="314"/>
    </row>
    <row r="278" s="262" customFormat="1" ht="33.95" hidden="1" customHeight="1" outlineLevel="5" spans="2:66">
      <c r="B278" s="175" t="s">
        <v>747</v>
      </c>
      <c r="C278" s="282" t="s">
        <v>1273</v>
      </c>
      <c r="D278" s="262" t="s">
        <v>1274</v>
      </c>
      <c r="E278" s="175" t="s">
        <v>1275</v>
      </c>
      <c r="F278" s="175"/>
      <c r="G278" s="175" t="s">
        <v>891</v>
      </c>
      <c r="H278" s="175">
        <f t="shared" si="591"/>
        <v>0</v>
      </c>
      <c r="I278" s="175" t="s">
        <v>1266</v>
      </c>
      <c r="J278" s="297"/>
      <c r="K278" s="175" t="s">
        <v>981</v>
      </c>
      <c r="L278" s="297"/>
      <c r="M278" s="175" t="s">
        <v>1144</v>
      </c>
      <c r="N278" s="175">
        <f t="shared" si="592"/>
        <v>0</v>
      </c>
      <c r="O278" s="297"/>
      <c r="P278" s="297"/>
      <c r="Q278" s="297"/>
      <c r="R278" s="297"/>
      <c r="S278" s="297"/>
      <c r="T278" s="297"/>
      <c r="U278" s="297"/>
      <c r="V278" s="297"/>
      <c r="W278" s="297"/>
      <c r="X278" s="297"/>
      <c r="Y278" s="297"/>
      <c r="Z278" s="297"/>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19"/>
      <c r="BM278" s="310"/>
      <c r="BN278" s="314"/>
    </row>
    <row r="279" s="262" customFormat="1" ht="33.95" hidden="1" customHeight="1" outlineLevel="5" spans="2:66">
      <c r="B279" s="175" t="s">
        <v>747</v>
      </c>
      <c r="C279" s="282" t="s">
        <v>1276</v>
      </c>
      <c r="D279" s="262" t="s">
        <v>1277</v>
      </c>
      <c r="E279" s="175" t="s">
        <v>1278</v>
      </c>
      <c r="F279" s="175"/>
      <c r="G279" s="175" t="s">
        <v>891</v>
      </c>
      <c r="H279" s="175">
        <f t="shared" si="591"/>
        <v>0</v>
      </c>
      <c r="I279" s="175" t="s">
        <v>1266</v>
      </c>
      <c r="J279" s="297"/>
      <c r="K279" s="175" t="s">
        <v>981</v>
      </c>
      <c r="L279" s="297"/>
      <c r="M279" s="175" t="s">
        <v>1144</v>
      </c>
      <c r="N279" s="175">
        <f t="shared" si="592"/>
        <v>0</v>
      </c>
      <c r="O279" s="297"/>
      <c r="P279" s="297"/>
      <c r="Q279" s="297"/>
      <c r="R279" s="297"/>
      <c r="S279" s="297"/>
      <c r="T279" s="297"/>
      <c r="U279" s="297"/>
      <c r="V279" s="297"/>
      <c r="W279" s="297"/>
      <c r="X279" s="297"/>
      <c r="Y279" s="297"/>
      <c r="Z279" s="297"/>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19"/>
      <c r="BM279" s="310"/>
      <c r="BN279" s="314"/>
    </row>
    <row r="280" s="262" customFormat="1" ht="33.95" hidden="1" customHeight="1" outlineLevel="5" spans="2:66">
      <c r="B280" s="175" t="s">
        <v>747</v>
      </c>
      <c r="C280" s="282" t="s">
        <v>1279</v>
      </c>
      <c r="D280" s="262" t="s">
        <v>1280</v>
      </c>
      <c r="E280" s="175" t="s">
        <v>1281</v>
      </c>
      <c r="F280" s="175"/>
      <c r="G280" s="175" t="s">
        <v>891</v>
      </c>
      <c r="H280" s="175">
        <f t="shared" si="591"/>
        <v>0</v>
      </c>
      <c r="I280" s="175" t="s">
        <v>1266</v>
      </c>
      <c r="J280" s="297"/>
      <c r="K280" s="175" t="s">
        <v>981</v>
      </c>
      <c r="L280" s="297"/>
      <c r="M280" s="175" t="s">
        <v>1144</v>
      </c>
      <c r="N280" s="175">
        <f t="shared" si="592"/>
        <v>0</v>
      </c>
      <c r="O280" s="297"/>
      <c r="P280" s="297"/>
      <c r="Q280" s="297"/>
      <c r="R280" s="297"/>
      <c r="S280" s="297"/>
      <c r="T280" s="297"/>
      <c r="U280" s="297"/>
      <c r="V280" s="297"/>
      <c r="W280" s="297"/>
      <c r="X280" s="297"/>
      <c r="Y280" s="297"/>
      <c r="Z280" s="297"/>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19"/>
      <c r="BM280" s="310"/>
      <c r="BN280" s="314"/>
    </row>
    <row r="281" s="262" customFormat="1" ht="33.95" hidden="1" customHeight="1" outlineLevel="5" spans="2:66">
      <c r="B281" s="175" t="s">
        <v>747</v>
      </c>
      <c r="C281" s="282" t="s">
        <v>1282</v>
      </c>
      <c r="D281" s="262" t="s">
        <v>1283</v>
      </c>
      <c r="E281" s="175" t="s">
        <v>1284</v>
      </c>
      <c r="F281" s="175"/>
      <c r="G281" s="175" t="s">
        <v>891</v>
      </c>
      <c r="H281" s="175">
        <f t="shared" si="591"/>
        <v>0</v>
      </c>
      <c r="I281" s="175" t="s">
        <v>1266</v>
      </c>
      <c r="J281" s="297"/>
      <c r="K281" s="175" t="s">
        <v>981</v>
      </c>
      <c r="L281" s="297"/>
      <c r="M281" s="175" t="s">
        <v>1144</v>
      </c>
      <c r="N281" s="175">
        <f t="shared" si="592"/>
        <v>0</v>
      </c>
      <c r="O281" s="297"/>
      <c r="P281" s="297"/>
      <c r="Q281" s="297"/>
      <c r="R281" s="297"/>
      <c r="S281" s="297"/>
      <c r="T281" s="297"/>
      <c r="U281" s="297"/>
      <c r="V281" s="297"/>
      <c r="W281" s="297"/>
      <c r="X281" s="297"/>
      <c r="Y281" s="297"/>
      <c r="Z281" s="297"/>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19"/>
      <c r="BM281" s="310"/>
      <c r="BN281" s="314"/>
    </row>
    <row r="282" s="262" customFormat="1" ht="33.95" hidden="1" customHeight="1" outlineLevel="5" spans="2:66">
      <c r="B282" s="175" t="s">
        <v>747</v>
      </c>
      <c r="C282" s="282" t="s">
        <v>1285</v>
      </c>
      <c r="D282" s="262" t="s">
        <v>1286</v>
      </c>
      <c r="E282" s="175" t="s">
        <v>1287</v>
      </c>
      <c r="F282" s="175"/>
      <c r="G282" s="175" t="s">
        <v>891</v>
      </c>
      <c r="H282" s="175">
        <f t="shared" si="591"/>
        <v>0</v>
      </c>
      <c r="I282" s="175" t="s">
        <v>1266</v>
      </c>
      <c r="J282" s="297"/>
      <c r="K282" s="175" t="s">
        <v>981</v>
      </c>
      <c r="L282" s="297"/>
      <c r="M282" s="175" t="s">
        <v>1144</v>
      </c>
      <c r="N282" s="175">
        <f t="shared" si="592"/>
        <v>0</v>
      </c>
      <c r="O282" s="297"/>
      <c r="P282" s="315"/>
      <c r="Q282" s="315"/>
      <c r="R282" s="315"/>
      <c r="S282" s="315"/>
      <c r="T282" s="315"/>
      <c r="U282" s="315"/>
      <c r="V282" s="315"/>
      <c r="W282" s="315"/>
      <c r="X282" s="315"/>
      <c r="Y282" s="315"/>
      <c r="Z282" s="315"/>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19"/>
      <c r="BM282" s="310"/>
      <c r="BN282" s="314"/>
    </row>
    <row r="283" s="118" customFormat="1" ht="33.95" hidden="1" customHeight="1" outlineLevel="4" collapsed="1" spans="2:66">
      <c r="B283" s="119" t="s">
        <v>742</v>
      </c>
      <c r="C283" s="120" t="s">
        <v>1288</v>
      </c>
      <c r="D283" s="118" t="s">
        <v>1289</v>
      </c>
      <c r="E283" s="119" t="s">
        <v>1290</v>
      </c>
      <c r="F283" s="119"/>
      <c r="G283" s="119"/>
      <c r="H283" s="119">
        <f>SUM(H284:H286)</f>
        <v>0</v>
      </c>
      <c r="I283" s="119"/>
      <c r="J283" s="119"/>
      <c r="K283" s="119"/>
      <c r="L283" s="119"/>
      <c r="M283" s="119"/>
      <c r="N283" s="119"/>
      <c r="O283" s="119"/>
      <c r="P283" s="288"/>
      <c r="Q283" s="288"/>
      <c r="R283" s="288"/>
      <c r="S283" s="288"/>
      <c r="T283" s="288"/>
      <c r="U283" s="288"/>
      <c r="V283" s="288"/>
      <c r="W283" s="288"/>
      <c r="X283" s="288"/>
      <c r="Y283" s="288"/>
      <c r="Z283" s="288"/>
      <c r="AA283" s="288"/>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5"/>
      <c r="BM283" s="310"/>
      <c r="BN283" s="313"/>
    </row>
    <row r="284" s="262" customFormat="1" ht="33.95" hidden="1" customHeight="1" outlineLevel="5" spans="2:66">
      <c r="B284" s="175" t="s">
        <v>747</v>
      </c>
      <c r="C284" s="282" t="s">
        <v>1291</v>
      </c>
      <c r="D284" s="262" t="s">
        <v>1292</v>
      </c>
      <c r="E284" s="175" t="s">
        <v>1293</v>
      </c>
      <c r="F284" s="175"/>
      <c r="G284" s="175" t="s">
        <v>891</v>
      </c>
      <c r="H284" s="175">
        <f t="shared" ref="H284:H290" si="607">IFERROR(J284*L284*N284,0)</f>
        <v>0</v>
      </c>
      <c r="I284" s="175" t="s">
        <v>1294</v>
      </c>
      <c r="J284" s="297"/>
      <c r="K284" s="175" t="s">
        <v>1295</v>
      </c>
      <c r="L284" s="297"/>
      <c r="M284" s="175" t="s">
        <v>1296</v>
      </c>
      <c r="N284" s="175">
        <f t="shared" ref="N284:N290" si="608">COUNTA(O284:Z284)</f>
        <v>0</v>
      </c>
      <c r="O284" s="297"/>
      <c r="P284" s="316"/>
      <c r="Q284" s="316"/>
      <c r="R284" s="316"/>
      <c r="S284" s="316"/>
      <c r="T284" s="316"/>
      <c r="U284" s="316"/>
      <c r="V284" s="316"/>
      <c r="W284" s="316"/>
      <c r="X284" s="316"/>
      <c r="Y284" s="316"/>
      <c r="Z284" s="316"/>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19"/>
      <c r="BM284" s="310"/>
      <c r="BN284" s="314"/>
    </row>
    <row r="285" s="262" customFormat="1" ht="33.95" hidden="1" customHeight="1" outlineLevel="5" spans="2:66">
      <c r="B285" s="175" t="s">
        <v>747</v>
      </c>
      <c r="C285" s="282" t="s">
        <v>1297</v>
      </c>
      <c r="D285" s="262" t="s">
        <v>1298</v>
      </c>
      <c r="E285" s="175" t="s">
        <v>1299</v>
      </c>
      <c r="F285" s="175"/>
      <c r="G285" s="175" t="s">
        <v>891</v>
      </c>
      <c r="H285" s="175">
        <f t="shared" si="607"/>
        <v>0</v>
      </c>
      <c r="I285" s="175" t="s">
        <v>1294</v>
      </c>
      <c r="J285" s="297"/>
      <c r="K285" s="175" t="s">
        <v>1295</v>
      </c>
      <c r="L285" s="297"/>
      <c r="M285" s="175" t="s">
        <v>1296</v>
      </c>
      <c r="N285" s="175">
        <f t="shared" si="608"/>
        <v>0</v>
      </c>
      <c r="O285" s="297"/>
      <c r="P285" s="297"/>
      <c r="Q285" s="297"/>
      <c r="R285" s="297"/>
      <c r="S285" s="297"/>
      <c r="T285" s="297"/>
      <c r="U285" s="297"/>
      <c r="V285" s="297"/>
      <c r="W285" s="297"/>
      <c r="X285" s="297"/>
      <c r="Y285" s="297"/>
      <c r="Z285" s="297"/>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19"/>
      <c r="BM285" s="310"/>
      <c r="BN285" s="314"/>
    </row>
    <row r="286" s="262" customFormat="1" ht="33.95" hidden="1" customHeight="1" outlineLevel="5" spans="2:66">
      <c r="B286" s="175" t="s">
        <v>747</v>
      </c>
      <c r="C286" s="282" t="s">
        <v>1300</v>
      </c>
      <c r="D286" s="262" t="s">
        <v>1301</v>
      </c>
      <c r="E286" s="175" t="s">
        <v>1302</v>
      </c>
      <c r="F286" s="175"/>
      <c r="G286" s="175" t="s">
        <v>891</v>
      </c>
      <c r="H286" s="175">
        <f t="shared" si="607"/>
        <v>0</v>
      </c>
      <c r="I286" s="175" t="s">
        <v>1294</v>
      </c>
      <c r="J286" s="297"/>
      <c r="K286" s="175" t="s">
        <v>1295</v>
      </c>
      <c r="L286" s="297"/>
      <c r="M286" s="175" t="s">
        <v>1296</v>
      </c>
      <c r="N286" s="175">
        <f t="shared" si="608"/>
        <v>0</v>
      </c>
      <c r="O286" s="297"/>
      <c r="P286" s="297"/>
      <c r="Q286" s="297"/>
      <c r="R286" s="297"/>
      <c r="S286" s="297"/>
      <c r="T286" s="297"/>
      <c r="U286" s="297"/>
      <c r="V286" s="297"/>
      <c r="W286" s="297"/>
      <c r="X286" s="297"/>
      <c r="Y286" s="297"/>
      <c r="Z286" s="297"/>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19"/>
      <c r="BM286" s="310"/>
      <c r="BN286" s="314"/>
    </row>
    <row r="287" s="118" customFormat="1" ht="33.95" hidden="1" customHeight="1" outlineLevel="4" spans="2:66">
      <c r="B287" s="119" t="s">
        <v>747</v>
      </c>
      <c r="C287" s="120" t="s">
        <v>1303</v>
      </c>
      <c r="D287" s="118" t="s">
        <v>1304</v>
      </c>
      <c r="E287" s="119" t="s">
        <v>1305</v>
      </c>
      <c r="F287" s="119"/>
      <c r="G287" s="119" t="s">
        <v>891</v>
      </c>
      <c r="H287" s="119">
        <f t="shared" si="607"/>
        <v>0</v>
      </c>
      <c r="I287" s="119" t="s">
        <v>1191</v>
      </c>
      <c r="J287" s="119">
        <v>1</v>
      </c>
      <c r="K287" s="119" t="s">
        <v>1191</v>
      </c>
      <c r="L287" s="297"/>
      <c r="M287" s="119" t="s">
        <v>1192</v>
      </c>
      <c r="N287" s="119">
        <f t="shared" si="608"/>
        <v>0</v>
      </c>
      <c r="O287" s="297"/>
      <c r="P287" s="297"/>
      <c r="Q287" s="297"/>
      <c r="R287" s="297"/>
      <c r="S287" s="297"/>
      <c r="T287" s="297"/>
      <c r="U287" s="297"/>
      <c r="V287" s="297"/>
      <c r="W287" s="297"/>
      <c r="X287" s="297"/>
      <c r="Y287" s="297"/>
      <c r="Z287" s="297"/>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5"/>
      <c r="BM287" s="310"/>
      <c r="BN287" s="313"/>
    </row>
    <row r="288" s="118" customFormat="1" ht="33.95" hidden="1" customHeight="1" outlineLevel="4" spans="2:66">
      <c r="B288" s="119" t="s">
        <v>747</v>
      </c>
      <c r="C288" s="120" t="s">
        <v>1306</v>
      </c>
      <c r="D288" s="118" t="s">
        <v>1307</v>
      </c>
      <c r="E288" s="119" t="s">
        <v>1308</v>
      </c>
      <c r="F288" s="119"/>
      <c r="G288" s="119" t="s">
        <v>891</v>
      </c>
      <c r="H288" s="119">
        <f t="shared" si="607"/>
        <v>0</v>
      </c>
      <c r="I288" s="119" t="s">
        <v>1309</v>
      </c>
      <c r="J288" s="297"/>
      <c r="K288" s="119" t="s">
        <v>981</v>
      </c>
      <c r="L288" s="297"/>
      <c r="M288" s="119" t="s">
        <v>1144</v>
      </c>
      <c r="N288" s="119">
        <f t="shared" si="608"/>
        <v>0</v>
      </c>
      <c r="O288" s="297"/>
      <c r="P288" s="297"/>
      <c r="Q288" s="297"/>
      <c r="R288" s="297"/>
      <c r="S288" s="297"/>
      <c r="T288" s="297"/>
      <c r="U288" s="297"/>
      <c r="V288" s="297"/>
      <c r="W288" s="297"/>
      <c r="X288" s="297"/>
      <c r="Y288" s="297"/>
      <c r="Z288" s="297"/>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5"/>
      <c r="BM288" s="310"/>
      <c r="BN288" s="313"/>
    </row>
    <row r="289" s="118" customFormat="1" ht="33.95" hidden="1" customHeight="1" outlineLevel="4" spans="2:66">
      <c r="B289" s="119" t="s">
        <v>747</v>
      </c>
      <c r="C289" s="120" t="s">
        <v>1310</v>
      </c>
      <c r="D289" s="118" t="s">
        <v>1311</v>
      </c>
      <c r="E289" s="119" t="s">
        <v>1312</v>
      </c>
      <c r="F289" s="119"/>
      <c r="G289" s="119" t="s">
        <v>891</v>
      </c>
      <c r="H289" s="119">
        <f t="shared" si="607"/>
        <v>0</v>
      </c>
      <c r="I289" s="119" t="s">
        <v>1313</v>
      </c>
      <c r="J289" s="297"/>
      <c r="K289" s="119" t="s">
        <v>981</v>
      </c>
      <c r="L289" s="297"/>
      <c r="M289" s="119" t="s">
        <v>1144</v>
      </c>
      <c r="N289" s="119">
        <f t="shared" si="608"/>
        <v>0</v>
      </c>
      <c r="O289" s="297"/>
      <c r="P289" s="297"/>
      <c r="Q289" s="297"/>
      <c r="R289" s="297"/>
      <c r="S289" s="297"/>
      <c r="T289" s="297"/>
      <c r="U289" s="297"/>
      <c r="V289" s="297"/>
      <c r="W289" s="297"/>
      <c r="X289" s="297"/>
      <c r="Y289" s="297"/>
      <c r="Z289" s="297"/>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5"/>
      <c r="BM289" s="310"/>
      <c r="BN289" s="313"/>
    </row>
    <row r="290" s="118" customFormat="1" ht="33.95" hidden="1" customHeight="1" outlineLevel="4" spans="2:66">
      <c r="B290" s="119" t="s">
        <v>747</v>
      </c>
      <c r="C290" s="120" t="s">
        <v>1314</v>
      </c>
      <c r="D290" s="118" t="s">
        <v>1315</v>
      </c>
      <c r="E290" s="119" t="s">
        <v>1316</v>
      </c>
      <c r="F290" s="119"/>
      <c r="G290" s="119" t="s">
        <v>891</v>
      </c>
      <c r="H290" s="119">
        <f t="shared" si="607"/>
        <v>0</v>
      </c>
      <c r="I290" s="119" t="s">
        <v>1317</v>
      </c>
      <c r="J290" s="297"/>
      <c r="K290" s="119" t="s">
        <v>981</v>
      </c>
      <c r="L290" s="297"/>
      <c r="M290" s="119" t="s">
        <v>1144</v>
      </c>
      <c r="N290" s="119">
        <f t="shared" si="608"/>
        <v>0</v>
      </c>
      <c r="O290" s="297"/>
      <c r="P290" s="315"/>
      <c r="Q290" s="315"/>
      <c r="R290" s="315"/>
      <c r="S290" s="315"/>
      <c r="T290" s="315"/>
      <c r="U290" s="315"/>
      <c r="V290" s="315"/>
      <c r="W290" s="315"/>
      <c r="X290" s="315"/>
      <c r="Y290" s="315"/>
      <c r="Z290" s="315"/>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5"/>
      <c r="BM290" s="310"/>
      <c r="BN290" s="313"/>
    </row>
    <row r="291" s="48" customFormat="1" ht="33.95" hidden="1" customHeight="1" outlineLevel="3" collapsed="1" spans="2:66">
      <c r="B291" s="115" t="s">
        <v>742</v>
      </c>
      <c r="C291" s="116" t="s">
        <v>1318</v>
      </c>
      <c r="D291" s="48" t="s">
        <v>1319</v>
      </c>
      <c r="E291" s="115"/>
      <c r="F291" s="115"/>
      <c r="G291" s="115"/>
      <c r="H291" s="115">
        <f>H292+H293+H294+H299</f>
        <v>0</v>
      </c>
      <c r="I291" s="115"/>
      <c r="J291" s="115"/>
      <c r="K291" s="115"/>
      <c r="L291" s="115"/>
      <c r="M291" s="115"/>
      <c r="N291" s="115"/>
      <c r="O291" s="115"/>
      <c r="P291" s="287"/>
      <c r="Q291" s="287"/>
      <c r="R291" s="287"/>
      <c r="S291" s="287"/>
      <c r="T291" s="287"/>
      <c r="U291" s="287"/>
      <c r="V291" s="287"/>
      <c r="W291" s="287"/>
      <c r="X291" s="287"/>
      <c r="Y291" s="287"/>
      <c r="Z291" s="287"/>
      <c r="AA291" s="287"/>
      <c r="AB291" s="115">
        <f t="shared" ref="AB291:AF291" si="622">AB292+AB293+AB294+AB299</f>
        <v>0</v>
      </c>
      <c r="AC291" s="115">
        <f t="shared" si="622"/>
        <v>0</v>
      </c>
      <c r="AD291" s="115"/>
      <c r="AE291" s="115"/>
      <c r="AF291" s="115">
        <f t="shared" si="622"/>
        <v>0</v>
      </c>
      <c r="AG291" s="115"/>
      <c r="AH291" s="115"/>
      <c r="AI291" s="115">
        <f>AI292+AI293+AI294+AI299</f>
        <v>0</v>
      </c>
      <c r="AJ291" s="115"/>
      <c r="AK291" s="115"/>
      <c r="AL291" s="115">
        <f>AL292+AL293+AL294+AL299</f>
        <v>0</v>
      </c>
      <c r="AM291" s="115"/>
      <c r="AN291" s="115"/>
      <c r="AO291" s="115">
        <f>AO292+AO293+AO294+AO299</f>
        <v>0</v>
      </c>
      <c r="AP291" s="115"/>
      <c r="AQ291" s="115"/>
      <c r="AR291" s="115">
        <f>AR292+AR293+AR294+AR299</f>
        <v>0</v>
      </c>
      <c r="AS291" s="115"/>
      <c r="AT291" s="115"/>
      <c r="AU291" s="115">
        <f>AU292+AU293+AU294+AU299</f>
        <v>0</v>
      </c>
      <c r="AV291" s="115"/>
      <c r="AW291" s="115"/>
      <c r="AX291" s="115">
        <f>AX292+AX293+AX294+AX299</f>
        <v>0</v>
      </c>
      <c r="AY291" s="115"/>
      <c r="AZ291" s="115"/>
      <c r="BA291" s="115">
        <f>BA292+BA293+BA294+BA299</f>
        <v>0</v>
      </c>
      <c r="BB291" s="115"/>
      <c r="BC291" s="115"/>
      <c r="BD291" s="115">
        <f>BD292+BD293+BD294+BD299</f>
        <v>0</v>
      </c>
      <c r="BE291" s="115"/>
      <c r="BF291" s="115"/>
      <c r="BG291" s="115">
        <f>BG292+BG293+BG294+BG299</f>
        <v>0</v>
      </c>
      <c r="BH291" s="115"/>
      <c r="BI291" s="115"/>
      <c r="BJ291" s="115">
        <f>BJ292+BJ293+BJ294+BJ299</f>
        <v>0</v>
      </c>
      <c r="BK291" s="115"/>
      <c r="BL291" s="304"/>
      <c r="BM291" s="310"/>
      <c r="BN291" s="312"/>
    </row>
    <row r="292" s="118" customFormat="1" ht="33.95" hidden="1" customHeight="1" outlineLevel="4" spans="2:66">
      <c r="B292" s="119" t="s">
        <v>747</v>
      </c>
      <c r="C292" s="120" t="s">
        <v>1320</v>
      </c>
      <c r="D292" s="118" t="s">
        <v>1321</v>
      </c>
      <c r="E292" s="119" t="s">
        <v>1322</v>
      </c>
      <c r="F292" s="119"/>
      <c r="G292" s="119" t="s">
        <v>891</v>
      </c>
      <c r="H292" s="119">
        <f t="shared" ref="H292:H298" si="623">IFERROR(J292*L292*N292,0)</f>
        <v>0</v>
      </c>
      <c r="I292" s="119" t="s">
        <v>1323</v>
      </c>
      <c r="J292" s="297"/>
      <c r="K292" s="119" t="s">
        <v>1324</v>
      </c>
      <c r="L292" s="321">
        <f>0.379248/1000</f>
        <v>0.000379248</v>
      </c>
      <c r="M292" s="119" t="s">
        <v>1325</v>
      </c>
      <c r="N292" s="119">
        <f>COUNTA(O292:Z292)</f>
        <v>0</v>
      </c>
      <c r="O292" s="297"/>
      <c r="P292" s="316"/>
      <c r="Q292" s="316"/>
      <c r="R292" s="316"/>
      <c r="S292" s="316"/>
      <c r="T292" s="316"/>
      <c r="U292" s="316"/>
      <c r="V292" s="316"/>
      <c r="W292" s="316"/>
      <c r="X292" s="316"/>
      <c r="Y292" s="316"/>
      <c r="Z292" s="316"/>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5"/>
      <c r="BM292" s="310"/>
      <c r="BN292" s="313"/>
    </row>
    <row r="293" s="118" customFormat="1" ht="33.95" hidden="1" customHeight="1" outlineLevel="4" spans="2:66">
      <c r="B293" s="119" t="s">
        <v>747</v>
      </c>
      <c r="C293" s="120" t="s">
        <v>1326</v>
      </c>
      <c r="D293" s="118" t="s">
        <v>1327</v>
      </c>
      <c r="E293" s="119" t="s">
        <v>1322</v>
      </c>
      <c r="F293" s="119"/>
      <c r="G293" s="119" t="s">
        <v>891</v>
      </c>
      <c r="H293" s="119">
        <f t="shared" si="623"/>
        <v>0</v>
      </c>
      <c r="I293" s="119" t="s">
        <v>1328</v>
      </c>
      <c r="J293" s="297"/>
      <c r="K293" s="119" t="s">
        <v>1329</v>
      </c>
      <c r="L293" s="119">
        <v>1000</v>
      </c>
      <c r="M293" s="119" t="s">
        <v>1330</v>
      </c>
      <c r="N293" s="119">
        <f>COUNTA(O293:Z293)</f>
        <v>0</v>
      </c>
      <c r="O293" s="297"/>
      <c r="P293" s="315"/>
      <c r="Q293" s="315"/>
      <c r="R293" s="315"/>
      <c r="S293" s="315"/>
      <c r="T293" s="315"/>
      <c r="U293" s="315"/>
      <c r="V293" s="315"/>
      <c r="W293" s="315"/>
      <c r="X293" s="315"/>
      <c r="Y293" s="315"/>
      <c r="Z293" s="315"/>
      <c r="AA293" s="119"/>
      <c r="AB293" s="119">
        <f>SUM(AC293,AF293,AI293,AL293,AO293,AR293,AU293,AX293,BA293,BD293,BG293,BJ293)</f>
        <v>0</v>
      </c>
      <c r="AC293" s="119">
        <f>IF(O293="",0,$J293*$L293)</f>
        <v>0</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5"/>
      <c r="BM293" s="310"/>
      <c r="BN293" s="313"/>
    </row>
    <row r="294" s="118" customFormat="1" ht="33.95" hidden="1" customHeight="1" outlineLevel="4" collapsed="1" spans="2:66">
      <c r="B294" s="119" t="s">
        <v>742</v>
      </c>
      <c r="C294" s="120" t="s">
        <v>1331</v>
      </c>
      <c r="D294" s="118" t="s">
        <v>1332</v>
      </c>
      <c r="E294" s="119"/>
      <c r="F294" s="119"/>
      <c r="G294" s="119"/>
      <c r="H294" s="119">
        <f>SUM(H295:H298)</f>
        <v>0</v>
      </c>
      <c r="I294" s="119"/>
      <c r="J294" s="119"/>
      <c r="K294" s="119"/>
      <c r="L294" s="119"/>
      <c r="M294" s="119"/>
      <c r="N294" s="119"/>
      <c r="O294" s="119"/>
      <c r="P294" s="288"/>
      <c r="Q294" s="288"/>
      <c r="R294" s="288"/>
      <c r="S294" s="288"/>
      <c r="T294" s="288"/>
      <c r="U294" s="288"/>
      <c r="V294" s="288"/>
      <c r="W294" s="288"/>
      <c r="X294" s="288"/>
      <c r="Y294" s="288"/>
      <c r="Z294" s="288"/>
      <c r="AA294" s="288"/>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5"/>
      <c r="BM294" s="310"/>
      <c r="BN294" s="313"/>
    </row>
    <row r="295" s="262" customFormat="1" ht="33.95" hidden="1" customHeight="1" outlineLevel="5" spans="2:66">
      <c r="B295" s="175" t="s">
        <v>747</v>
      </c>
      <c r="C295" s="282" t="s">
        <v>1333</v>
      </c>
      <c r="D295" s="262" t="s">
        <v>1334</v>
      </c>
      <c r="E295" s="175"/>
      <c r="F295" s="175"/>
      <c r="G295" s="175" t="s">
        <v>891</v>
      </c>
      <c r="H295" s="175">
        <f t="shared" si="623"/>
        <v>0</v>
      </c>
      <c r="I295" s="175" t="s">
        <v>1190</v>
      </c>
      <c r="J295" s="175">
        <v>1</v>
      </c>
      <c r="K295" s="175" t="s">
        <v>1191</v>
      </c>
      <c r="L295" s="175">
        <f>IF('1-1 项目基础信息'!K9&gt;200000,7500,5000)</f>
        <v>5000</v>
      </c>
      <c r="M295" s="175" t="s">
        <v>1335</v>
      </c>
      <c r="N295" s="175">
        <f>COUNTA(O295:Z295)</f>
        <v>0</v>
      </c>
      <c r="O295" s="297"/>
      <c r="P295" s="316"/>
      <c r="Q295" s="316"/>
      <c r="R295" s="316"/>
      <c r="S295" s="316"/>
      <c r="T295" s="316"/>
      <c r="U295" s="316"/>
      <c r="V295" s="316"/>
      <c r="W295" s="316"/>
      <c r="X295" s="316"/>
      <c r="Y295" s="316"/>
      <c r="Z295" s="316"/>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19"/>
      <c r="BM295" s="310"/>
      <c r="BN295" s="314"/>
    </row>
    <row r="296" s="262" customFormat="1" ht="33.95" hidden="1" customHeight="1" outlineLevel="5" spans="2:66">
      <c r="B296" s="175" t="s">
        <v>747</v>
      </c>
      <c r="C296" s="282" t="s">
        <v>1336</v>
      </c>
      <c r="D296" s="262" t="s">
        <v>1337</v>
      </c>
      <c r="E296" s="175"/>
      <c r="F296" s="175"/>
      <c r="G296" s="175" t="s">
        <v>891</v>
      </c>
      <c r="H296" s="175">
        <f t="shared" si="623"/>
        <v>0</v>
      </c>
      <c r="I296" s="175" t="s">
        <v>1190</v>
      </c>
      <c r="J296" s="175">
        <v>1</v>
      </c>
      <c r="K296" s="175" t="s">
        <v>1191</v>
      </c>
      <c r="L296" s="175">
        <v>750</v>
      </c>
      <c r="M296" s="175" t="s">
        <v>1335</v>
      </c>
      <c r="N296" s="175">
        <f>COUNTA(O296:Z296)</f>
        <v>0</v>
      </c>
      <c r="O296" s="297"/>
      <c r="P296" s="297"/>
      <c r="Q296" s="297"/>
      <c r="R296" s="297"/>
      <c r="S296" s="297"/>
      <c r="T296" s="297"/>
      <c r="U296" s="297"/>
      <c r="V296" s="297"/>
      <c r="W296" s="297"/>
      <c r="X296" s="297"/>
      <c r="Y296" s="297"/>
      <c r="Z296" s="297"/>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19"/>
      <c r="BM296" s="310"/>
      <c r="BN296" s="314"/>
    </row>
    <row r="297" s="262" customFormat="1" ht="33.95" hidden="1" customHeight="1" outlineLevel="5" spans="2:66">
      <c r="B297" s="175" t="s">
        <v>747</v>
      </c>
      <c r="C297" s="282" t="s">
        <v>1338</v>
      </c>
      <c r="D297" s="262" t="s">
        <v>1339</v>
      </c>
      <c r="E297" s="175"/>
      <c r="F297" s="175"/>
      <c r="G297" s="175" t="s">
        <v>891</v>
      </c>
      <c r="H297" s="175">
        <f t="shared" si="623"/>
        <v>0</v>
      </c>
      <c r="I297" s="175" t="s">
        <v>1190</v>
      </c>
      <c r="J297" s="175">
        <v>1</v>
      </c>
      <c r="K297" s="175" t="s">
        <v>1191</v>
      </c>
      <c r="L297" s="175">
        <v>1780</v>
      </c>
      <c r="M297" s="175" t="s">
        <v>1335</v>
      </c>
      <c r="N297" s="175">
        <f>COUNTA(O297:Z297)</f>
        <v>0</v>
      </c>
      <c r="O297" s="297"/>
      <c r="P297" s="297"/>
      <c r="Q297" s="297"/>
      <c r="R297" s="297"/>
      <c r="S297" s="297"/>
      <c r="T297" s="297"/>
      <c r="U297" s="297"/>
      <c r="V297" s="297"/>
      <c r="W297" s="297"/>
      <c r="X297" s="297"/>
      <c r="Y297" s="297"/>
      <c r="Z297" s="297"/>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19"/>
      <c r="BM297" s="310"/>
      <c r="BN297" s="314"/>
    </row>
    <row r="298" s="262" customFormat="1" ht="33.95" hidden="1" customHeight="1" outlineLevel="5" spans="2:66">
      <c r="B298" s="175" t="s">
        <v>747</v>
      </c>
      <c r="C298" s="282" t="s">
        <v>1340</v>
      </c>
      <c r="D298" s="262" t="s">
        <v>1341</v>
      </c>
      <c r="E298" s="175"/>
      <c r="F298" s="175"/>
      <c r="G298" s="175"/>
      <c r="H298" s="175">
        <f t="shared" si="623"/>
        <v>0</v>
      </c>
      <c r="I298" s="175" t="s">
        <v>1342</v>
      </c>
      <c r="J298" s="297"/>
      <c r="K298" s="175" t="s">
        <v>1343</v>
      </c>
      <c r="L298" s="175">
        <v>780</v>
      </c>
      <c r="M298" s="175" t="s">
        <v>1344</v>
      </c>
      <c r="N298" s="175">
        <f>COUNTA(O298:Z298)</f>
        <v>0</v>
      </c>
      <c r="O298" s="297"/>
      <c r="P298" s="315"/>
      <c r="Q298" s="315"/>
      <c r="R298" s="315"/>
      <c r="S298" s="315"/>
      <c r="T298" s="315"/>
      <c r="U298" s="315"/>
      <c r="V298" s="315"/>
      <c r="W298" s="315"/>
      <c r="X298" s="315"/>
      <c r="Y298" s="315"/>
      <c r="Z298" s="315"/>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19"/>
      <c r="BM298" s="310"/>
      <c r="BN298" s="314"/>
    </row>
    <row r="299" s="118" customFormat="1" ht="33.95" hidden="1" customHeight="1" outlineLevel="4" collapsed="1" spans="2:66">
      <c r="B299" s="119" t="s">
        <v>742</v>
      </c>
      <c r="C299" s="120" t="s">
        <v>1345</v>
      </c>
      <c r="D299" s="118" t="s">
        <v>1346</v>
      </c>
      <c r="E299" s="119"/>
      <c r="F299" s="119"/>
      <c r="G299" s="119"/>
      <c r="H299" s="119">
        <f>SUM(H300:H302)</f>
        <v>0</v>
      </c>
      <c r="I299" s="119"/>
      <c r="J299" s="119"/>
      <c r="K299" s="119"/>
      <c r="L299" s="119"/>
      <c r="M299" s="119"/>
      <c r="N299" s="119"/>
      <c r="O299" s="119"/>
      <c r="P299" s="288"/>
      <c r="Q299" s="288"/>
      <c r="R299" s="288"/>
      <c r="S299" s="288"/>
      <c r="T299" s="288"/>
      <c r="U299" s="288"/>
      <c r="V299" s="288"/>
      <c r="W299" s="288"/>
      <c r="X299" s="288"/>
      <c r="Y299" s="288"/>
      <c r="Z299" s="288"/>
      <c r="AA299" s="288"/>
      <c r="AB299" s="119">
        <f t="shared" ref="AB299:AF299" si="625">SUM(AB300:AB302)</f>
        <v>0</v>
      </c>
      <c r="AC299" s="119">
        <f t="shared" si="625"/>
        <v>0</v>
      </c>
      <c r="AD299" s="119"/>
      <c r="AE299" s="119"/>
      <c r="AF299" s="119">
        <f t="shared" si="625"/>
        <v>0</v>
      </c>
      <c r="AG299" s="119"/>
      <c r="AH299" s="119"/>
      <c r="AI299" s="119">
        <f>SUM(AI300:AI302)</f>
        <v>0</v>
      </c>
      <c r="AJ299" s="119"/>
      <c r="AK299" s="119"/>
      <c r="AL299" s="119">
        <f>SUM(AL300:AL302)</f>
        <v>0</v>
      </c>
      <c r="AM299" s="119"/>
      <c r="AN299" s="119"/>
      <c r="AO299" s="119">
        <f>SUM(AO300:AO302)</f>
        <v>0</v>
      </c>
      <c r="AP299" s="119"/>
      <c r="AQ299" s="119"/>
      <c r="AR299" s="119">
        <f>SUM(AR300:AR302)</f>
        <v>0</v>
      </c>
      <c r="AS299" s="119"/>
      <c r="AT299" s="119"/>
      <c r="AU299" s="119">
        <f>SUM(AU300:AU302)</f>
        <v>0</v>
      </c>
      <c r="AV299" s="119"/>
      <c r="AW299" s="119"/>
      <c r="AX299" s="119">
        <f>SUM(AX300:AX302)</f>
        <v>0</v>
      </c>
      <c r="AY299" s="119"/>
      <c r="AZ299" s="119"/>
      <c r="BA299" s="119">
        <f>SUM(BA300:BA302)</f>
        <v>0</v>
      </c>
      <c r="BB299" s="119"/>
      <c r="BC299" s="119"/>
      <c r="BD299" s="119">
        <f>SUM(BD300:BD302)</f>
        <v>0</v>
      </c>
      <c r="BE299" s="119"/>
      <c r="BF299" s="119"/>
      <c r="BG299" s="119">
        <f>SUM(BG300:BG302)</f>
        <v>0</v>
      </c>
      <c r="BH299" s="119"/>
      <c r="BI299" s="119"/>
      <c r="BJ299" s="119">
        <f>SUM(BJ300:BJ302)</f>
        <v>0</v>
      </c>
      <c r="BK299" s="119"/>
      <c r="BL299" s="305"/>
      <c r="BM299" s="310"/>
      <c r="BN299" s="313"/>
    </row>
    <row r="300" s="262" customFormat="1" ht="33.95" hidden="1" customHeight="1" outlineLevel="5" spans="2:66">
      <c r="B300" s="175" t="s">
        <v>747</v>
      </c>
      <c r="C300" s="282" t="s">
        <v>1347</v>
      </c>
      <c r="D300" s="262" t="s">
        <v>1348</v>
      </c>
      <c r="E300" s="175"/>
      <c r="F300" s="175"/>
      <c r="G300" s="175" t="s">
        <v>891</v>
      </c>
      <c r="H300" s="175">
        <f t="shared" ref="H300:H302" si="626">IFERROR(J300*L300*N300,0)</f>
        <v>0</v>
      </c>
      <c r="I300" s="175" t="s">
        <v>1328</v>
      </c>
      <c r="J300" s="297"/>
      <c r="K300" s="175" t="s">
        <v>1329</v>
      </c>
      <c r="L300" s="175">
        <v>5000</v>
      </c>
      <c r="M300" s="175" t="s">
        <v>1183</v>
      </c>
      <c r="N300" s="175">
        <f t="shared" ref="N300:N306" si="627">COUNTA(O300:Z300)</f>
        <v>0</v>
      </c>
      <c r="O300" s="297"/>
      <c r="P300" s="316"/>
      <c r="Q300" s="316"/>
      <c r="R300" s="316"/>
      <c r="S300" s="316"/>
      <c r="T300" s="316"/>
      <c r="U300" s="316"/>
      <c r="V300" s="316"/>
      <c r="W300" s="316"/>
      <c r="X300" s="316"/>
      <c r="Y300" s="316"/>
      <c r="Z300" s="316"/>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19"/>
      <c r="BM300" s="310"/>
      <c r="BN300" s="314"/>
    </row>
    <row r="301" s="262" customFormat="1" ht="33.95" hidden="1" customHeight="1" outlineLevel="5" spans="2:66">
      <c r="B301" s="175" t="s">
        <v>747</v>
      </c>
      <c r="C301" s="282" t="s">
        <v>1349</v>
      </c>
      <c r="D301" s="262" t="s">
        <v>1350</v>
      </c>
      <c r="E301" s="175"/>
      <c r="F301" s="175"/>
      <c r="G301" s="175" t="s">
        <v>891</v>
      </c>
      <c r="H301" s="175">
        <f t="shared" si="626"/>
        <v>0</v>
      </c>
      <c r="I301" s="175" t="s">
        <v>1328</v>
      </c>
      <c r="J301" s="297"/>
      <c r="K301" s="175" t="s">
        <v>1329</v>
      </c>
      <c r="L301" s="175">
        <v>1000</v>
      </c>
      <c r="M301" s="175" t="s">
        <v>1183</v>
      </c>
      <c r="N301" s="175">
        <f t="shared" si="627"/>
        <v>0</v>
      </c>
      <c r="O301" s="297"/>
      <c r="P301" s="297"/>
      <c r="Q301" s="297"/>
      <c r="R301" s="297"/>
      <c r="S301" s="297"/>
      <c r="T301" s="297"/>
      <c r="U301" s="297"/>
      <c r="V301" s="297"/>
      <c r="W301" s="297"/>
      <c r="X301" s="297"/>
      <c r="Y301" s="297"/>
      <c r="Z301" s="297"/>
      <c r="AA301" s="175"/>
      <c r="AB301" s="175">
        <f t="shared" si="628"/>
        <v>0</v>
      </c>
      <c r="AC301" s="175">
        <f t="shared" si="629"/>
        <v>0</v>
      </c>
      <c r="AD301" s="175"/>
      <c r="AE301" s="175"/>
      <c r="AF301" s="175">
        <f t="shared" si="630"/>
        <v>0</v>
      </c>
      <c r="AG301" s="175"/>
      <c r="AH301" s="175"/>
      <c r="AI301" s="175">
        <f t="shared" si="631"/>
        <v>0</v>
      </c>
      <c r="AJ301" s="175"/>
      <c r="AK301" s="175"/>
      <c r="AL301" s="175">
        <f t="shared" si="632"/>
        <v>0</v>
      </c>
      <c r="AM301" s="175"/>
      <c r="AN301" s="175"/>
      <c r="AO301" s="175">
        <f t="shared" si="633"/>
        <v>0</v>
      </c>
      <c r="AP301" s="175"/>
      <c r="AQ301" s="175"/>
      <c r="AR301" s="175">
        <f t="shared" si="634"/>
        <v>0</v>
      </c>
      <c r="AS301" s="175"/>
      <c r="AT301" s="175"/>
      <c r="AU301" s="175">
        <f t="shared" si="635"/>
        <v>0</v>
      </c>
      <c r="AV301" s="175"/>
      <c r="AW301" s="175"/>
      <c r="AX301" s="175">
        <f t="shared" si="636"/>
        <v>0</v>
      </c>
      <c r="AY301" s="175"/>
      <c r="AZ301" s="175"/>
      <c r="BA301" s="175">
        <f t="shared" si="637"/>
        <v>0</v>
      </c>
      <c r="BB301" s="175"/>
      <c r="BC301" s="175"/>
      <c r="BD301" s="175">
        <f t="shared" si="638"/>
        <v>0</v>
      </c>
      <c r="BE301" s="175"/>
      <c r="BF301" s="175"/>
      <c r="BG301" s="175">
        <f t="shared" si="639"/>
        <v>0</v>
      </c>
      <c r="BH301" s="175"/>
      <c r="BI301" s="175"/>
      <c r="BJ301" s="175">
        <f t="shared" si="640"/>
        <v>0</v>
      </c>
      <c r="BK301" s="175"/>
      <c r="BL301" s="319"/>
      <c r="BM301" s="310"/>
      <c r="BN301" s="314"/>
    </row>
    <row r="302" s="262" customFormat="1" ht="33.95" hidden="1" customHeight="1" outlineLevel="5" spans="2:66">
      <c r="B302" s="175" t="s">
        <v>747</v>
      </c>
      <c r="C302" s="282" t="s">
        <v>1351</v>
      </c>
      <c r="D302" s="262" t="s">
        <v>1352</v>
      </c>
      <c r="E302" s="175"/>
      <c r="F302" s="175"/>
      <c r="G302" s="175" t="s">
        <v>891</v>
      </c>
      <c r="H302" s="175">
        <f t="shared" si="626"/>
        <v>0</v>
      </c>
      <c r="I302" s="175" t="s">
        <v>1353</v>
      </c>
      <c r="J302" s="297"/>
      <c r="K302" s="175" t="s">
        <v>1324</v>
      </c>
      <c r="L302" s="175">
        <v>0.2</v>
      </c>
      <c r="M302" s="175" t="s">
        <v>1325</v>
      </c>
      <c r="N302" s="175">
        <f t="shared" si="627"/>
        <v>0</v>
      </c>
      <c r="O302" s="297"/>
      <c r="P302" s="315"/>
      <c r="Q302" s="315"/>
      <c r="R302" s="315"/>
      <c r="S302" s="315"/>
      <c r="T302" s="315"/>
      <c r="U302" s="315"/>
      <c r="V302" s="315"/>
      <c r="W302" s="315"/>
      <c r="X302" s="315"/>
      <c r="Y302" s="315"/>
      <c r="Z302" s="315"/>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19"/>
      <c r="BM302" s="310"/>
      <c r="BN302" s="314"/>
    </row>
    <row r="303" s="48" customFormat="1" ht="33.95" hidden="1" customHeight="1" outlineLevel="3" collapsed="1" spans="2:66">
      <c r="B303" s="115" t="s">
        <v>742</v>
      </c>
      <c r="C303" s="116" t="s">
        <v>1354</v>
      </c>
      <c r="D303" s="48" t="s">
        <v>1355</v>
      </c>
      <c r="E303" s="115"/>
      <c r="F303" s="115"/>
      <c r="G303" s="115"/>
      <c r="H303" s="115">
        <f>SUM(H304:H306)</f>
        <v>0</v>
      </c>
      <c r="I303" s="115"/>
      <c r="J303" s="115"/>
      <c r="K303" s="115"/>
      <c r="L303" s="115"/>
      <c r="M303" s="115"/>
      <c r="N303" s="115"/>
      <c r="O303" s="115"/>
      <c r="P303" s="287"/>
      <c r="Q303" s="287"/>
      <c r="R303" s="287"/>
      <c r="S303" s="287"/>
      <c r="T303" s="287"/>
      <c r="U303" s="287"/>
      <c r="V303" s="287"/>
      <c r="W303" s="287"/>
      <c r="X303" s="287"/>
      <c r="Y303" s="287"/>
      <c r="Z303" s="287"/>
      <c r="AA303" s="287"/>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4"/>
      <c r="BM303" s="310"/>
      <c r="BN303" s="312"/>
    </row>
    <row r="304" s="118" customFormat="1" ht="33.95" hidden="1" customHeight="1" outlineLevel="4" spans="2:66">
      <c r="B304" s="119" t="s">
        <v>747</v>
      </c>
      <c r="C304" s="120" t="s">
        <v>1356</v>
      </c>
      <c r="D304" s="118" t="s">
        <v>1357</v>
      </c>
      <c r="E304" s="119" t="s">
        <v>1358</v>
      </c>
      <c r="F304" s="119"/>
      <c r="G304" s="119" t="s">
        <v>891</v>
      </c>
      <c r="H304" s="119">
        <f t="shared" ref="H304:H306" si="642">IFERROR(J304*L304*N304,0)</f>
        <v>0</v>
      </c>
      <c r="I304" s="119" t="s">
        <v>1359</v>
      </c>
      <c r="J304" s="297"/>
      <c r="K304" s="119" t="s">
        <v>1324</v>
      </c>
      <c r="L304" s="297"/>
      <c r="M304" s="119" t="s">
        <v>1325</v>
      </c>
      <c r="N304" s="119">
        <f t="shared" si="627"/>
        <v>0</v>
      </c>
      <c r="O304" s="297"/>
      <c r="P304" s="316"/>
      <c r="Q304" s="316"/>
      <c r="R304" s="316"/>
      <c r="S304" s="316"/>
      <c r="T304" s="316"/>
      <c r="U304" s="316"/>
      <c r="V304" s="316"/>
      <c r="W304" s="316"/>
      <c r="X304" s="316"/>
      <c r="Y304" s="316"/>
      <c r="Z304" s="316"/>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5"/>
      <c r="BM304" s="310"/>
      <c r="BN304" s="313"/>
    </row>
    <row r="305" s="118" customFormat="1" ht="33.95" hidden="1" customHeight="1" outlineLevel="4" spans="2:66">
      <c r="B305" s="119" t="s">
        <v>747</v>
      </c>
      <c r="C305" s="120" t="s">
        <v>1360</v>
      </c>
      <c r="D305" s="118" t="s">
        <v>1361</v>
      </c>
      <c r="E305" s="119" t="s">
        <v>1362</v>
      </c>
      <c r="F305" s="119"/>
      <c r="G305" s="119" t="s">
        <v>891</v>
      </c>
      <c r="H305" s="119">
        <f t="shared" si="642"/>
        <v>0</v>
      </c>
      <c r="I305" s="119" t="s">
        <v>1363</v>
      </c>
      <c r="J305" s="297"/>
      <c r="K305" s="119" t="s">
        <v>1343</v>
      </c>
      <c r="L305" s="297"/>
      <c r="M305" s="119" t="s">
        <v>1364</v>
      </c>
      <c r="N305" s="119">
        <f t="shared" si="627"/>
        <v>0</v>
      </c>
      <c r="O305" s="297"/>
      <c r="P305" s="297"/>
      <c r="Q305" s="297"/>
      <c r="R305" s="297"/>
      <c r="S305" s="297"/>
      <c r="T305" s="297"/>
      <c r="U305" s="297"/>
      <c r="V305" s="297"/>
      <c r="W305" s="297"/>
      <c r="X305" s="297"/>
      <c r="Y305" s="297"/>
      <c r="Z305" s="297"/>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5"/>
      <c r="BM305" s="310"/>
      <c r="BN305" s="313"/>
    </row>
    <row r="306" s="118" customFormat="1" ht="33.95" hidden="1" customHeight="1" outlineLevel="4" spans="2:66">
      <c r="B306" s="119" t="s">
        <v>747</v>
      </c>
      <c r="C306" s="120" t="s">
        <v>1365</v>
      </c>
      <c r="D306" s="118" t="s">
        <v>1366</v>
      </c>
      <c r="E306" s="119" t="s">
        <v>1367</v>
      </c>
      <c r="F306" s="119"/>
      <c r="G306" s="119" t="s">
        <v>891</v>
      </c>
      <c r="H306" s="119">
        <f t="shared" si="642"/>
        <v>0</v>
      </c>
      <c r="I306" s="119" t="s">
        <v>1368</v>
      </c>
      <c r="J306" s="119">
        <v>1</v>
      </c>
      <c r="K306" s="119" t="s">
        <v>1191</v>
      </c>
      <c r="L306" s="297"/>
      <c r="M306" s="119" t="s">
        <v>1183</v>
      </c>
      <c r="N306" s="119">
        <f t="shared" si="627"/>
        <v>0</v>
      </c>
      <c r="O306" s="297"/>
      <c r="P306" s="315"/>
      <c r="Q306" s="315"/>
      <c r="R306" s="315"/>
      <c r="S306" s="315"/>
      <c r="T306" s="315"/>
      <c r="U306" s="315"/>
      <c r="V306" s="315"/>
      <c r="W306" s="315"/>
      <c r="X306" s="315"/>
      <c r="Y306" s="315"/>
      <c r="Z306" s="315"/>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5"/>
      <c r="BM306" s="310"/>
      <c r="BN306" s="313"/>
    </row>
    <row r="307" s="48" customFormat="1" ht="33.95" hidden="1" customHeight="1" outlineLevel="3" spans="2:66">
      <c r="B307" s="115" t="s">
        <v>747</v>
      </c>
      <c r="C307" s="116" t="s">
        <v>1369</v>
      </c>
      <c r="D307" s="48" t="s">
        <v>1370</v>
      </c>
      <c r="E307" s="115" t="s">
        <v>1237</v>
      </c>
      <c r="F307" s="115"/>
      <c r="G307" s="115" t="s">
        <v>1371</v>
      </c>
      <c r="H307" s="115">
        <f>AB307</f>
        <v>0</v>
      </c>
      <c r="I307" s="115" t="s">
        <v>980</v>
      </c>
      <c r="J307" s="115">
        <f>AVERAGE('1-1 项目基础信息'!$H$9:$S$9)</f>
        <v>5829.78</v>
      </c>
      <c r="K307" s="115" t="s">
        <v>1191</v>
      </c>
      <c r="L307" s="115">
        <f>H307/J307/N307</f>
        <v>0</v>
      </c>
      <c r="M307" s="115" t="s">
        <v>754</v>
      </c>
      <c r="N307" s="115">
        <v>12</v>
      </c>
      <c r="O307" s="115"/>
      <c r="P307" s="287"/>
      <c r="Q307" s="287"/>
      <c r="R307" s="287"/>
      <c r="S307" s="287"/>
      <c r="T307" s="287"/>
      <c r="U307" s="287"/>
      <c r="V307" s="287"/>
      <c r="W307" s="287"/>
      <c r="X307" s="287"/>
      <c r="Y307" s="287"/>
      <c r="Z307" s="287"/>
      <c r="AA307" s="287"/>
      <c r="AB307" s="115">
        <f t="shared" si="628"/>
        <v>0</v>
      </c>
      <c r="AC307" s="297"/>
      <c r="AD307" s="115"/>
      <c r="AE307" s="115"/>
      <c r="AF307" s="297"/>
      <c r="AG307" s="115"/>
      <c r="AH307" s="115"/>
      <c r="AI307" s="297"/>
      <c r="AJ307" s="115"/>
      <c r="AK307" s="115"/>
      <c r="AL307" s="297"/>
      <c r="AM307" s="115"/>
      <c r="AN307" s="115"/>
      <c r="AO307" s="297"/>
      <c r="AP307" s="115"/>
      <c r="AQ307" s="115"/>
      <c r="AR307" s="297"/>
      <c r="AS307" s="115"/>
      <c r="AT307" s="115"/>
      <c r="AU307" s="297"/>
      <c r="AV307" s="115"/>
      <c r="AW307" s="115"/>
      <c r="AX307" s="297"/>
      <c r="AY307" s="115"/>
      <c r="AZ307" s="115"/>
      <c r="BA307" s="297"/>
      <c r="BB307" s="115"/>
      <c r="BC307" s="115"/>
      <c r="BD307" s="297"/>
      <c r="BE307" s="115"/>
      <c r="BF307" s="115"/>
      <c r="BG307" s="297"/>
      <c r="BH307" s="115"/>
      <c r="BI307" s="115"/>
      <c r="BJ307" s="297"/>
      <c r="BK307" s="115"/>
      <c r="BL307" s="304"/>
      <c r="BM307" s="310"/>
      <c r="BN307" s="312"/>
    </row>
    <row r="308" s="22" customFormat="1" ht="33.95" hidden="1" customHeight="1" outlineLevel="2" collapsed="1" spans="2:66">
      <c r="B308" s="112" t="s">
        <v>742</v>
      </c>
      <c r="C308" s="113" t="s">
        <v>222</v>
      </c>
      <c r="D308" s="22" t="s">
        <v>223</v>
      </c>
      <c r="E308" s="112"/>
      <c r="F308" s="112"/>
      <c r="G308" s="112"/>
      <c r="H308" s="112">
        <f>H309+H314+H315+H335+H356+H362+H363+H364+H365+H371+H372+H373+H380</f>
        <v>0</v>
      </c>
      <c r="I308" s="112"/>
      <c r="J308" s="112"/>
      <c r="K308" s="112"/>
      <c r="L308" s="112"/>
      <c r="M308" s="112"/>
      <c r="N308" s="112"/>
      <c r="O308" s="112"/>
      <c r="P308" s="286"/>
      <c r="Q308" s="286"/>
      <c r="R308" s="286"/>
      <c r="S308" s="286"/>
      <c r="T308" s="286"/>
      <c r="U308" s="286"/>
      <c r="V308" s="286"/>
      <c r="W308" s="286"/>
      <c r="X308" s="286"/>
      <c r="Y308" s="286"/>
      <c r="Z308" s="286"/>
      <c r="AA308" s="286"/>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3"/>
      <c r="BM308" s="310"/>
      <c r="BN308" s="311"/>
    </row>
    <row r="309" s="48" customFormat="1" ht="33.95" hidden="1" customHeight="1" outlineLevel="3" collapsed="1" spans="2:66">
      <c r="B309" s="115" t="s">
        <v>742</v>
      </c>
      <c r="C309" s="116" t="s">
        <v>1372</v>
      </c>
      <c r="D309" s="48" t="s">
        <v>1373</v>
      </c>
      <c r="E309" s="115"/>
      <c r="F309" s="115"/>
      <c r="G309" s="115"/>
      <c r="H309" s="115">
        <f>SUM(H310:H313)</f>
        <v>0</v>
      </c>
      <c r="I309" s="115"/>
      <c r="J309" s="115"/>
      <c r="K309" s="115"/>
      <c r="L309" s="115"/>
      <c r="M309" s="115"/>
      <c r="N309" s="115"/>
      <c r="O309" s="115"/>
      <c r="P309" s="287"/>
      <c r="Q309" s="287"/>
      <c r="R309" s="287"/>
      <c r="S309" s="287"/>
      <c r="T309" s="287"/>
      <c r="U309" s="287"/>
      <c r="V309" s="287"/>
      <c r="W309" s="287"/>
      <c r="X309" s="287"/>
      <c r="Y309" s="287"/>
      <c r="Z309" s="287"/>
      <c r="AA309" s="287"/>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4"/>
      <c r="BM309" s="310"/>
      <c r="BN309" s="312"/>
    </row>
    <row r="310" s="118" customFormat="1" ht="33.95" hidden="1" customHeight="1" outlineLevel="4" spans="2:66">
      <c r="B310" s="119" t="s">
        <v>747</v>
      </c>
      <c r="C310" s="120" t="s">
        <v>1374</v>
      </c>
      <c r="D310" s="118" t="s">
        <v>1375</v>
      </c>
      <c r="E310" s="119" t="s">
        <v>1376</v>
      </c>
      <c r="F310" s="119"/>
      <c r="G310" s="119" t="s">
        <v>891</v>
      </c>
      <c r="H310" s="119">
        <f t="shared" ref="H310:H314" si="645">IFERROR(J310*L310*N310,0)</f>
        <v>0</v>
      </c>
      <c r="I310" s="119" t="s">
        <v>1377</v>
      </c>
      <c r="J310" s="297"/>
      <c r="K310" s="119" t="s">
        <v>1098</v>
      </c>
      <c r="L310" s="297"/>
      <c r="M310" s="119" t="s">
        <v>1131</v>
      </c>
      <c r="N310" s="119">
        <f t="shared" ref="N310:N313" si="646">COUNTA(O310:Z310)</f>
        <v>0</v>
      </c>
      <c r="O310" s="297"/>
      <c r="P310" s="316"/>
      <c r="Q310" s="316"/>
      <c r="R310" s="316"/>
      <c r="S310" s="316"/>
      <c r="T310" s="316"/>
      <c r="U310" s="316"/>
      <c r="V310" s="316"/>
      <c r="W310" s="316"/>
      <c r="X310" s="316"/>
      <c r="Y310" s="316"/>
      <c r="Z310" s="316"/>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5"/>
      <c r="BM310" s="310"/>
      <c r="BN310" s="313"/>
    </row>
    <row r="311" s="118" customFormat="1" ht="33.95" hidden="1" customHeight="1" outlineLevel="4" spans="2:66">
      <c r="B311" s="119" t="s">
        <v>747</v>
      </c>
      <c r="C311" s="120" t="s">
        <v>1378</v>
      </c>
      <c r="D311" s="118" t="s">
        <v>1379</v>
      </c>
      <c r="E311" s="119" t="s">
        <v>1380</v>
      </c>
      <c r="F311" s="119"/>
      <c r="G311" s="119" t="s">
        <v>891</v>
      </c>
      <c r="H311" s="119">
        <f t="shared" si="645"/>
        <v>0</v>
      </c>
      <c r="I311" s="119" t="s">
        <v>1377</v>
      </c>
      <c r="J311" s="297"/>
      <c r="K311" s="119" t="s">
        <v>1098</v>
      </c>
      <c r="L311" s="297"/>
      <c r="M311" s="119" t="s">
        <v>1131</v>
      </c>
      <c r="N311" s="119">
        <f t="shared" si="646"/>
        <v>0</v>
      </c>
      <c r="O311" s="297"/>
      <c r="P311" s="297"/>
      <c r="Q311" s="297"/>
      <c r="R311" s="297"/>
      <c r="S311" s="297"/>
      <c r="T311" s="297"/>
      <c r="U311" s="297"/>
      <c r="V311" s="297"/>
      <c r="W311" s="297"/>
      <c r="X311" s="297"/>
      <c r="Y311" s="297"/>
      <c r="Z311" s="297"/>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5"/>
      <c r="BM311" s="310"/>
      <c r="BN311" s="313"/>
    </row>
    <row r="312" s="118" customFormat="1" ht="33.95" hidden="1" customHeight="1" outlineLevel="4" spans="2:66">
      <c r="B312" s="119" t="s">
        <v>747</v>
      </c>
      <c r="C312" s="120" t="s">
        <v>1381</v>
      </c>
      <c r="D312" s="118" t="s">
        <v>1382</v>
      </c>
      <c r="E312" s="119" t="s">
        <v>1383</v>
      </c>
      <c r="F312" s="119"/>
      <c r="G312" s="119" t="s">
        <v>891</v>
      </c>
      <c r="H312" s="119">
        <f t="shared" si="645"/>
        <v>0</v>
      </c>
      <c r="I312" s="119" t="s">
        <v>1377</v>
      </c>
      <c r="J312" s="297"/>
      <c r="K312" s="119" t="s">
        <v>1098</v>
      </c>
      <c r="L312" s="297"/>
      <c r="M312" s="119" t="s">
        <v>1131</v>
      </c>
      <c r="N312" s="119">
        <f t="shared" si="646"/>
        <v>0</v>
      </c>
      <c r="O312" s="297"/>
      <c r="P312" s="297"/>
      <c r="Q312" s="297"/>
      <c r="R312" s="297"/>
      <c r="S312" s="297"/>
      <c r="T312" s="297"/>
      <c r="U312" s="297"/>
      <c r="V312" s="297"/>
      <c r="W312" s="297"/>
      <c r="X312" s="297"/>
      <c r="Y312" s="297"/>
      <c r="Z312" s="297"/>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5"/>
      <c r="BM312" s="310"/>
      <c r="BN312" s="313"/>
    </row>
    <row r="313" s="118" customFormat="1" ht="33.95" hidden="1" customHeight="1" outlineLevel="4" spans="2:66">
      <c r="B313" s="119" t="s">
        <v>747</v>
      </c>
      <c r="C313" s="120" t="s">
        <v>1384</v>
      </c>
      <c r="D313" s="118" t="s">
        <v>1385</v>
      </c>
      <c r="E313" s="119" t="s">
        <v>1386</v>
      </c>
      <c r="F313" s="119"/>
      <c r="G313" s="119" t="s">
        <v>891</v>
      </c>
      <c r="H313" s="119">
        <f t="shared" si="645"/>
        <v>0</v>
      </c>
      <c r="I313" s="119" t="s">
        <v>1377</v>
      </c>
      <c r="J313" s="297"/>
      <c r="K313" s="119" t="s">
        <v>1098</v>
      </c>
      <c r="L313" s="297"/>
      <c r="M313" s="119" t="s">
        <v>1131</v>
      </c>
      <c r="N313" s="119">
        <f t="shared" si="646"/>
        <v>0</v>
      </c>
      <c r="O313" s="297"/>
      <c r="P313" s="315"/>
      <c r="Q313" s="315"/>
      <c r="R313" s="315"/>
      <c r="S313" s="315"/>
      <c r="T313" s="315"/>
      <c r="U313" s="315"/>
      <c r="V313" s="315"/>
      <c r="W313" s="315"/>
      <c r="X313" s="315"/>
      <c r="Y313" s="315"/>
      <c r="Z313" s="315"/>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5"/>
      <c r="BM313" s="310"/>
      <c r="BN313" s="313"/>
    </row>
    <row r="314" s="48" customFormat="1" ht="33.95" hidden="1" customHeight="1" outlineLevel="3" spans="2:66">
      <c r="B314" s="115" t="s">
        <v>747</v>
      </c>
      <c r="C314" s="116" t="s">
        <v>1387</v>
      </c>
      <c r="D314" s="48" t="s">
        <v>1388</v>
      </c>
      <c r="E314" s="115"/>
      <c r="F314" s="115"/>
      <c r="G314" s="115" t="s">
        <v>891</v>
      </c>
      <c r="H314" s="304">
        <f t="shared" si="645"/>
        <v>0</v>
      </c>
      <c r="I314" s="304" t="s">
        <v>1125</v>
      </c>
      <c r="J314" s="304">
        <f>AVERAGE(AD314,AG314,AJ314,AM314,AP314,AS314,AV314,AY314,BB314,BE314,BH314,BK314)</f>
        <v>5829.78</v>
      </c>
      <c r="K314" s="304" t="s">
        <v>981</v>
      </c>
      <c r="L314" s="304" t="e">
        <f>AVERAGE(AE314,AH314,AK314,AN314,AQ314,AT314,AW314,AZ314,BC314,BF314,BI314,BL314)</f>
        <v>#DIV/0!</v>
      </c>
      <c r="M314" s="115" t="s">
        <v>754</v>
      </c>
      <c r="N314" s="115">
        <v>12</v>
      </c>
      <c r="O314" s="115"/>
      <c r="P314" s="287"/>
      <c r="Q314" s="287"/>
      <c r="R314" s="287"/>
      <c r="S314" s="287"/>
      <c r="T314" s="287"/>
      <c r="U314" s="287"/>
      <c r="V314" s="287"/>
      <c r="W314" s="287"/>
      <c r="X314" s="287"/>
      <c r="Y314" s="287"/>
      <c r="Z314" s="287"/>
      <c r="AA314" s="287"/>
      <c r="AB314" s="115">
        <f t="shared" si="647"/>
        <v>0</v>
      </c>
      <c r="AC314" s="115">
        <f>AD314*AE314</f>
        <v>0</v>
      </c>
      <c r="AD314" s="115">
        <f>VLOOKUP($I314,'1-1 项目基础信息'!$F:$S,3,FALSE)</f>
        <v>5829.78</v>
      </c>
      <c r="AE314" s="297"/>
      <c r="AF314" s="115">
        <f>AG314*AH314</f>
        <v>0</v>
      </c>
      <c r="AG314" s="115">
        <f>VLOOKUP($I314,'1-1 项目基础信息'!$F:$S,4,FALSE)</f>
        <v>5829.78</v>
      </c>
      <c r="AH314" s="297"/>
      <c r="AI314" s="115">
        <f>AJ314*AK314</f>
        <v>0</v>
      </c>
      <c r="AJ314" s="115">
        <f>VLOOKUP($I314,'1-1 项目基础信息'!$F:$S,5,FALSE)</f>
        <v>5829.78</v>
      </c>
      <c r="AK314" s="297"/>
      <c r="AL314" s="115">
        <f>AM314*AN314</f>
        <v>0</v>
      </c>
      <c r="AM314" s="115">
        <f>VLOOKUP($I314,'1-1 项目基础信息'!$F:$S,6,FALSE)</f>
        <v>5829.78</v>
      </c>
      <c r="AN314" s="297"/>
      <c r="AO314" s="115">
        <f>AP314*AQ314</f>
        <v>0</v>
      </c>
      <c r="AP314" s="115">
        <f>VLOOKUP($I314,'1-1 项目基础信息'!$F:$S,7,FALSE)</f>
        <v>5829.78</v>
      </c>
      <c r="AQ314" s="297"/>
      <c r="AR314" s="115">
        <f>AS314*AT314</f>
        <v>0</v>
      </c>
      <c r="AS314" s="115">
        <f>VLOOKUP($I314,'1-1 项目基础信息'!$F:$S,8,FALSE)</f>
        <v>5829.78</v>
      </c>
      <c r="AT314" s="297"/>
      <c r="AU314" s="115">
        <f>AV314*AW314</f>
        <v>0</v>
      </c>
      <c r="AV314" s="115">
        <f>VLOOKUP($I314,'1-1 项目基础信息'!$F:$S,9,FALSE)</f>
        <v>5829.78</v>
      </c>
      <c r="AW314" s="297"/>
      <c r="AX314" s="115">
        <f>AY314*AZ314</f>
        <v>0</v>
      </c>
      <c r="AY314" s="115">
        <f>VLOOKUP($I314,'1-1 项目基础信息'!$F:$S,10,FALSE)</f>
        <v>5829.78</v>
      </c>
      <c r="AZ314" s="297"/>
      <c r="BA314" s="115">
        <f>BB314*BC314</f>
        <v>0</v>
      </c>
      <c r="BB314" s="115">
        <f>VLOOKUP($I314,'1-1 项目基础信息'!$F:$S,11,FALSE)</f>
        <v>5829.78</v>
      </c>
      <c r="BC314" s="297"/>
      <c r="BD314" s="115">
        <f>BE314*BF314</f>
        <v>0</v>
      </c>
      <c r="BE314" s="115">
        <f>VLOOKUP($I314,'1-1 项目基础信息'!$F:$S,12,FALSE)</f>
        <v>5829.78</v>
      </c>
      <c r="BF314" s="297"/>
      <c r="BG314" s="115">
        <f>BH314*BI314</f>
        <v>0</v>
      </c>
      <c r="BH314" s="115">
        <f>VLOOKUP($I314,'1-1 项目基础信息'!$F:$S,13,FALSE)</f>
        <v>5829.78</v>
      </c>
      <c r="BI314" s="297"/>
      <c r="BJ314" s="115">
        <f>BK314*BL314</f>
        <v>0</v>
      </c>
      <c r="BK314" s="115">
        <f>VLOOKUP($I314,'1-1 项目基础信息'!$F:$S,14,FALSE)</f>
        <v>5829.78</v>
      </c>
      <c r="BL314" s="306"/>
      <c r="BM314" s="310"/>
      <c r="BN314" s="312"/>
    </row>
    <row r="315" s="48" customFormat="1" ht="33.95" hidden="1" customHeight="1" outlineLevel="3" collapsed="1" spans="2:66">
      <c r="B315" s="115" t="s">
        <v>742</v>
      </c>
      <c r="C315" s="116" t="s">
        <v>1389</v>
      </c>
      <c r="D315" s="48" t="s">
        <v>1390</v>
      </c>
      <c r="E315" s="115"/>
      <c r="F315" s="115"/>
      <c r="G315" s="115"/>
      <c r="H315" s="115">
        <f>SUM(H316:H334)</f>
        <v>0</v>
      </c>
      <c r="I315" s="115"/>
      <c r="J315" s="115"/>
      <c r="K315" s="115"/>
      <c r="L315" s="115"/>
      <c r="M315" s="115"/>
      <c r="N315" s="115"/>
      <c r="O315" s="115"/>
      <c r="P315" s="287"/>
      <c r="Q315" s="287"/>
      <c r="R315" s="287"/>
      <c r="S315" s="287"/>
      <c r="T315" s="287"/>
      <c r="U315" s="287"/>
      <c r="V315" s="287"/>
      <c r="W315" s="287"/>
      <c r="X315" s="287"/>
      <c r="Y315" s="287"/>
      <c r="Z315" s="287"/>
      <c r="AA315" s="287"/>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4"/>
      <c r="BM315" s="310"/>
      <c r="BN315" s="312"/>
    </row>
    <row r="316" s="118" customFormat="1" ht="33.95" hidden="1" customHeight="1" outlineLevel="4" spans="2:66">
      <c r="B316" s="119" t="s">
        <v>747</v>
      </c>
      <c r="C316" s="120" t="s">
        <v>1391</v>
      </c>
      <c r="D316" s="118" t="s">
        <v>1392</v>
      </c>
      <c r="E316" s="119" t="s">
        <v>1393</v>
      </c>
      <c r="F316" s="119"/>
      <c r="G316" s="119" t="s">
        <v>891</v>
      </c>
      <c r="H316" s="119">
        <f t="shared" ref="H316:H334" si="661">IFERROR(J316*L316*N316,0)</f>
        <v>0</v>
      </c>
      <c r="I316" s="119" t="s">
        <v>1394</v>
      </c>
      <c r="J316" s="297"/>
      <c r="K316" s="119" t="s">
        <v>1343</v>
      </c>
      <c r="L316" s="297"/>
      <c r="M316" s="119" t="s">
        <v>1395</v>
      </c>
      <c r="N316" s="119">
        <f t="shared" ref="N316:N334" si="662">COUNTA(O316:Z316)</f>
        <v>0</v>
      </c>
      <c r="O316" s="297"/>
      <c r="P316" s="316"/>
      <c r="Q316" s="316"/>
      <c r="R316" s="316"/>
      <c r="S316" s="316"/>
      <c r="T316" s="316"/>
      <c r="U316" s="316"/>
      <c r="V316" s="316"/>
      <c r="W316" s="316"/>
      <c r="X316" s="316"/>
      <c r="Y316" s="316"/>
      <c r="Z316" s="316"/>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5"/>
      <c r="BM316" s="310"/>
      <c r="BN316" s="313"/>
    </row>
    <row r="317" s="118" customFormat="1" ht="33.95" hidden="1" customHeight="1" outlineLevel="4" spans="2:66">
      <c r="B317" s="119" t="s">
        <v>747</v>
      </c>
      <c r="C317" s="120" t="s">
        <v>1396</v>
      </c>
      <c r="D317" s="118" t="s">
        <v>1397</v>
      </c>
      <c r="E317" s="119" t="s">
        <v>1398</v>
      </c>
      <c r="F317" s="119"/>
      <c r="G317" s="119" t="s">
        <v>891</v>
      </c>
      <c r="H317" s="119">
        <f t="shared" si="661"/>
        <v>0</v>
      </c>
      <c r="I317" s="119" t="s">
        <v>1394</v>
      </c>
      <c r="J317" s="297"/>
      <c r="K317" s="119" t="s">
        <v>1343</v>
      </c>
      <c r="L317" s="297"/>
      <c r="M317" s="119" t="s">
        <v>1395</v>
      </c>
      <c r="N317" s="119">
        <f t="shared" si="662"/>
        <v>0</v>
      </c>
      <c r="O317" s="297"/>
      <c r="P317" s="297"/>
      <c r="Q317" s="297"/>
      <c r="R317" s="297"/>
      <c r="S317" s="297"/>
      <c r="T317" s="297"/>
      <c r="U317" s="297"/>
      <c r="V317" s="297"/>
      <c r="W317" s="297"/>
      <c r="X317" s="297"/>
      <c r="Y317" s="297"/>
      <c r="Z317" s="297"/>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5"/>
      <c r="BM317" s="310"/>
      <c r="BN317" s="313"/>
    </row>
    <row r="318" s="118" customFormat="1" ht="33.95" hidden="1" customHeight="1" outlineLevel="4" spans="2:66">
      <c r="B318" s="119" t="s">
        <v>747</v>
      </c>
      <c r="C318" s="120" t="s">
        <v>1399</v>
      </c>
      <c r="D318" s="118" t="s">
        <v>1400</v>
      </c>
      <c r="E318" s="119" t="s">
        <v>1401</v>
      </c>
      <c r="F318" s="119"/>
      <c r="G318" s="119" t="s">
        <v>891</v>
      </c>
      <c r="H318" s="119">
        <f t="shared" si="661"/>
        <v>0</v>
      </c>
      <c r="I318" s="119" t="s">
        <v>1394</v>
      </c>
      <c r="J318" s="297"/>
      <c r="K318" s="119" t="s">
        <v>1343</v>
      </c>
      <c r="L318" s="297"/>
      <c r="M318" s="119" t="s">
        <v>1395</v>
      </c>
      <c r="N318" s="119">
        <f t="shared" si="662"/>
        <v>0</v>
      </c>
      <c r="O318" s="297"/>
      <c r="P318" s="297"/>
      <c r="Q318" s="297"/>
      <c r="R318" s="297"/>
      <c r="S318" s="297"/>
      <c r="T318" s="297"/>
      <c r="U318" s="297"/>
      <c r="V318" s="297"/>
      <c r="W318" s="297"/>
      <c r="X318" s="297"/>
      <c r="Y318" s="297"/>
      <c r="Z318" s="297"/>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5"/>
      <c r="BM318" s="310"/>
      <c r="BN318" s="313"/>
    </row>
    <row r="319" s="118" customFormat="1" ht="33.95" hidden="1" customHeight="1" outlineLevel="4" spans="2:66">
      <c r="B319" s="119" t="s">
        <v>747</v>
      </c>
      <c r="C319" s="120" t="s">
        <v>1402</v>
      </c>
      <c r="D319" s="118" t="s">
        <v>1403</v>
      </c>
      <c r="E319" s="119" t="s">
        <v>1404</v>
      </c>
      <c r="F319" s="119"/>
      <c r="G319" s="119" t="s">
        <v>891</v>
      </c>
      <c r="H319" s="119">
        <f t="shared" si="661"/>
        <v>0</v>
      </c>
      <c r="I319" s="119" t="s">
        <v>1394</v>
      </c>
      <c r="J319" s="297"/>
      <c r="K319" s="119" t="s">
        <v>1343</v>
      </c>
      <c r="L319" s="297"/>
      <c r="M319" s="119" t="s">
        <v>1395</v>
      </c>
      <c r="N319" s="119">
        <f t="shared" si="662"/>
        <v>0</v>
      </c>
      <c r="O319" s="297"/>
      <c r="P319" s="297"/>
      <c r="Q319" s="297"/>
      <c r="R319" s="297"/>
      <c r="S319" s="297"/>
      <c r="T319" s="297"/>
      <c r="U319" s="297"/>
      <c r="V319" s="297"/>
      <c r="W319" s="297"/>
      <c r="X319" s="297"/>
      <c r="Y319" s="297"/>
      <c r="Z319" s="297"/>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5"/>
      <c r="BM319" s="310"/>
      <c r="BN319" s="313"/>
    </row>
    <row r="320" s="118" customFormat="1" ht="33.95" hidden="1" customHeight="1" outlineLevel="4" spans="2:66">
      <c r="B320" s="119" t="s">
        <v>747</v>
      </c>
      <c r="C320" s="120" t="s">
        <v>1405</v>
      </c>
      <c r="D320" s="118" t="s">
        <v>1406</v>
      </c>
      <c r="E320" s="119" t="s">
        <v>1407</v>
      </c>
      <c r="F320" s="119"/>
      <c r="G320" s="119" t="s">
        <v>891</v>
      </c>
      <c r="H320" s="119">
        <f t="shared" si="661"/>
        <v>0</v>
      </c>
      <c r="I320" s="119" t="s">
        <v>1394</v>
      </c>
      <c r="J320" s="297"/>
      <c r="K320" s="119" t="s">
        <v>1343</v>
      </c>
      <c r="L320" s="297"/>
      <c r="M320" s="119" t="s">
        <v>1395</v>
      </c>
      <c r="N320" s="119">
        <f t="shared" si="662"/>
        <v>0</v>
      </c>
      <c r="O320" s="297"/>
      <c r="P320" s="297"/>
      <c r="Q320" s="297"/>
      <c r="R320" s="297"/>
      <c r="S320" s="297"/>
      <c r="T320" s="297"/>
      <c r="U320" s="297"/>
      <c r="V320" s="297"/>
      <c r="W320" s="297"/>
      <c r="X320" s="297"/>
      <c r="Y320" s="297"/>
      <c r="Z320" s="297"/>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5"/>
      <c r="BM320" s="310"/>
      <c r="BN320" s="313"/>
    </row>
    <row r="321" s="118" customFormat="1" ht="33.95" hidden="1" customHeight="1" outlineLevel="4" spans="2:66">
      <c r="B321" s="119" t="s">
        <v>747</v>
      </c>
      <c r="C321" s="120" t="s">
        <v>1408</v>
      </c>
      <c r="D321" s="118" t="s">
        <v>1409</v>
      </c>
      <c r="E321" s="119" t="s">
        <v>1410</v>
      </c>
      <c r="F321" s="119"/>
      <c r="G321" s="119" t="s">
        <v>891</v>
      </c>
      <c r="H321" s="119">
        <f t="shared" si="661"/>
        <v>0</v>
      </c>
      <c r="I321" s="119" t="s">
        <v>1394</v>
      </c>
      <c r="J321" s="297"/>
      <c r="K321" s="119" t="s">
        <v>1343</v>
      </c>
      <c r="L321" s="297"/>
      <c r="M321" s="119" t="s">
        <v>1395</v>
      </c>
      <c r="N321" s="119">
        <f t="shared" si="662"/>
        <v>0</v>
      </c>
      <c r="O321" s="297"/>
      <c r="P321" s="297"/>
      <c r="Q321" s="297"/>
      <c r="R321" s="297"/>
      <c r="S321" s="297"/>
      <c r="T321" s="297"/>
      <c r="U321" s="297"/>
      <c r="V321" s="297"/>
      <c r="W321" s="297"/>
      <c r="X321" s="297"/>
      <c r="Y321" s="297"/>
      <c r="Z321" s="297"/>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5"/>
      <c r="BM321" s="310"/>
      <c r="BN321" s="313"/>
    </row>
    <row r="322" s="118" customFormat="1" ht="33.95" hidden="1" customHeight="1" outlineLevel="4" spans="2:66">
      <c r="B322" s="119" t="s">
        <v>747</v>
      </c>
      <c r="C322" s="120" t="s">
        <v>1411</v>
      </c>
      <c r="D322" s="118" t="s">
        <v>1412</v>
      </c>
      <c r="E322" s="119" t="s">
        <v>1413</v>
      </c>
      <c r="F322" s="119"/>
      <c r="G322" s="119" t="s">
        <v>891</v>
      </c>
      <c r="H322" s="119">
        <f t="shared" si="661"/>
        <v>0</v>
      </c>
      <c r="I322" s="119" t="s">
        <v>1394</v>
      </c>
      <c r="J322" s="297"/>
      <c r="K322" s="119" t="s">
        <v>1343</v>
      </c>
      <c r="L322" s="297"/>
      <c r="M322" s="119" t="s">
        <v>1395</v>
      </c>
      <c r="N322" s="119">
        <f t="shared" si="662"/>
        <v>0</v>
      </c>
      <c r="O322" s="297"/>
      <c r="P322" s="297"/>
      <c r="Q322" s="297"/>
      <c r="R322" s="297"/>
      <c r="S322" s="297"/>
      <c r="T322" s="297"/>
      <c r="U322" s="297"/>
      <c r="V322" s="297"/>
      <c r="W322" s="297"/>
      <c r="X322" s="297"/>
      <c r="Y322" s="297"/>
      <c r="Z322" s="297"/>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5"/>
      <c r="BM322" s="310"/>
      <c r="BN322" s="313"/>
    </row>
    <row r="323" s="118" customFormat="1" ht="33.95" hidden="1" customHeight="1" outlineLevel="4" spans="2:66">
      <c r="B323" s="119" t="s">
        <v>747</v>
      </c>
      <c r="C323" s="120" t="s">
        <v>1414</v>
      </c>
      <c r="D323" s="118" t="s">
        <v>1415</v>
      </c>
      <c r="E323" s="119" t="s">
        <v>1416</v>
      </c>
      <c r="F323" s="119"/>
      <c r="G323" s="119" t="s">
        <v>891</v>
      </c>
      <c r="H323" s="119">
        <f t="shared" si="661"/>
        <v>0</v>
      </c>
      <c r="I323" s="119" t="s">
        <v>1394</v>
      </c>
      <c r="J323" s="297"/>
      <c r="K323" s="119" t="s">
        <v>1343</v>
      </c>
      <c r="L323" s="297"/>
      <c r="M323" s="119" t="s">
        <v>1395</v>
      </c>
      <c r="N323" s="119">
        <f t="shared" si="662"/>
        <v>0</v>
      </c>
      <c r="O323" s="297"/>
      <c r="P323" s="297"/>
      <c r="Q323" s="297"/>
      <c r="R323" s="297"/>
      <c r="S323" s="297"/>
      <c r="T323" s="297"/>
      <c r="U323" s="297"/>
      <c r="V323" s="297"/>
      <c r="W323" s="297"/>
      <c r="X323" s="297"/>
      <c r="Y323" s="297"/>
      <c r="Z323" s="297"/>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5"/>
      <c r="BM323" s="310"/>
      <c r="BN323" s="313"/>
    </row>
    <row r="324" s="118" customFormat="1" ht="33.95" hidden="1" customHeight="1" outlineLevel="4" spans="2:66">
      <c r="B324" s="119" t="s">
        <v>747</v>
      </c>
      <c r="C324" s="120" t="s">
        <v>1417</v>
      </c>
      <c r="D324" s="118" t="s">
        <v>1418</v>
      </c>
      <c r="E324" s="119" t="s">
        <v>1419</v>
      </c>
      <c r="F324" s="119"/>
      <c r="G324" s="119" t="s">
        <v>891</v>
      </c>
      <c r="H324" s="119">
        <f t="shared" si="661"/>
        <v>0</v>
      </c>
      <c r="I324" s="119" t="s">
        <v>1394</v>
      </c>
      <c r="J324" s="297"/>
      <c r="K324" s="119" t="s">
        <v>1343</v>
      </c>
      <c r="L324" s="297"/>
      <c r="M324" s="119" t="s">
        <v>1395</v>
      </c>
      <c r="N324" s="119">
        <f t="shared" si="662"/>
        <v>0</v>
      </c>
      <c r="O324" s="297"/>
      <c r="P324" s="297"/>
      <c r="Q324" s="297"/>
      <c r="R324" s="297"/>
      <c r="S324" s="297"/>
      <c r="T324" s="297"/>
      <c r="U324" s="297"/>
      <c r="V324" s="297"/>
      <c r="W324" s="297"/>
      <c r="X324" s="297"/>
      <c r="Y324" s="297"/>
      <c r="Z324" s="297"/>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5"/>
      <c r="BM324" s="310"/>
      <c r="BN324" s="313"/>
    </row>
    <row r="325" s="118" customFormat="1" ht="33.95" hidden="1" customHeight="1" outlineLevel="4" spans="2:66">
      <c r="B325" s="119" t="s">
        <v>747</v>
      </c>
      <c r="C325" s="120" t="s">
        <v>1420</v>
      </c>
      <c r="D325" s="118" t="s">
        <v>1421</v>
      </c>
      <c r="E325" s="119" t="s">
        <v>1422</v>
      </c>
      <c r="F325" s="119"/>
      <c r="G325" s="119" t="s">
        <v>891</v>
      </c>
      <c r="H325" s="119">
        <f t="shared" si="661"/>
        <v>0</v>
      </c>
      <c r="I325" s="119" t="s">
        <v>1394</v>
      </c>
      <c r="J325" s="297"/>
      <c r="K325" s="119" t="s">
        <v>1343</v>
      </c>
      <c r="L325" s="297"/>
      <c r="M325" s="119" t="s">
        <v>1395</v>
      </c>
      <c r="N325" s="119">
        <f t="shared" si="662"/>
        <v>0</v>
      </c>
      <c r="O325" s="297"/>
      <c r="P325" s="297"/>
      <c r="Q325" s="297"/>
      <c r="R325" s="297"/>
      <c r="S325" s="297"/>
      <c r="T325" s="297"/>
      <c r="U325" s="297"/>
      <c r="V325" s="297"/>
      <c r="W325" s="297"/>
      <c r="X325" s="297"/>
      <c r="Y325" s="297"/>
      <c r="Z325" s="297"/>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5"/>
      <c r="BM325" s="310"/>
      <c r="BN325" s="313"/>
    </row>
    <row r="326" s="118" customFormat="1" ht="33.95" hidden="1" customHeight="1" outlineLevel="4" spans="2:66">
      <c r="B326" s="119" t="s">
        <v>747</v>
      </c>
      <c r="C326" s="120" t="s">
        <v>1423</v>
      </c>
      <c r="D326" s="118" t="s">
        <v>1424</v>
      </c>
      <c r="E326" s="119" t="s">
        <v>1425</v>
      </c>
      <c r="F326" s="119"/>
      <c r="G326" s="119" t="s">
        <v>891</v>
      </c>
      <c r="H326" s="119">
        <f t="shared" si="661"/>
        <v>0</v>
      </c>
      <c r="I326" s="119" t="s">
        <v>1394</v>
      </c>
      <c r="J326" s="297"/>
      <c r="K326" s="119" t="s">
        <v>1343</v>
      </c>
      <c r="L326" s="297"/>
      <c r="M326" s="119" t="s">
        <v>1395</v>
      </c>
      <c r="N326" s="119">
        <f t="shared" si="662"/>
        <v>0</v>
      </c>
      <c r="O326" s="297"/>
      <c r="P326" s="297"/>
      <c r="Q326" s="297"/>
      <c r="R326" s="297"/>
      <c r="S326" s="297"/>
      <c r="T326" s="297"/>
      <c r="U326" s="297"/>
      <c r="V326" s="297"/>
      <c r="W326" s="297"/>
      <c r="X326" s="297"/>
      <c r="Y326" s="297"/>
      <c r="Z326" s="297"/>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5"/>
      <c r="BM326" s="310"/>
      <c r="BN326" s="313"/>
    </row>
    <row r="327" s="118" customFormat="1" ht="33.95" hidden="1" customHeight="1" outlineLevel="4" spans="2:66">
      <c r="B327" s="119" t="s">
        <v>747</v>
      </c>
      <c r="C327" s="120" t="s">
        <v>1426</v>
      </c>
      <c r="D327" s="118" t="s">
        <v>1427</v>
      </c>
      <c r="E327" s="119" t="s">
        <v>1428</v>
      </c>
      <c r="F327" s="119"/>
      <c r="G327" s="119" t="s">
        <v>891</v>
      </c>
      <c r="H327" s="119">
        <f t="shared" si="661"/>
        <v>0</v>
      </c>
      <c r="I327" s="119" t="s">
        <v>1394</v>
      </c>
      <c r="J327" s="297"/>
      <c r="K327" s="119" t="s">
        <v>1343</v>
      </c>
      <c r="L327" s="297"/>
      <c r="M327" s="119" t="s">
        <v>1395</v>
      </c>
      <c r="N327" s="119">
        <f t="shared" si="662"/>
        <v>0</v>
      </c>
      <c r="O327" s="297"/>
      <c r="P327" s="297"/>
      <c r="Q327" s="297"/>
      <c r="R327" s="297"/>
      <c r="S327" s="297"/>
      <c r="T327" s="297"/>
      <c r="U327" s="297"/>
      <c r="V327" s="297"/>
      <c r="W327" s="297"/>
      <c r="X327" s="297"/>
      <c r="Y327" s="297"/>
      <c r="Z327" s="297"/>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5"/>
      <c r="BM327" s="310"/>
      <c r="BN327" s="313"/>
    </row>
    <row r="328" s="118" customFormat="1" ht="33.95" hidden="1" customHeight="1" outlineLevel="4" spans="2:66">
      <c r="B328" s="119" t="s">
        <v>747</v>
      </c>
      <c r="C328" s="120" t="s">
        <v>1429</v>
      </c>
      <c r="D328" s="118" t="s">
        <v>1430</v>
      </c>
      <c r="E328" s="119" t="s">
        <v>1398</v>
      </c>
      <c r="F328" s="119"/>
      <c r="G328" s="119" t="s">
        <v>891</v>
      </c>
      <c r="H328" s="119">
        <f t="shared" si="661"/>
        <v>0</v>
      </c>
      <c r="I328" s="119" t="s">
        <v>1394</v>
      </c>
      <c r="J328" s="297"/>
      <c r="K328" s="119" t="s">
        <v>1343</v>
      </c>
      <c r="L328" s="297"/>
      <c r="M328" s="119" t="s">
        <v>1395</v>
      </c>
      <c r="N328" s="119">
        <f t="shared" si="662"/>
        <v>0</v>
      </c>
      <c r="O328" s="297"/>
      <c r="P328" s="297"/>
      <c r="Q328" s="297"/>
      <c r="R328" s="297"/>
      <c r="S328" s="297"/>
      <c r="T328" s="297"/>
      <c r="U328" s="297"/>
      <c r="V328" s="297"/>
      <c r="W328" s="297"/>
      <c r="X328" s="297"/>
      <c r="Y328" s="297"/>
      <c r="Z328" s="297"/>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5"/>
      <c r="BM328" s="310"/>
      <c r="BN328" s="313"/>
    </row>
    <row r="329" s="118" customFormat="1" ht="33.95" hidden="1" customHeight="1" outlineLevel="4" spans="2:66">
      <c r="B329" s="119" t="s">
        <v>747</v>
      </c>
      <c r="C329" s="120" t="s">
        <v>1431</v>
      </c>
      <c r="D329" s="118" t="s">
        <v>1432</v>
      </c>
      <c r="E329" s="119" t="s">
        <v>1401</v>
      </c>
      <c r="F329" s="119"/>
      <c r="G329" s="119" t="s">
        <v>891</v>
      </c>
      <c r="H329" s="119">
        <f t="shared" si="661"/>
        <v>0</v>
      </c>
      <c r="I329" s="119" t="s">
        <v>1394</v>
      </c>
      <c r="J329" s="297"/>
      <c r="K329" s="119" t="s">
        <v>1343</v>
      </c>
      <c r="L329" s="297"/>
      <c r="M329" s="119" t="s">
        <v>1395</v>
      </c>
      <c r="N329" s="119">
        <f t="shared" si="662"/>
        <v>0</v>
      </c>
      <c r="O329" s="297"/>
      <c r="P329" s="297"/>
      <c r="Q329" s="297"/>
      <c r="R329" s="297"/>
      <c r="S329" s="297"/>
      <c r="T329" s="297"/>
      <c r="U329" s="297"/>
      <c r="V329" s="297"/>
      <c r="W329" s="297"/>
      <c r="X329" s="297"/>
      <c r="Y329" s="297"/>
      <c r="Z329" s="297"/>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5"/>
      <c r="BM329" s="310"/>
      <c r="BN329" s="313"/>
    </row>
    <row r="330" s="118" customFormat="1" ht="33.95" hidden="1" customHeight="1" outlineLevel="4" spans="2:66">
      <c r="B330" s="119" t="s">
        <v>747</v>
      </c>
      <c r="C330" s="120" t="s">
        <v>1433</v>
      </c>
      <c r="D330" s="118" t="s">
        <v>1434</v>
      </c>
      <c r="E330" s="119" t="s">
        <v>1404</v>
      </c>
      <c r="F330" s="119"/>
      <c r="G330" s="119" t="s">
        <v>891</v>
      </c>
      <c r="H330" s="119">
        <f t="shared" si="661"/>
        <v>0</v>
      </c>
      <c r="I330" s="119" t="s">
        <v>1394</v>
      </c>
      <c r="J330" s="297"/>
      <c r="K330" s="119" t="s">
        <v>1343</v>
      </c>
      <c r="L330" s="297"/>
      <c r="M330" s="119" t="s">
        <v>1395</v>
      </c>
      <c r="N330" s="119">
        <f t="shared" si="662"/>
        <v>0</v>
      </c>
      <c r="O330" s="297"/>
      <c r="P330" s="297"/>
      <c r="Q330" s="297"/>
      <c r="R330" s="297"/>
      <c r="S330" s="297"/>
      <c r="T330" s="297"/>
      <c r="U330" s="297"/>
      <c r="V330" s="297"/>
      <c r="W330" s="297"/>
      <c r="X330" s="297"/>
      <c r="Y330" s="297"/>
      <c r="Z330" s="297"/>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5"/>
      <c r="BM330" s="310"/>
      <c r="BN330" s="313"/>
    </row>
    <row r="331" s="118" customFormat="1" ht="33.95" hidden="1" customHeight="1" outlineLevel="4" spans="2:66">
      <c r="B331" s="119" t="s">
        <v>747</v>
      </c>
      <c r="C331" s="120" t="s">
        <v>1435</v>
      </c>
      <c r="D331" s="118" t="s">
        <v>1436</v>
      </c>
      <c r="E331" s="119" t="s">
        <v>1407</v>
      </c>
      <c r="F331" s="119"/>
      <c r="G331" s="119" t="s">
        <v>891</v>
      </c>
      <c r="H331" s="119">
        <f t="shared" si="661"/>
        <v>0</v>
      </c>
      <c r="I331" s="119" t="s">
        <v>1394</v>
      </c>
      <c r="J331" s="297"/>
      <c r="K331" s="119" t="s">
        <v>1343</v>
      </c>
      <c r="L331" s="297"/>
      <c r="M331" s="119" t="s">
        <v>1395</v>
      </c>
      <c r="N331" s="119">
        <f t="shared" si="662"/>
        <v>0</v>
      </c>
      <c r="O331" s="297"/>
      <c r="P331" s="297"/>
      <c r="Q331" s="297"/>
      <c r="R331" s="297"/>
      <c r="S331" s="297"/>
      <c r="T331" s="297"/>
      <c r="U331" s="297"/>
      <c r="V331" s="297"/>
      <c r="W331" s="297"/>
      <c r="X331" s="297"/>
      <c r="Y331" s="297"/>
      <c r="Z331" s="297"/>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5"/>
      <c r="BM331" s="310"/>
      <c r="BN331" s="313"/>
    </row>
    <row r="332" s="118" customFormat="1" ht="33.95" hidden="1" customHeight="1" outlineLevel="4" spans="2:66">
      <c r="B332" s="119" t="s">
        <v>747</v>
      </c>
      <c r="C332" s="120" t="s">
        <v>1437</v>
      </c>
      <c r="D332" s="118" t="s">
        <v>1438</v>
      </c>
      <c r="E332" s="119" t="s">
        <v>1410</v>
      </c>
      <c r="F332" s="119"/>
      <c r="G332" s="119" t="s">
        <v>891</v>
      </c>
      <c r="H332" s="119">
        <f t="shared" si="661"/>
        <v>0</v>
      </c>
      <c r="I332" s="119" t="s">
        <v>1394</v>
      </c>
      <c r="J332" s="297"/>
      <c r="K332" s="119" t="s">
        <v>1343</v>
      </c>
      <c r="L332" s="297"/>
      <c r="M332" s="119" t="s">
        <v>1395</v>
      </c>
      <c r="N332" s="119">
        <f t="shared" si="662"/>
        <v>0</v>
      </c>
      <c r="O332" s="297"/>
      <c r="P332" s="297"/>
      <c r="Q332" s="297"/>
      <c r="R332" s="297"/>
      <c r="S332" s="297"/>
      <c r="T332" s="297"/>
      <c r="U332" s="297"/>
      <c r="V332" s="297"/>
      <c r="W332" s="297"/>
      <c r="X332" s="297"/>
      <c r="Y332" s="297"/>
      <c r="Z332" s="297"/>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5"/>
      <c r="BM332" s="310"/>
      <c r="BN332" s="313"/>
    </row>
    <row r="333" s="118" customFormat="1" ht="33.95" hidden="1" customHeight="1" outlineLevel="4" spans="2:66">
      <c r="B333" s="119" t="s">
        <v>747</v>
      </c>
      <c r="C333" s="120" t="s">
        <v>1439</v>
      </c>
      <c r="D333" s="118" t="s">
        <v>1440</v>
      </c>
      <c r="E333" s="119" t="s">
        <v>1441</v>
      </c>
      <c r="F333" s="119"/>
      <c r="G333" s="119" t="s">
        <v>891</v>
      </c>
      <c r="H333" s="119">
        <f t="shared" si="661"/>
        <v>0</v>
      </c>
      <c r="I333" s="119" t="s">
        <v>1394</v>
      </c>
      <c r="J333" s="297"/>
      <c r="K333" s="119" t="s">
        <v>1343</v>
      </c>
      <c r="L333" s="297"/>
      <c r="M333" s="119" t="s">
        <v>1395</v>
      </c>
      <c r="N333" s="119">
        <f t="shared" si="662"/>
        <v>0</v>
      </c>
      <c r="O333" s="297"/>
      <c r="P333" s="297"/>
      <c r="Q333" s="297"/>
      <c r="R333" s="297"/>
      <c r="S333" s="297"/>
      <c r="T333" s="297"/>
      <c r="U333" s="297"/>
      <c r="V333" s="297"/>
      <c r="W333" s="297"/>
      <c r="X333" s="297"/>
      <c r="Y333" s="297"/>
      <c r="Z333" s="297"/>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5"/>
      <c r="BM333" s="310"/>
      <c r="BN333" s="313"/>
    </row>
    <row r="334" s="118" customFormat="1" ht="33.95" hidden="1" customHeight="1" outlineLevel="4" spans="2:66">
      <c r="B334" s="119" t="s">
        <v>747</v>
      </c>
      <c r="C334" s="120" t="s">
        <v>1442</v>
      </c>
      <c r="D334" s="118" t="s">
        <v>1443</v>
      </c>
      <c r="E334" s="119" t="s">
        <v>1444</v>
      </c>
      <c r="F334" s="119"/>
      <c r="G334" s="119" t="s">
        <v>891</v>
      </c>
      <c r="H334" s="119">
        <f t="shared" si="661"/>
        <v>0</v>
      </c>
      <c r="I334" s="119" t="s">
        <v>1394</v>
      </c>
      <c r="J334" s="297"/>
      <c r="K334" s="119" t="s">
        <v>1343</v>
      </c>
      <c r="L334" s="297"/>
      <c r="M334" s="119" t="s">
        <v>1395</v>
      </c>
      <c r="N334" s="119">
        <f t="shared" si="662"/>
        <v>0</v>
      </c>
      <c r="O334" s="297"/>
      <c r="P334" s="315"/>
      <c r="Q334" s="315"/>
      <c r="R334" s="315"/>
      <c r="S334" s="315"/>
      <c r="T334" s="315"/>
      <c r="U334" s="315"/>
      <c r="V334" s="315"/>
      <c r="W334" s="315"/>
      <c r="X334" s="315"/>
      <c r="Y334" s="315"/>
      <c r="Z334" s="315"/>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5"/>
      <c r="BM334" s="310"/>
      <c r="BN334" s="313"/>
    </row>
    <row r="335" s="48" customFormat="1" ht="33.95" hidden="1" customHeight="1" outlineLevel="3" collapsed="1" spans="2:66">
      <c r="B335" s="115" t="s">
        <v>742</v>
      </c>
      <c r="C335" s="116" t="s">
        <v>1445</v>
      </c>
      <c r="D335" s="48" t="s">
        <v>1446</v>
      </c>
      <c r="E335" s="115"/>
      <c r="F335" s="115"/>
      <c r="G335" s="115"/>
      <c r="H335" s="115">
        <f>SUM(H336:H355)</f>
        <v>0</v>
      </c>
      <c r="I335" s="115"/>
      <c r="J335" s="115"/>
      <c r="K335" s="115"/>
      <c r="L335" s="115"/>
      <c r="M335" s="115"/>
      <c r="N335" s="115"/>
      <c r="O335" s="115"/>
      <c r="P335" s="287"/>
      <c r="Q335" s="287"/>
      <c r="R335" s="287"/>
      <c r="S335" s="287"/>
      <c r="T335" s="287"/>
      <c r="U335" s="287"/>
      <c r="V335" s="287"/>
      <c r="W335" s="287"/>
      <c r="X335" s="287"/>
      <c r="Y335" s="287"/>
      <c r="Z335" s="287"/>
      <c r="AA335" s="287"/>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4"/>
      <c r="BM335" s="310"/>
      <c r="BN335" s="312"/>
    </row>
    <row r="336" s="118" customFormat="1" ht="33.95" hidden="1" customHeight="1" outlineLevel="4" spans="2:66">
      <c r="B336" s="119" t="s">
        <v>747</v>
      </c>
      <c r="C336" s="120" t="s">
        <v>1447</v>
      </c>
      <c r="D336" s="118" t="s">
        <v>1448</v>
      </c>
      <c r="E336" s="119" t="s">
        <v>1449</v>
      </c>
      <c r="F336" s="119"/>
      <c r="G336" s="119" t="s">
        <v>891</v>
      </c>
      <c r="H336" s="119">
        <f t="shared" ref="H336:H355" si="677">IFERROR(J336*L336*N336,0)</f>
        <v>0</v>
      </c>
      <c r="I336" s="119" t="s">
        <v>1190</v>
      </c>
      <c r="J336" s="297"/>
      <c r="K336" s="119" t="s">
        <v>1098</v>
      </c>
      <c r="L336" s="297"/>
      <c r="M336" s="119" t="s">
        <v>1131</v>
      </c>
      <c r="N336" s="119">
        <f t="shared" ref="N336:N355" si="678">COUNTA(O336:Z336)</f>
        <v>0</v>
      </c>
      <c r="O336" s="297"/>
      <c r="P336" s="316"/>
      <c r="Q336" s="316"/>
      <c r="R336" s="316"/>
      <c r="S336" s="316"/>
      <c r="T336" s="316"/>
      <c r="U336" s="316"/>
      <c r="V336" s="316"/>
      <c r="W336" s="316"/>
      <c r="X336" s="316"/>
      <c r="Y336" s="316"/>
      <c r="Z336" s="316"/>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5"/>
      <c r="BM336" s="310"/>
      <c r="BN336" s="313"/>
    </row>
    <row r="337" s="118" customFormat="1" ht="33.95" hidden="1" customHeight="1" outlineLevel="4" spans="2:66">
      <c r="B337" s="119" t="s">
        <v>747</v>
      </c>
      <c r="C337" s="120" t="s">
        <v>1450</v>
      </c>
      <c r="D337" s="118" t="s">
        <v>1451</v>
      </c>
      <c r="E337" s="119" t="s">
        <v>1449</v>
      </c>
      <c r="F337" s="119"/>
      <c r="G337" s="119" t="s">
        <v>891</v>
      </c>
      <c r="H337" s="119">
        <f t="shared" si="677"/>
        <v>0</v>
      </c>
      <c r="I337" s="119" t="s">
        <v>1190</v>
      </c>
      <c r="J337" s="297"/>
      <c r="K337" s="119" t="s">
        <v>1098</v>
      </c>
      <c r="L337" s="297"/>
      <c r="M337" s="119" t="s">
        <v>1131</v>
      </c>
      <c r="N337" s="119">
        <f t="shared" si="678"/>
        <v>0</v>
      </c>
      <c r="O337" s="297"/>
      <c r="P337" s="297"/>
      <c r="Q337" s="297"/>
      <c r="R337" s="297"/>
      <c r="S337" s="297"/>
      <c r="T337" s="297"/>
      <c r="U337" s="297"/>
      <c r="V337" s="297"/>
      <c r="W337" s="297"/>
      <c r="X337" s="297"/>
      <c r="Y337" s="297"/>
      <c r="Z337" s="297"/>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5"/>
      <c r="BM337" s="310"/>
      <c r="BN337" s="313"/>
    </row>
    <row r="338" s="118" customFormat="1" ht="33.95" hidden="1" customHeight="1" outlineLevel="4" spans="2:66">
      <c r="B338" s="119" t="s">
        <v>747</v>
      </c>
      <c r="C338" s="120" t="s">
        <v>1452</v>
      </c>
      <c r="D338" s="118" t="s">
        <v>1453</v>
      </c>
      <c r="E338" s="119" t="s">
        <v>1449</v>
      </c>
      <c r="F338" s="119"/>
      <c r="G338" s="119" t="s">
        <v>891</v>
      </c>
      <c r="H338" s="119">
        <f t="shared" si="677"/>
        <v>0</v>
      </c>
      <c r="I338" s="119" t="s">
        <v>1190</v>
      </c>
      <c r="J338" s="297"/>
      <c r="K338" s="119" t="s">
        <v>1098</v>
      </c>
      <c r="L338" s="297"/>
      <c r="M338" s="119" t="s">
        <v>1131</v>
      </c>
      <c r="N338" s="119">
        <f t="shared" si="678"/>
        <v>0</v>
      </c>
      <c r="O338" s="297"/>
      <c r="P338" s="297"/>
      <c r="Q338" s="297"/>
      <c r="R338" s="297"/>
      <c r="S338" s="297"/>
      <c r="T338" s="297"/>
      <c r="U338" s="297"/>
      <c r="V338" s="297"/>
      <c r="W338" s="297"/>
      <c r="X338" s="297"/>
      <c r="Y338" s="297"/>
      <c r="Z338" s="297"/>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5"/>
      <c r="BM338" s="310"/>
      <c r="BN338" s="313"/>
    </row>
    <row r="339" s="118" customFormat="1" ht="33.95" hidden="1" customHeight="1" outlineLevel="4" spans="2:66">
      <c r="B339" s="119" t="s">
        <v>747</v>
      </c>
      <c r="C339" s="120" t="s">
        <v>1454</v>
      </c>
      <c r="D339" s="118" t="s">
        <v>1455</v>
      </c>
      <c r="E339" s="119" t="s">
        <v>1449</v>
      </c>
      <c r="F339" s="119"/>
      <c r="G339" s="119" t="s">
        <v>891</v>
      </c>
      <c r="H339" s="119">
        <f t="shared" si="677"/>
        <v>0</v>
      </c>
      <c r="I339" s="119" t="s">
        <v>1190</v>
      </c>
      <c r="J339" s="297"/>
      <c r="K339" s="119" t="s">
        <v>1098</v>
      </c>
      <c r="L339" s="297"/>
      <c r="M339" s="119" t="s">
        <v>1131</v>
      </c>
      <c r="N339" s="119">
        <f t="shared" si="678"/>
        <v>0</v>
      </c>
      <c r="O339" s="297"/>
      <c r="P339" s="297"/>
      <c r="Q339" s="297"/>
      <c r="R339" s="297"/>
      <c r="S339" s="297"/>
      <c r="T339" s="297"/>
      <c r="U339" s="297"/>
      <c r="V339" s="297"/>
      <c r="W339" s="297"/>
      <c r="X339" s="297"/>
      <c r="Y339" s="297"/>
      <c r="Z339" s="297"/>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5"/>
      <c r="BM339" s="310"/>
      <c r="BN339" s="313"/>
    </row>
    <row r="340" s="118" customFormat="1" ht="33.95" hidden="1" customHeight="1" outlineLevel="4" spans="2:66">
      <c r="B340" s="119" t="s">
        <v>747</v>
      </c>
      <c r="C340" s="120" t="s">
        <v>1456</v>
      </c>
      <c r="D340" s="118" t="s">
        <v>1457</v>
      </c>
      <c r="E340" s="119" t="s">
        <v>1449</v>
      </c>
      <c r="F340" s="119"/>
      <c r="G340" s="119" t="s">
        <v>891</v>
      </c>
      <c r="H340" s="119">
        <f t="shared" si="677"/>
        <v>0</v>
      </c>
      <c r="I340" s="119" t="s">
        <v>1190</v>
      </c>
      <c r="J340" s="297"/>
      <c r="K340" s="119" t="s">
        <v>1098</v>
      </c>
      <c r="L340" s="297"/>
      <c r="M340" s="119" t="s">
        <v>1131</v>
      </c>
      <c r="N340" s="119">
        <f t="shared" si="678"/>
        <v>0</v>
      </c>
      <c r="O340" s="297"/>
      <c r="P340" s="297"/>
      <c r="Q340" s="297"/>
      <c r="R340" s="297"/>
      <c r="S340" s="297"/>
      <c r="T340" s="297"/>
      <c r="U340" s="297"/>
      <c r="V340" s="297"/>
      <c r="W340" s="297"/>
      <c r="X340" s="297"/>
      <c r="Y340" s="297"/>
      <c r="Z340" s="297"/>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5"/>
      <c r="BM340" s="310"/>
      <c r="BN340" s="313"/>
    </row>
    <row r="341" s="118" customFormat="1" ht="33.95" hidden="1" customHeight="1" outlineLevel="4" spans="2:66">
      <c r="B341" s="119" t="s">
        <v>747</v>
      </c>
      <c r="C341" s="120" t="s">
        <v>1458</v>
      </c>
      <c r="D341" s="118" t="s">
        <v>1459</v>
      </c>
      <c r="E341" s="119" t="s">
        <v>1449</v>
      </c>
      <c r="F341" s="119"/>
      <c r="G341" s="119" t="s">
        <v>891</v>
      </c>
      <c r="H341" s="119">
        <f t="shared" si="677"/>
        <v>0</v>
      </c>
      <c r="I341" s="119" t="s">
        <v>1190</v>
      </c>
      <c r="J341" s="297"/>
      <c r="K341" s="119" t="s">
        <v>1098</v>
      </c>
      <c r="L341" s="297"/>
      <c r="M341" s="119" t="s">
        <v>1131</v>
      </c>
      <c r="N341" s="119">
        <f t="shared" si="678"/>
        <v>0</v>
      </c>
      <c r="O341" s="297"/>
      <c r="P341" s="297"/>
      <c r="Q341" s="297"/>
      <c r="R341" s="297"/>
      <c r="S341" s="297"/>
      <c r="T341" s="297"/>
      <c r="U341" s="297"/>
      <c r="V341" s="297"/>
      <c r="W341" s="297"/>
      <c r="X341" s="297"/>
      <c r="Y341" s="297"/>
      <c r="Z341" s="297"/>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5"/>
      <c r="BM341" s="310"/>
      <c r="BN341" s="313"/>
    </row>
    <row r="342" s="118" customFormat="1" ht="33.95" hidden="1" customHeight="1" outlineLevel="4" spans="2:66">
      <c r="B342" s="119" t="s">
        <v>747</v>
      </c>
      <c r="C342" s="120" t="s">
        <v>1460</v>
      </c>
      <c r="D342" s="118" t="s">
        <v>1461</v>
      </c>
      <c r="E342" s="119" t="s">
        <v>1462</v>
      </c>
      <c r="F342" s="119"/>
      <c r="G342" s="119" t="s">
        <v>891</v>
      </c>
      <c r="H342" s="119">
        <f t="shared" si="677"/>
        <v>0</v>
      </c>
      <c r="I342" s="119" t="s">
        <v>1190</v>
      </c>
      <c r="J342" s="297"/>
      <c r="K342" s="119" t="s">
        <v>1098</v>
      </c>
      <c r="L342" s="297"/>
      <c r="M342" s="119" t="s">
        <v>1131</v>
      </c>
      <c r="N342" s="119">
        <f t="shared" si="678"/>
        <v>0</v>
      </c>
      <c r="O342" s="297"/>
      <c r="P342" s="297"/>
      <c r="Q342" s="297"/>
      <c r="R342" s="297"/>
      <c r="S342" s="297"/>
      <c r="T342" s="297"/>
      <c r="U342" s="297"/>
      <c r="V342" s="297"/>
      <c r="W342" s="297"/>
      <c r="X342" s="297"/>
      <c r="Y342" s="297"/>
      <c r="Z342" s="297"/>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5"/>
      <c r="BM342" s="310"/>
      <c r="BN342" s="313"/>
    </row>
    <row r="343" s="118" customFormat="1" ht="33.95" hidden="1" customHeight="1" outlineLevel="4" spans="2:66">
      <c r="B343" s="119" t="s">
        <v>747</v>
      </c>
      <c r="C343" s="120" t="s">
        <v>1463</v>
      </c>
      <c r="D343" s="118" t="s">
        <v>1464</v>
      </c>
      <c r="E343" s="119" t="s">
        <v>1462</v>
      </c>
      <c r="F343" s="119"/>
      <c r="G343" s="119" t="s">
        <v>891</v>
      </c>
      <c r="H343" s="119">
        <f t="shared" si="677"/>
        <v>0</v>
      </c>
      <c r="I343" s="119" t="s">
        <v>1190</v>
      </c>
      <c r="J343" s="297"/>
      <c r="K343" s="119" t="s">
        <v>1098</v>
      </c>
      <c r="L343" s="297"/>
      <c r="M343" s="119" t="s">
        <v>1131</v>
      </c>
      <c r="N343" s="119">
        <f t="shared" si="678"/>
        <v>0</v>
      </c>
      <c r="O343" s="297"/>
      <c r="P343" s="297"/>
      <c r="Q343" s="297"/>
      <c r="R343" s="297"/>
      <c r="S343" s="297"/>
      <c r="T343" s="297"/>
      <c r="U343" s="297"/>
      <c r="V343" s="297"/>
      <c r="W343" s="297"/>
      <c r="X343" s="297"/>
      <c r="Y343" s="297"/>
      <c r="Z343" s="297"/>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5"/>
      <c r="BM343" s="310"/>
      <c r="BN343" s="313"/>
    </row>
    <row r="344" s="118" customFormat="1" ht="33.95" hidden="1" customHeight="1" outlineLevel="4" spans="2:66">
      <c r="B344" s="119" t="s">
        <v>747</v>
      </c>
      <c r="C344" s="120" t="s">
        <v>1465</v>
      </c>
      <c r="D344" s="118" t="s">
        <v>1466</v>
      </c>
      <c r="E344" s="119" t="s">
        <v>1467</v>
      </c>
      <c r="F344" s="119"/>
      <c r="G344" s="119" t="s">
        <v>891</v>
      </c>
      <c r="H344" s="119">
        <f t="shared" si="677"/>
        <v>0</v>
      </c>
      <c r="I344" s="119" t="s">
        <v>1190</v>
      </c>
      <c r="J344" s="297"/>
      <c r="K344" s="119" t="s">
        <v>1098</v>
      </c>
      <c r="L344" s="297"/>
      <c r="M344" s="119" t="s">
        <v>1131</v>
      </c>
      <c r="N344" s="119">
        <f t="shared" si="678"/>
        <v>0</v>
      </c>
      <c r="O344" s="297"/>
      <c r="P344" s="297"/>
      <c r="Q344" s="297"/>
      <c r="R344" s="297"/>
      <c r="S344" s="297"/>
      <c r="T344" s="297"/>
      <c r="U344" s="297"/>
      <c r="V344" s="297"/>
      <c r="W344" s="297"/>
      <c r="X344" s="297"/>
      <c r="Y344" s="297"/>
      <c r="Z344" s="297"/>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5"/>
      <c r="BM344" s="310"/>
      <c r="BN344" s="313"/>
    </row>
    <row r="345" s="118" customFormat="1" ht="33.95" hidden="1" customHeight="1" outlineLevel="4" spans="2:66">
      <c r="B345" s="119" t="s">
        <v>747</v>
      </c>
      <c r="C345" s="120" t="s">
        <v>1468</v>
      </c>
      <c r="D345" s="118" t="s">
        <v>1469</v>
      </c>
      <c r="E345" s="119" t="s">
        <v>1470</v>
      </c>
      <c r="F345" s="119"/>
      <c r="G345" s="119" t="s">
        <v>891</v>
      </c>
      <c r="H345" s="119">
        <f t="shared" si="677"/>
        <v>0</v>
      </c>
      <c r="I345" s="119" t="s">
        <v>1190</v>
      </c>
      <c r="J345" s="297"/>
      <c r="K345" s="119" t="s">
        <v>1098</v>
      </c>
      <c r="L345" s="297"/>
      <c r="M345" s="119" t="s">
        <v>1131</v>
      </c>
      <c r="N345" s="119">
        <f t="shared" si="678"/>
        <v>0</v>
      </c>
      <c r="O345" s="297"/>
      <c r="P345" s="297"/>
      <c r="Q345" s="297"/>
      <c r="R345" s="297"/>
      <c r="S345" s="297"/>
      <c r="T345" s="297"/>
      <c r="U345" s="297"/>
      <c r="V345" s="297"/>
      <c r="W345" s="297"/>
      <c r="X345" s="297"/>
      <c r="Y345" s="297"/>
      <c r="Z345" s="297"/>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5"/>
      <c r="BM345" s="310"/>
      <c r="BN345" s="313"/>
    </row>
    <row r="346" s="118" customFormat="1" ht="33.95" hidden="1" customHeight="1" outlineLevel="4" spans="2:66">
      <c r="B346" s="119" t="s">
        <v>747</v>
      </c>
      <c r="C346" s="120" t="s">
        <v>1471</v>
      </c>
      <c r="D346" s="118" t="s">
        <v>1472</v>
      </c>
      <c r="E346" s="119" t="s">
        <v>1473</v>
      </c>
      <c r="F346" s="119"/>
      <c r="G346" s="119" t="s">
        <v>891</v>
      </c>
      <c r="H346" s="119">
        <f t="shared" si="677"/>
        <v>0</v>
      </c>
      <c r="I346" s="119" t="s">
        <v>1190</v>
      </c>
      <c r="J346" s="297"/>
      <c r="K346" s="119" t="s">
        <v>1098</v>
      </c>
      <c r="L346" s="297"/>
      <c r="M346" s="119" t="s">
        <v>1131</v>
      </c>
      <c r="N346" s="119">
        <f t="shared" si="678"/>
        <v>0</v>
      </c>
      <c r="O346" s="297"/>
      <c r="P346" s="297"/>
      <c r="Q346" s="297"/>
      <c r="R346" s="297"/>
      <c r="S346" s="297"/>
      <c r="T346" s="297"/>
      <c r="U346" s="297"/>
      <c r="V346" s="297"/>
      <c r="W346" s="297"/>
      <c r="X346" s="297"/>
      <c r="Y346" s="297"/>
      <c r="Z346" s="297"/>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5"/>
      <c r="BM346" s="310"/>
      <c r="BN346" s="313"/>
    </row>
    <row r="347" s="118" customFormat="1" ht="33.95" hidden="1" customHeight="1" outlineLevel="4" spans="2:66">
      <c r="B347" s="119" t="s">
        <v>747</v>
      </c>
      <c r="C347" s="120" t="s">
        <v>1474</v>
      </c>
      <c r="D347" s="118" t="s">
        <v>1475</v>
      </c>
      <c r="E347" s="119" t="s">
        <v>1476</v>
      </c>
      <c r="F347" s="119"/>
      <c r="G347" s="119" t="s">
        <v>891</v>
      </c>
      <c r="H347" s="119">
        <f t="shared" si="677"/>
        <v>0</v>
      </c>
      <c r="I347" s="119" t="s">
        <v>1190</v>
      </c>
      <c r="J347" s="297"/>
      <c r="K347" s="119" t="s">
        <v>1098</v>
      </c>
      <c r="L347" s="297"/>
      <c r="M347" s="119" t="s">
        <v>1131</v>
      </c>
      <c r="N347" s="119">
        <f t="shared" si="678"/>
        <v>0</v>
      </c>
      <c r="O347" s="297"/>
      <c r="P347" s="297"/>
      <c r="Q347" s="297"/>
      <c r="R347" s="297"/>
      <c r="S347" s="297"/>
      <c r="T347" s="297"/>
      <c r="U347" s="297"/>
      <c r="V347" s="297"/>
      <c r="W347" s="297"/>
      <c r="X347" s="297"/>
      <c r="Y347" s="297"/>
      <c r="Z347" s="297"/>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5"/>
      <c r="BM347" s="310"/>
      <c r="BN347" s="313"/>
    </row>
    <row r="348" s="118" customFormat="1" ht="33.95" hidden="1" customHeight="1" outlineLevel="4" spans="2:66">
      <c r="B348" s="119" t="s">
        <v>747</v>
      </c>
      <c r="C348" s="120" t="s">
        <v>1477</v>
      </c>
      <c r="D348" s="118" t="s">
        <v>1478</v>
      </c>
      <c r="E348" s="119" t="s">
        <v>1479</v>
      </c>
      <c r="F348" s="119"/>
      <c r="G348" s="119" t="s">
        <v>891</v>
      </c>
      <c r="H348" s="119">
        <f t="shared" si="677"/>
        <v>0</v>
      </c>
      <c r="I348" s="119" t="s">
        <v>1190</v>
      </c>
      <c r="J348" s="297"/>
      <c r="K348" s="119" t="s">
        <v>1098</v>
      </c>
      <c r="L348" s="297"/>
      <c r="M348" s="119" t="s">
        <v>1131</v>
      </c>
      <c r="N348" s="119">
        <f t="shared" si="678"/>
        <v>0</v>
      </c>
      <c r="O348" s="297"/>
      <c r="P348" s="297"/>
      <c r="Q348" s="297"/>
      <c r="R348" s="297"/>
      <c r="S348" s="297"/>
      <c r="T348" s="297"/>
      <c r="U348" s="297"/>
      <c r="V348" s="297"/>
      <c r="W348" s="297"/>
      <c r="X348" s="297"/>
      <c r="Y348" s="297"/>
      <c r="Z348" s="297"/>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5"/>
      <c r="BM348" s="310"/>
      <c r="BN348" s="313"/>
    </row>
    <row r="349" s="118" customFormat="1" ht="33.95" hidden="1" customHeight="1" outlineLevel="4" spans="2:66">
      <c r="B349" s="119" t="s">
        <v>747</v>
      </c>
      <c r="C349" s="120" t="s">
        <v>1480</v>
      </c>
      <c r="D349" s="118" t="s">
        <v>1481</v>
      </c>
      <c r="E349" s="119" t="s">
        <v>1482</v>
      </c>
      <c r="F349" s="119"/>
      <c r="G349" s="119" t="s">
        <v>891</v>
      </c>
      <c r="H349" s="119">
        <f t="shared" si="677"/>
        <v>0</v>
      </c>
      <c r="I349" s="119" t="s">
        <v>1483</v>
      </c>
      <c r="J349" s="119">
        <v>1</v>
      </c>
      <c r="K349" s="119" t="s">
        <v>1191</v>
      </c>
      <c r="L349" s="297"/>
      <c r="M349" s="119" t="s">
        <v>1484</v>
      </c>
      <c r="N349" s="119">
        <f t="shared" si="678"/>
        <v>0</v>
      </c>
      <c r="O349" s="297"/>
      <c r="P349" s="297"/>
      <c r="Q349" s="297"/>
      <c r="R349" s="297"/>
      <c r="S349" s="297"/>
      <c r="T349" s="297"/>
      <c r="U349" s="297"/>
      <c r="V349" s="297"/>
      <c r="W349" s="297"/>
      <c r="X349" s="297"/>
      <c r="Y349" s="297"/>
      <c r="Z349" s="297"/>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5"/>
      <c r="BM349" s="310"/>
      <c r="BN349" s="313"/>
    </row>
    <row r="350" s="118" customFormat="1" ht="33.95" hidden="1" customHeight="1" outlineLevel="4" spans="2:66">
      <c r="B350" s="119" t="s">
        <v>747</v>
      </c>
      <c r="C350" s="120" t="s">
        <v>1485</v>
      </c>
      <c r="D350" s="118" t="s">
        <v>1486</v>
      </c>
      <c r="E350" s="119" t="s">
        <v>1482</v>
      </c>
      <c r="F350" s="119"/>
      <c r="G350" s="119" t="s">
        <v>891</v>
      </c>
      <c r="H350" s="119">
        <f t="shared" si="677"/>
        <v>0</v>
      </c>
      <c r="I350" s="119" t="s">
        <v>1483</v>
      </c>
      <c r="J350" s="119">
        <v>1</v>
      </c>
      <c r="K350" s="119" t="s">
        <v>1191</v>
      </c>
      <c r="L350" s="297"/>
      <c r="M350" s="119" t="s">
        <v>1484</v>
      </c>
      <c r="N350" s="119">
        <f t="shared" si="678"/>
        <v>0</v>
      </c>
      <c r="O350" s="297"/>
      <c r="P350" s="297"/>
      <c r="Q350" s="297"/>
      <c r="R350" s="297"/>
      <c r="S350" s="297"/>
      <c r="T350" s="297"/>
      <c r="U350" s="297"/>
      <c r="V350" s="297"/>
      <c r="W350" s="297"/>
      <c r="X350" s="297"/>
      <c r="Y350" s="297"/>
      <c r="Z350" s="297"/>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5"/>
      <c r="BM350" s="310"/>
      <c r="BN350" s="313"/>
    </row>
    <row r="351" s="118" customFormat="1" ht="33.95" hidden="1" customHeight="1" outlineLevel="4" spans="2:66">
      <c r="B351" s="119" t="s">
        <v>747</v>
      </c>
      <c r="C351" s="120" t="s">
        <v>1487</v>
      </c>
      <c r="D351" s="118" t="s">
        <v>1488</v>
      </c>
      <c r="E351" s="119" t="s">
        <v>1482</v>
      </c>
      <c r="F351" s="119"/>
      <c r="G351" s="119" t="s">
        <v>891</v>
      </c>
      <c r="H351" s="119">
        <f t="shared" si="677"/>
        <v>0</v>
      </c>
      <c r="I351" s="119" t="s">
        <v>1483</v>
      </c>
      <c r="J351" s="119">
        <v>1</v>
      </c>
      <c r="K351" s="119" t="s">
        <v>1191</v>
      </c>
      <c r="L351" s="297"/>
      <c r="M351" s="119" t="s">
        <v>1484</v>
      </c>
      <c r="N351" s="119">
        <f t="shared" si="678"/>
        <v>0</v>
      </c>
      <c r="O351" s="297"/>
      <c r="P351" s="297"/>
      <c r="Q351" s="297"/>
      <c r="R351" s="297"/>
      <c r="S351" s="297"/>
      <c r="T351" s="297"/>
      <c r="U351" s="297"/>
      <c r="V351" s="297"/>
      <c r="W351" s="297"/>
      <c r="X351" s="297"/>
      <c r="Y351" s="297"/>
      <c r="Z351" s="297"/>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5"/>
      <c r="BM351" s="310"/>
      <c r="BN351" s="313"/>
    </row>
    <row r="352" s="118" customFormat="1" ht="33.95" hidden="1" customHeight="1" outlineLevel="4" spans="2:66">
      <c r="B352" s="119" t="s">
        <v>747</v>
      </c>
      <c r="C352" s="120" t="s">
        <v>1489</v>
      </c>
      <c r="D352" s="118" t="s">
        <v>1490</v>
      </c>
      <c r="E352" s="119" t="s">
        <v>1491</v>
      </c>
      <c r="F352" s="119"/>
      <c r="G352" s="119" t="s">
        <v>891</v>
      </c>
      <c r="H352" s="119">
        <f t="shared" si="677"/>
        <v>0</v>
      </c>
      <c r="I352" s="119" t="s">
        <v>1483</v>
      </c>
      <c r="J352" s="119">
        <v>1</v>
      </c>
      <c r="K352" s="119" t="s">
        <v>1191</v>
      </c>
      <c r="L352" s="297"/>
      <c r="M352" s="119" t="s">
        <v>1484</v>
      </c>
      <c r="N352" s="119">
        <f t="shared" si="678"/>
        <v>0</v>
      </c>
      <c r="O352" s="297"/>
      <c r="P352" s="297"/>
      <c r="Q352" s="297"/>
      <c r="R352" s="297"/>
      <c r="S352" s="297"/>
      <c r="T352" s="297"/>
      <c r="U352" s="297"/>
      <c r="V352" s="297"/>
      <c r="W352" s="297"/>
      <c r="X352" s="297"/>
      <c r="Y352" s="297"/>
      <c r="Z352" s="297"/>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5"/>
      <c r="BM352" s="310"/>
      <c r="BN352" s="313"/>
    </row>
    <row r="353" s="118" customFormat="1" ht="33.95" hidden="1" customHeight="1" outlineLevel="4" spans="2:66">
      <c r="B353" s="119" t="s">
        <v>747</v>
      </c>
      <c r="C353" s="120" t="s">
        <v>1492</v>
      </c>
      <c r="D353" s="118" t="s">
        <v>1493</v>
      </c>
      <c r="E353" s="119" t="s">
        <v>1494</v>
      </c>
      <c r="F353" s="119"/>
      <c r="G353" s="119" t="s">
        <v>891</v>
      </c>
      <c r="H353" s="119">
        <f t="shared" si="677"/>
        <v>0</v>
      </c>
      <c r="I353" s="119" t="s">
        <v>1190</v>
      </c>
      <c r="J353" s="297"/>
      <c r="K353" s="119" t="s">
        <v>1098</v>
      </c>
      <c r="L353" s="297"/>
      <c r="M353" s="119" t="s">
        <v>1131</v>
      </c>
      <c r="N353" s="119">
        <f t="shared" si="678"/>
        <v>0</v>
      </c>
      <c r="O353" s="297"/>
      <c r="P353" s="297"/>
      <c r="Q353" s="297"/>
      <c r="R353" s="297"/>
      <c r="S353" s="297"/>
      <c r="T353" s="297"/>
      <c r="U353" s="297"/>
      <c r="V353" s="297"/>
      <c r="W353" s="297"/>
      <c r="X353" s="297"/>
      <c r="Y353" s="297"/>
      <c r="Z353" s="297"/>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5"/>
      <c r="BM353" s="310"/>
      <c r="BN353" s="313"/>
    </row>
    <row r="354" s="118" customFormat="1" ht="33.95" hidden="1" customHeight="1" outlineLevel="4" spans="2:66">
      <c r="B354" s="119" t="s">
        <v>747</v>
      </c>
      <c r="C354" s="120" t="s">
        <v>1495</v>
      </c>
      <c r="D354" s="118" t="s">
        <v>1496</v>
      </c>
      <c r="E354" s="119" t="s">
        <v>1497</v>
      </c>
      <c r="F354" s="119"/>
      <c r="G354" s="119" t="s">
        <v>891</v>
      </c>
      <c r="H354" s="119">
        <f t="shared" si="677"/>
        <v>0</v>
      </c>
      <c r="I354" s="119" t="s">
        <v>1190</v>
      </c>
      <c r="J354" s="297"/>
      <c r="K354" s="119" t="s">
        <v>1098</v>
      </c>
      <c r="L354" s="297"/>
      <c r="M354" s="119" t="s">
        <v>1131</v>
      </c>
      <c r="N354" s="119">
        <f t="shared" si="678"/>
        <v>0</v>
      </c>
      <c r="O354" s="297"/>
      <c r="P354" s="297"/>
      <c r="Q354" s="297"/>
      <c r="R354" s="297"/>
      <c r="S354" s="297"/>
      <c r="T354" s="297"/>
      <c r="U354" s="297"/>
      <c r="V354" s="297"/>
      <c r="W354" s="297"/>
      <c r="X354" s="297"/>
      <c r="Y354" s="297"/>
      <c r="Z354" s="297"/>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5"/>
      <c r="BM354" s="310"/>
      <c r="BN354" s="313"/>
    </row>
    <row r="355" s="118" customFormat="1" ht="33.95" hidden="1" customHeight="1" outlineLevel="4" spans="2:66">
      <c r="B355" s="119" t="s">
        <v>747</v>
      </c>
      <c r="C355" s="120" t="s">
        <v>1498</v>
      </c>
      <c r="D355" s="118" t="s">
        <v>1499</v>
      </c>
      <c r="E355" s="119" t="s">
        <v>1500</v>
      </c>
      <c r="F355" s="119"/>
      <c r="G355" s="119" t="s">
        <v>891</v>
      </c>
      <c r="H355" s="119">
        <f t="shared" si="677"/>
        <v>0</v>
      </c>
      <c r="I355" s="119" t="s">
        <v>1190</v>
      </c>
      <c r="J355" s="297"/>
      <c r="K355" s="119" t="s">
        <v>1098</v>
      </c>
      <c r="L355" s="297"/>
      <c r="M355" s="119" t="s">
        <v>1131</v>
      </c>
      <c r="N355" s="119">
        <f t="shared" si="678"/>
        <v>0</v>
      </c>
      <c r="O355" s="297"/>
      <c r="P355" s="315"/>
      <c r="Q355" s="315"/>
      <c r="R355" s="315"/>
      <c r="S355" s="315"/>
      <c r="T355" s="315"/>
      <c r="U355" s="315"/>
      <c r="V355" s="315"/>
      <c r="W355" s="315"/>
      <c r="X355" s="315"/>
      <c r="Y355" s="315"/>
      <c r="Z355" s="315"/>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5"/>
      <c r="BM355" s="310"/>
      <c r="BN355" s="313"/>
    </row>
    <row r="356" s="48" customFormat="1" ht="33.95" hidden="1" customHeight="1" outlineLevel="3" collapsed="1" spans="2:66">
      <c r="B356" s="115" t="s">
        <v>742</v>
      </c>
      <c r="C356" s="116" t="s">
        <v>1501</v>
      </c>
      <c r="D356" s="48" t="s">
        <v>1502</v>
      </c>
      <c r="E356" s="115"/>
      <c r="F356" s="115"/>
      <c r="G356" s="115"/>
      <c r="H356" s="115">
        <f>SUM(H357:H361)</f>
        <v>0</v>
      </c>
      <c r="I356" s="115"/>
      <c r="J356" s="115"/>
      <c r="K356" s="115"/>
      <c r="L356" s="115"/>
      <c r="M356" s="115"/>
      <c r="N356" s="115"/>
      <c r="O356" s="115"/>
      <c r="P356" s="287"/>
      <c r="Q356" s="287"/>
      <c r="R356" s="287"/>
      <c r="S356" s="287"/>
      <c r="T356" s="287"/>
      <c r="U356" s="287"/>
      <c r="V356" s="287"/>
      <c r="W356" s="287"/>
      <c r="X356" s="287"/>
      <c r="Y356" s="287"/>
      <c r="Z356" s="287"/>
      <c r="AA356" s="287"/>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4"/>
      <c r="BM356" s="310"/>
      <c r="BN356" s="312"/>
    </row>
    <row r="357" s="118" customFormat="1" ht="33.95" hidden="1" customHeight="1" outlineLevel="4" spans="2:66">
      <c r="B357" s="119" t="s">
        <v>747</v>
      </c>
      <c r="C357" s="120" t="s">
        <v>1503</v>
      </c>
      <c r="D357" s="118" t="s">
        <v>1504</v>
      </c>
      <c r="E357" s="119" t="s">
        <v>1505</v>
      </c>
      <c r="F357" s="119"/>
      <c r="G357" s="119" t="s">
        <v>891</v>
      </c>
      <c r="H357" s="119">
        <f t="shared" ref="H357:H361" si="693">IFERROR(J357*L357*N357,0)</f>
        <v>0</v>
      </c>
      <c r="I357" s="119" t="s">
        <v>1190</v>
      </c>
      <c r="J357" s="297"/>
      <c r="K357" s="119" t="s">
        <v>1343</v>
      </c>
      <c r="L357" s="297"/>
      <c r="M357" s="119" t="s">
        <v>1395</v>
      </c>
      <c r="N357" s="119">
        <f t="shared" ref="N357:N364" si="694">COUNTA(O357:Z357)</f>
        <v>0</v>
      </c>
      <c r="O357" s="297"/>
      <c r="P357" s="316"/>
      <c r="Q357" s="316"/>
      <c r="R357" s="316"/>
      <c r="S357" s="316"/>
      <c r="T357" s="316"/>
      <c r="U357" s="316"/>
      <c r="V357" s="316"/>
      <c r="W357" s="316"/>
      <c r="X357" s="316"/>
      <c r="Y357" s="316"/>
      <c r="Z357" s="316"/>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5"/>
      <c r="BM357" s="310"/>
      <c r="BN357" s="313"/>
    </row>
    <row r="358" s="118" customFormat="1" ht="33.95" hidden="1" customHeight="1" outlineLevel="4" spans="2:66">
      <c r="B358" s="119" t="s">
        <v>747</v>
      </c>
      <c r="C358" s="120" t="s">
        <v>1506</v>
      </c>
      <c r="D358" s="118" t="s">
        <v>1507</v>
      </c>
      <c r="E358" s="119" t="s">
        <v>1505</v>
      </c>
      <c r="F358" s="119"/>
      <c r="G358" s="119" t="s">
        <v>891</v>
      </c>
      <c r="H358" s="119">
        <f t="shared" si="693"/>
        <v>0</v>
      </c>
      <c r="I358" s="119" t="s">
        <v>1190</v>
      </c>
      <c r="J358" s="297"/>
      <c r="K358" s="119" t="s">
        <v>1343</v>
      </c>
      <c r="L358" s="297"/>
      <c r="M358" s="119" t="s">
        <v>1395</v>
      </c>
      <c r="N358" s="119">
        <f t="shared" si="694"/>
        <v>0</v>
      </c>
      <c r="O358" s="297"/>
      <c r="P358" s="297"/>
      <c r="Q358" s="297"/>
      <c r="R358" s="297"/>
      <c r="S358" s="297"/>
      <c r="T358" s="297"/>
      <c r="U358" s="297"/>
      <c r="V358" s="297"/>
      <c r="W358" s="297"/>
      <c r="X358" s="297"/>
      <c r="Y358" s="297"/>
      <c r="Z358" s="297"/>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5"/>
      <c r="BM358" s="310"/>
      <c r="BN358" s="313"/>
    </row>
    <row r="359" s="118" customFormat="1" ht="33.95" hidden="1" customHeight="1" outlineLevel="4" spans="2:66">
      <c r="B359" s="119" t="s">
        <v>747</v>
      </c>
      <c r="C359" s="120" t="s">
        <v>1508</v>
      </c>
      <c r="D359" s="118" t="s">
        <v>1509</v>
      </c>
      <c r="E359" s="119" t="s">
        <v>1510</v>
      </c>
      <c r="F359" s="119"/>
      <c r="G359" s="119" t="s">
        <v>891</v>
      </c>
      <c r="H359" s="119">
        <f t="shared" si="693"/>
        <v>0</v>
      </c>
      <c r="I359" s="119" t="s">
        <v>1190</v>
      </c>
      <c r="J359" s="297"/>
      <c r="K359" s="119" t="s">
        <v>1343</v>
      </c>
      <c r="L359" s="297"/>
      <c r="M359" s="119" t="s">
        <v>1395</v>
      </c>
      <c r="N359" s="119">
        <f t="shared" si="694"/>
        <v>0</v>
      </c>
      <c r="O359" s="297"/>
      <c r="P359" s="297"/>
      <c r="Q359" s="297"/>
      <c r="R359" s="297"/>
      <c r="S359" s="297"/>
      <c r="T359" s="297"/>
      <c r="U359" s="297"/>
      <c r="V359" s="297"/>
      <c r="W359" s="297"/>
      <c r="X359" s="297"/>
      <c r="Y359" s="297"/>
      <c r="Z359" s="297"/>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5"/>
      <c r="BM359" s="310"/>
      <c r="BN359" s="313"/>
    </row>
    <row r="360" s="118" customFormat="1" ht="33.95" hidden="1" customHeight="1" outlineLevel="4" spans="2:66">
      <c r="B360" s="119" t="s">
        <v>747</v>
      </c>
      <c r="C360" s="120" t="s">
        <v>1511</v>
      </c>
      <c r="D360" s="118" t="s">
        <v>1512</v>
      </c>
      <c r="E360" s="119" t="s">
        <v>1505</v>
      </c>
      <c r="F360" s="119"/>
      <c r="G360" s="119" t="s">
        <v>891</v>
      </c>
      <c r="H360" s="119">
        <f t="shared" si="693"/>
        <v>0</v>
      </c>
      <c r="I360" s="119" t="s">
        <v>1190</v>
      </c>
      <c r="J360" s="297"/>
      <c r="K360" s="119" t="s">
        <v>1343</v>
      </c>
      <c r="L360" s="297"/>
      <c r="M360" s="119" t="s">
        <v>1395</v>
      </c>
      <c r="N360" s="119">
        <f t="shared" si="694"/>
        <v>0</v>
      </c>
      <c r="O360" s="297"/>
      <c r="P360" s="297"/>
      <c r="Q360" s="297"/>
      <c r="R360" s="297"/>
      <c r="S360" s="297"/>
      <c r="T360" s="297"/>
      <c r="U360" s="297"/>
      <c r="V360" s="297"/>
      <c r="W360" s="297"/>
      <c r="X360" s="297"/>
      <c r="Y360" s="297"/>
      <c r="Z360" s="297"/>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5"/>
      <c r="BM360" s="310"/>
      <c r="BN360" s="313"/>
    </row>
    <row r="361" s="118" customFormat="1" ht="33.95" hidden="1" customHeight="1" outlineLevel="4" spans="2:66">
      <c r="B361" s="119" t="s">
        <v>747</v>
      </c>
      <c r="C361" s="120" t="s">
        <v>1513</v>
      </c>
      <c r="D361" s="118" t="s">
        <v>1514</v>
      </c>
      <c r="E361" s="119" t="s">
        <v>1515</v>
      </c>
      <c r="F361" s="119"/>
      <c r="G361" s="119" t="s">
        <v>891</v>
      </c>
      <c r="H361" s="119">
        <f t="shared" si="693"/>
        <v>0</v>
      </c>
      <c r="I361" s="119" t="s">
        <v>1190</v>
      </c>
      <c r="J361" s="297"/>
      <c r="K361" s="119" t="s">
        <v>1343</v>
      </c>
      <c r="L361" s="297"/>
      <c r="M361" s="119" t="s">
        <v>1395</v>
      </c>
      <c r="N361" s="119">
        <f t="shared" si="694"/>
        <v>0</v>
      </c>
      <c r="O361" s="297"/>
      <c r="P361" s="297"/>
      <c r="Q361" s="297"/>
      <c r="R361" s="297"/>
      <c r="S361" s="297"/>
      <c r="T361" s="297"/>
      <c r="U361" s="297"/>
      <c r="V361" s="297"/>
      <c r="W361" s="297"/>
      <c r="X361" s="297"/>
      <c r="Y361" s="297"/>
      <c r="Z361" s="297"/>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5"/>
      <c r="BM361" s="310"/>
      <c r="BN361" s="313"/>
    </row>
    <row r="362" s="48" customFormat="1" ht="33.95" hidden="1" customHeight="1" outlineLevel="3" spans="2:66">
      <c r="B362" s="115" t="s">
        <v>747</v>
      </c>
      <c r="C362" s="116" t="s">
        <v>1516</v>
      </c>
      <c r="D362" s="48" t="s">
        <v>1517</v>
      </c>
      <c r="E362" s="115" t="s">
        <v>1518</v>
      </c>
      <c r="F362" s="115"/>
      <c r="G362" s="115" t="s">
        <v>891</v>
      </c>
      <c r="H362" s="115">
        <f t="shared" ref="H362:H369" si="708">J362*L362*N362</f>
        <v>0</v>
      </c>
      <c r="I362" s="115" t="s">
        <v>1294</v>
      </c>
      <c r="J362" s="297"/>
      <c r="K362" s="115" t="s">
        <v>1343</v>
      </c>
      <c r="L362" s="297"/>
      <c r="M362" s="115" t="s">
        <v>1395</v>
      </c>
      <c r="N362" s="115">
        <f t="shared" si="694"/>
        <v>0</v>
      </c>
      <c r="O362" s="297"/>
      <c r="P362" s="297"/>
      <c r="Q362" s="297"/>
      <c r="R362" s="297"/>
      <c r="S362" s="297"/>
      <c r="T362" s="297"/>
      <c r="U362" s="297"/>
      <c r="V362" s="297"/>
      <c r="W362" s="297"/>
      <c r="X362" s="297"/>
      <c r="Y362" s="297"/>
      <c r="Z362" s="297"/>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4"/>
      <c r="BM362" s="310"/>
      <c r="BN362" s="312"/>
    </row>
    <row r="363" s="48" customFormat="1" ht="33.95" hidden="1" customHeight="1" outlineLevel="3" spans="2:66">
      <c r="B363" s="115" t="s">
        <v>747</v>
      </c>
      <c r="C363" s="116" t="s">
        <v>1519</v>
      </c>
      <c r="D363" s="48" t="s">
        <v>1520</v>
      </c>
      <c r="E363" s="115" t="s">
        <v>1521</v>
      </c>
      <c r="F363" s="115"/>
      <c r="G363" s="115" t="s">
        <v>891</v>
      </c>
      <c r="H363" s="115">
        <f t="shared" si="708"/>
        <v>0</v>
      </c>
      <c r="I363" s="115" t="s">
        <v>980</v>
      </c>
      <c r="J363" s="115">
        <f>AVERAGE('1-1 项目基础信息'!$H$9:$S$9)</f>
        <v>5829.78</v>
      </c>
      <c r="K363" s="115" t="s">
        <v>981</v>
      </c>
      <c r="L363" s="297"/>
      <c r="M363" s="115" t="s">
        <v>1144</v>
      </c>
      <c r="N363" s="115">
        <f t="shared" si="694"/>
        <v>0</v>
      </c>
      <c r="O363" s="297"/>
      <c r="P363" s="297"/>
      <c r="Q363" s="297"/>
      <c r="R363" s="297"/>
      <c r="S363" s="297"/>
      <c r="T363" s="297"/>
      <c r="U363" s="297"/>
      <c r="V363" s="297"/>
      <c r="W363" s="297"/>
      <c r="X363" s="297"/>
      <c r="Y363" s="297"/>
      <c r="Z363" s="297"/>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4"/>
      <c r="BM363" s="310"/>
      <c r="BN363" s="312"/>
    </row>
    <row r="364" s="48" customFormat="1" ht="33.95" hidden="1" customHeight="1" outlineLevel="3" spans="2:66">
      <c r="B364" s="115" t="s">
        <v>747</v>
      </c>
      <c r="C364" s="116" t="s">
        <v>1522</v>
      </c>
      <c r="D364" s="48" t="s">
        <v>1523</v>
      </c>
      <c r="E364" s="115" t="s">
        <v>1524</v>
      </c>
      <c r="F364" s="115"/>
      <c r="G364" s="115" t="s">
        <v>891</v>
      </c>
      <c r="H364" s="115">
        <f t="shared" si="708"/>
        <v>0</v>
      </c>
      <c r="I364" s="115" t="s">
        <v>1130</v>
      </c>
      <c r="J364" s="297"/>
      <c r="K364" s="115" t="s">
        <v>1343</v>
      </c>
      <c r="L364" s="297"/>
      <c r="M364" s="115" t="s">
        <v>1395</v>
      </c>
      <c r="N364" s="115">
        <f t="shared" si="694"/>
        <v>0</v>
      </c>
      <c r="O364" s="297"/>
      <c r="P364" s="315"/>
      <c r="Q364" s="315"/>
      <c r="R364" s="315"/>
      <c r="S364" s="315"/>
      <c r="T364" s="315"/>
      <c r="U364" s="315"/>
      <c r="V364" s="315"/>
      <c r="W364" s="315"/>
      <c r="X364" s="315"/>
      <c r="Y364" s="315"/>
      <c r="Z364" s="315"/>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4"/>
      <c r="BM364" s="310"/>
      <c r="BN364" s="312"/>
    </row>
    <row r="365" s="48" customFormat="1" ht="33.95" hidden="1" customHeight="1" outlineLevel="3" collapsed="1" spans="2:66">
      <c r="B365" s="115" t="s">
        <v>742</v>
      </c>
      <c r="C365" s="116" t="s">
        <v>1525</v>
      </c>
      <c r="D365" s="48" t="s">
        <v>1526</v>
      </c>
      <c r="E365" s="115"/>
      <c r="F365" s="115"/>
      <c r="G365" s="115" t="s">
        <v>891</v>
      </c>
      <c r="H365" s="115">
        <f>SUM(H366:H370)</f>
        <v>0</v>
      </c>
      <c r="I365" s="115"/>
      <c r="J365" s="115"/>
      <c r="K365" s="115"/>
      <c r="L365" s="115"/>
      <c r="M365" s="115"/>
      <c r="N365" s="115"/>
      <c r="O365" s="115"/>
      <c r="P365" s="287"/>
      <c r="Q365" s="287"/>
      <c r="R365" s="287"/>
      <c r="S365" s="287"/>
      <c r="T365" s="287"/>
      <c r="U365" s="287"/>
      <c r="V365" s="287"/>
      <c r="W365" s="287"/>
      <c r="X365" s="287"/>
      <c r="Y365" s="287"/>
      <c r="Z365" s="287"/>
      <c r="AA365" s="287"/>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4"/>
      <c r="BM365" s="310"/>
      <c r="BN365" s="312"/>
    </row>
    <row r="366" s="118" customFormat="1" ht="33.95" hidden="1" customHeight="1" outlineLevel="4" spans="2:66">
      <c r="B366" s="119" t="s">
        <v>747</v>
      </c>
      <c r="C366" s="120" t="s">
        <v>1527</v>
      </c>
      <c r="D366" s="118" t="s">
        <v>1528</v>
      </c>
      <c r="E366" s="119" t="s">
        <v>1529</v>
      </c>
      <c r="F366" s="119"/>
      <c r="G366" s="119" t="s">
        <v>891</v>
      </c>
      <c r="H366" s="119">
        <f t="shared" si="708"/>
        <v>0</v>
      </c>
      <c r="I366" s="119" t="s">
        <v>1530</v>
      </c>
      <c r="J366" s="297"/>
      <c r="K366" s="119" t="s">
        <v>1343</v>
      </c>
      <c r="L366" s="297"/>
      <c r="M366" s="119" t="s">
        <v>1395</v>
      </c>
      <c r="N366" s="119">
        <f t="shared" ref="N366:N372" si="710">COUNTA(O366:Z366)</f>
        <v>0</v>
      </c>
      <c r="O366" s="297"/>
      <c r="P366" s="316"/>
      <c r="Q366" s="316"/>
      <c r="R366" s="316"/>
      <c r="S366" s="316"/>
      <c r="T366" s="316"/>
      <c r="U366" s="316"/>
      <c r="V366" s="316"/>
      <c r="W366" s="316"/>
      <c r="X366" s="316"/>
      <c r="Y366" s="316"/>
      <c r="Z366" s="316"/>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5"/>
      <c r="BM366" s="310"/>
      <c r="BN366" s="313"/>
    </row>
    <row r="367" s="118" customFormat="1" ht="33.95" hidden="1" customHeight="1" outlineLevel="4" spans="2:66">
      <c r="B367" s="119" t="s">
        <v>747</v>
      </c>
      <c r="C367" s="120" t="s">
        <v>1531</v>
      </c>
      <c r="D367" s="118" t="s">
        <v>1532</v>
      </c>
      <c r="E367" s="119" t="s">
        <v>1533</v>
      </c>
      <c r="F367" s="119"/>
      <c r="G367" s="119" t="s">
        <v>891</v>
      </c>
      <c r="H367" s="119">
        <f t="shared" si="708"/>
        <v>0</v>
      </c>
      <c r="I367" s="119" t="s">
        <v>1530</v>
      </c>
      <c r="J367" s="297"/>
      <c r="K367" s="119" t="s">
        <v>1343</v>
      </c>
      <c r="L367" s="297"/>
      <c r="M367" s="119" t="s">
        <v>1395</v>
      </c>
      <c r="N367" s="119">
        <f t="shared" si="710"/>
        <v>0</v>
      </c>
      <c r="O367" s="297"/>
      <c r="P367" s="297"/>
      <c r="Q367" s="297"/>
      <c r="R367" s="297"/>
      <c r="S367" s="297"/>
      <c r="T367" s="297"/>
      <c r="U367" s="297"/>
      <c r="V367" s="297"/>
      <c r="W367" s="297"/>
      <c r="X367" s="297"/>
      <c r="Y367" s="297"/>
      <c r="Z367" s="297"/>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5"/>
      <c r="BM367" s="310"/>
      <c r="BN367" s="313"/>
    </row>
    <row r="368" s="118" customFormat="1" ht="33.95" hidden="1" customHeight="1" outlineLevel="4" spans="2:66">
      <c r="B368" s="119" t="s">
        <v>747</v>
      </c>
      <c r="C368" s="120" t="s">
        <v>1534</v>
      </c>
      <c r="D368" s="118" t="s">
        <v>1535</v>
      </c>
      <c r="E368" s="119" t="s">
        <v>1536</v>
      </c>
      <c r="F368" s="119"/>
      <c r="G368" s="119" t="s">
        <v>891</v>
      </c>
      <c r="H368" s="119">
        <f t="shared" si="708"/>
        <v>0</v>
      </c>
      <c r="I368" s="119" t="s">
        <v>1530</v>
      </c>
      <c r="J368" s="297"/>
      <c r="K368" s="119" t="s">
        <v>1343</v>
      </c>
      <c r="L368" s="297"/>
      <c r="M368" s="119" t="s">
        <v>1395</v>
      </c>
      <c r="N368" s="119">
        <f t="shared" si="710"/>
        <v>0</v>
      </c>
      <c r="O368" s="297"/>
      <c r="P368" s="297"/>
      <c r="Q368" s="297"/>
      <c r="R368" s="297"/>
      <c r="S368" s="297"/>
      <c r="T368" s="297"/>
      <c r="U368" s="297"/>
      <c r="V368" s="297"/>
      <c r="W368" s="297"/>
      <c r="X368" s="297"/>
      <c r="Y368" s="297"/>
      <c r="Z368" s="297"/>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5"/>
      <c r="BM368" s="310"/>
      <c r="BN368" s="313"/>
    </row>
    <row r="369" s="118" customFormat="1" ht="33.95" hidden="1" customHeight="1" outlineLevel="4" spans="2:66">
      <c r="B369" s="119" t="s">
        <v>747</v>
      </c>
      <c r="C369" s="120" t="s">
        <v>1537</v>
      </c>
      <c r="D369" s="118" t="s">
        <v>1538</v>
      </c>
      <c r="E369" s="119" t="s">
        <v>1539</v>
      </c>
      <c r="F369" s="119"/>
      <c r="G369" s="119" t="s">
        <v>891</v>
      </c>
      <c r="H369" s="119">
        <f t="shared" si="708"/>
        <v>0</v>
      </c>
      <c r="I369" s="119" t="s">
        <v>1530</v>
      </c>
      <c r="J369" s="297"/>
      <c r="K369" s="119" t="s">
        <v>1343</v>
      </c>
      <c r="L369" s="297"/>
      <c r="M369" s="119" t="s">
        <v>1395</v>
      </c>
      <c r="N369" s="119">
        <f t="shared" si="710"/>
        <v>0</v>
      </c>
      <c r="O369" s="297"/>
      <c r="P369" s="297"/>
      <c r="Q369" s="297"/>
      <c r="R369" s="297"/>
      <c r="S369" s="297"/>
      <c r="T369" s="297"/>
      <c r="U369" s="297"/>
      <c r="V369" s="297"/>
      <c r="W369" s="297"/>
      <c r="X369" s="297"/>
      <c r="Y369" s="297"/>
      <c r="Z369" s="297"/>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5"/>
      <c r="BM369" s="310"/>
      <c r="BN369" s="313"/>
    </row>
    <row r="370" s="118" customFormat="1" ht="33.95" hidden="1" customHeight="1" outlineLevel="4" spans="2:66">
      <c r="B370" s="119" t="s">
        <v>747</v>
      </c>
      <c r="C370" s="120" t="s">
        <v>1540</v>
      </c>
      <c r="D370" s="118" t="s">
        <v>1541</v>
      </c>
      <c r="E370" s="119" t="s">
        <v>1542</v>
      </c>
      <c r="F370" s="119"/>
      <c r="G370" s="119" t="s">
        <v>891</v>
      </c>
      <c r="H370" s="119">
        <f t="shared" ref="H370:H372" si="724">J370*L370*N370</f>
        <v>0</v>
      </c>
      <c r="I370" s="119" t="s">
        <v>1530</v>
      </c>
      <c r="J370" s="297"/>
      <c r="K370" s="119" t="s">
        <v>1343</v>
      </c>
      <c r="L370" s="297"/>
      <c r="M370" s="119" t="s">
        <v>1395</v>
      </c>
      <c r="N370" s="119">
        <f t="shared" si="710"/>
        <v>0</v>
      </c>
      <c r="O370" s="297"/>
      <c r="P370" s="297"/>
      <c r="Q370" s="297"/>
      <c r="R370" s="297"/>
      <c r="S370" s="297"/>
      <c r="T370" s="297"/>
      <c r="U370" s="297"/>
      <c r="V370" s="297"/>
      <c r="W370" s="297"/>
      <c r="X370" s="297"/>
      <c r="Y370" s="297"/>
      <c r="Z370" s="297"/>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5"/>
      <c r="BM370" s="310"/>
      <c r="BN370" s="313"/>
    </row>
    <row r="371" s="48" customFormat="1" ht="33.95" hidden="1" customHeight="1" outlineLevel="3" spans="2:66">
      <c r="B371" s="115" t="s">
        <v>747</v>
      </c>
      <c r="C371" s="116" t="s">
        <v>1543</v>
      </c>
      <c r="D371" s="48" t="s">
        <v>1544</v>
      </c>
      <c r="E371" s="115" t="s">
        <v>1545</v>
      </c>
      <c r="F371" s="115"/>
      <c r="G371" s="115" t="s">
        <v>891</v>
      </c>
      <c r="H371" s="115">
        <f t="shared" si="724"/>
        <v>0</v>
      </c>
      <c r="I371" s="115" t="s">
        <v>1130</v>
      </c>
      <c r="J371" s="297"/>
      <c r="K371" s="115" t="s">
        <v>1343</v>
      </c>
      <c r="L371" s="297"/>
      <c r="M371" s="115" t="s">
        <v>1395</v>
      </c>
      <c r="N371" s="115">
        <f t="shared" si="710"/>
        <v>0</v>
      </c>
      <c r="O371" s="297"/>
      <c r="P371" s="297"/>
      <c r="Q371" s="297"/>
      <c r="R371" s="297"/>
      <c r="S371" s="297"/>
      <c r="T371" s="297"/>
      <c r="U371" s="297"/>
      <c r="V371" s="297"/>
      <c r="W371" s="297"/>
      <c r="X371" s="297"/>
      <c r="Y371" s="297"/>
      <c r="Z371" s="297"/>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4"/>
      <c r="BM371" s="310"/>
      <c r="BN371" s="312"/>
    </row>
    <row r="372" s="48" customFormat="1" ht="33.95" hidden="1" customHeight="1" outlineLevel="3" spans="2:66">
      <c r="B372" s="115" t="s">
        <v>747</v>
      </c>
      <c r="C372" s="116" t="s">
        <v>1546</v>
      </c>
      <c r="D372" s="48" t="s">
        <v>1547</v>
      </c>
      <c r="E372" s="115" t="s">
        <v>1548</v>
      </c>
      <c r="F372" s="115"/>
      <c r="G372" s="115" t="s">
        <v>891</v>
      </c>
      <c r="H372" s="115">
        <f t="shared" si="724"/>
        <v>0</v>
      </c>
      <c r="I372" s="115" t="s">
        <v>1130</v>
      </c>
      <c r="J372" s="297"/>
      <c r="K372" s="115" t="s">
        <v>1343</v>
      </c>
      <c r="L372" s="297"/>
      <c r="M372" s="115" t="s">
        <v>1395</v>
      </c>
      <c r="N372" s="115">
        <f t="shared" si="710"/>
        <v>0</v>
      </c>
      <c r="O372" s="297"/>
      <c r="P372" s="315"/>
      <c r="Q372" s="315"/>
      <c r="R372" s="315"/>
      <c r="S372" s="315"/>
      <c r="T372" s="315"/>
      <c r="U372" s="315"/>
      <c r="V372" s="315"/>
      <c r="W372" s="315"/>
      <c r="X372" s="315"/>
      <c r="Y372" s="315"/>
      <c r="Z372" s="315"/>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4"/>
      <c r="BM372" s="310"/>
      <c r="BN372" s="312"/>
    </row>
    <row r="373" s="48" customFormat="1" ht="33.95" hidden="1" customHeight="1" outlineLevel="3" collapsed="1" spans="2:66">
      <c r="B373" s="115" t="s">
        <v>742</v>
      </c>
      <c r="C373" s="116" t="s">
        <v>1549</v>
      </c>
      <c r="D373" s="48" t="s">
        <v>1550</v>
      </c>
      <c r="E373" s="115"/>
      <c r="F373" s="115"/>
      <c r="G373" s="115"/>
      <c r="H373" s="115">
        <f>SUM(H374:H379)</f>
        <v>0</v>
      </c>
      <c r="I373" s="115"/>
      <c r="J373" s="115"/>
      <c r="K373" s="115"/>
      <c r="L373" s="115"/>
      <c r="M373" s="115"/>
      <c r="N373" s="115"/>
      <c r="O373" s="115"/>
      <c r="P373" s="287"/>
      <c r="Q373" s="287"/>
      <c r="R373" s="287"/>
      <c r="S373" s="287"/>
      <c r="T373" s="287"/>
      <c r="U373" s="287"/>
      <c r="V373" s="287"/>
      <c r="W373" s="287"/>
      <c r="X373" s="287"/>
      <c r="Y373" s="287"/>
      <c r="Z373" s="287"/>
      <c r="AA373" s="287"/>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4"/>
      <c r="BM373" s="310"/>
      <c r="BN373" s="312"/>
    </row>
    <row r="374" s="118" customFormat="1" ht="33.95" hidden="1" customHeight="1" outlineLevel="4" spans="2:66">
      <c r="B374" s="119" t="s">
        <v>747</v>
      </c>
      <c r="C374" s="120" t="s">
        <v>1551</v>
      </c>
      <c r="D374" s="118" t="s">
        <v>1552</v>
      </c>
      <c r="E374" s="119" t="s">
        <v>1553</v>
      </c>
      <c r="F374" s="119"/>
      <c r="G374" s="119" t="s">
        <v>891</v>
      </c>
      <c r="H374" s="119">
        <f t="shared" ref="H374:H379" si="726">J374*L374*N374</f>
        <v>0</v>
      </c>
      <c r="I374" s="119" t="s">
        <v>1530</v>
      </c>
      <c r="J374" s="297"/>
      <c r="K374" s="119" t="s">
        <v>1343</v>
      </c>
      <c r="L374" s="297"/>
      <c r="M374" s="119" t="s">
        <v>1395</v>
      </c>
      <c r="N374" s="119">
        <f t="shared" ref="N374:N380" si="727">COUNTA(O374:Z374)</f>
        <v>0</v>
      </c>
      <c r="O374" s="316"/>
      <c r="P374" s="316"/>
      <c r="Q374" s="316"/>
      <c r="R374" s="316"/>
      <c r="S374" s="316"/>
      <c r="T374" s="316"/>
      <c r="U374" s="316"/>
      <c r="V374" s="316"/>
      <c r="W374" s="316"/>
      <c r="X374" s="316"/>
      <c r="Y374" s="316"/>
      <c r="Z374" s="316"/>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5"/>
      <c r="BM374" s="310"/>
      <c r="BN374" s="313"/>
    </row>
    <row r="375" s="118" customFormat="1" ht="33.95" hidden="1" customHeight="1" outlineLevel="4" spans="2:66">
      <c r="B375" s="119" t="s">
        <v>747</v>
      </c>
      <c r="C375" s="120" t="s">
        <v>1554</v>
      </c>
      <c r="D375" s="118" t="s">
        <v>1555</v>
      </c>
      <c r="E375" s="119" t="s">
        <v>1556</v>
      </c>
      <c r="F375" s="119"/>
      <c r="G375" s="119" t="s">
        <v>891</v>
      </c>
      <c r="H375" s="119">
        <f t="shared" si="726"/>
        <v>0</v>
      </c>
      <c r="I375" s="119" t="s">
        <v>1530</v>
      </c>
      <c r="J375" s="297"/>
      <c r="K375" s="119" t="s">
        <v>1343</v>
      </c>
      <c r="L375" s="297"/>
      <c r="M375" s="119" t="s">
        <v>1395</v>
      </c>
      <c r="N375" s="119">
        <f t="shared" si="727"/>
        <v>0</v>
      </c>
      <c r="O375" s="297"/>
      <c r="P375" s="297"/>
      <c r="Q375" s="297"/>
      <c r="R375" s="297"/>
      <c r="S375" s="297"/>
      <c r="T375" s="297"/>
      <c r="U375" s="297"/>
      <c r="V375" s="297"/>
      <c r="W375" s="297"/>
      <c r="X375" s="297"/>
      <c r="Y375" s="297"/>
      <c r="Z375" s="297"/>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5"/>
      <c r="BM375" s="310"/>
      <c r="BN375" s="313"/>
    </row>
    <row r="376" s="118" customFormat="1" ht="33.95" hidden="1" customHeight="1" outlineLevel="4" spans="2:66">
      <c r="B376" s="119" t="s">
        <v>747</v>
      </c>
      <c r="C376" s="120" t="s">
        <v>1557</v>
      </c>
      <c r="D376" s="118" t="s">
        <v>1558</v>
      </c>
      <c r="E376" s="119" t="s">
        <v>1559</v>
      </c>
      <c r="F376" s="119"/>
      <c r="G376" s="119" t="s">
        <v>891</v>
      </c>
      <c r="H376" s="119">
        <f t="shared" si="726"/>
        <v>0</v>
      </c>
      <c r="I376" s="119" t="s">
        <v>1530</v>
      </c>
      <c r="J376" s="297"/>
      <c r="K376" s="119" t="s">
        <v>1343</v>
      </c>
      <c r="L376" s="297"/>
      <c r="M376" s="119" t="s">
        <v>1395</v>
      </c>
      <c r="N376" s="119">
        <f t="shared" si="727"/>
        <v>0</v>
      </c>
      <c r="O376" s="297"/>
      <c r="P376" s="297"/>
      <c r="Q376" s="297"/>
      <c r="R376" s="297"/>
      <c r="S376" s="297"/>
      <c r="T376" s="297"/>
      <c r="U376" s="297"/>
      <c r="V376" s="297"/>
      <c r="W376" s="297"/>
      <c r="X376" s="297"/>
      <c r="Y376" s="297"/>
      <c r="Z376" s="297"/>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5"/>
      <c r="BM376" s="310"/>
      <c r="BN376" s="313"/>
    </row>
    <row r="377" s="118" customFormat="1" ht="33.95" hidden="1" customHeight="1" outlineLevel="4" spans="2:66">
      <c r="B377" s="119" t="s">
        <v>747</v>
      </c>
      <c r="C377" s="120" t="s">
        <v>1560</v>
      </c>
      <c r="D377" s="118" t="s">
        <v>1561</v>
      </c>
      <c r="E377" s="119" t="s">
        <v>1562</v>
      </c>
      <c r="F377" s="119"/>
      <c r="G377" s="119" t="s">
        <v>891</v>
      </c>
      <c r="H377" s="119">
        <f t="shared" si="726"/>
        <v>0</v>
      </c>
      <c r="I377" s="119" t="s">
        <v>1530</v>
      </c>
      <c r="J377" s="297"/>
      <c r="K377" s="119" t="s">
        <v>1343</v>
      </c>
      <c r="L377" s="297"/>
      <c r="M377" s="119" t="s">
        <v>1395</v>
      </c>
      <c r="N377" s="119">
        <f t="shared" si="727"/>
        <v>0</v>
      </c>
      <c r="O377" s="297"/>
      <c r="P377" s="297"/>
      <c r="Q377" s="297"/>
      <c r="R377" s="297"/>
      <c r="S377" s="297"/>
      <c r="T377" s="297"/>
      <c r="U377" s="297"/>
      <c r="V377" s="297"/>
      <c r="W377" s="297"/>
      <c r="X377" s="297"/>
      <c r="Y377" s="297"/>
      <c r="Z377" s="297"/>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5"/>
      <c r="BM377" s="310"/>
      <c r="BN377" s="313"/>
    </row>
    <row r="378" s="118" customFormat="1" ht="33.95" hidden="1" customHeight="1" outlineLevel="4" spans="2:66">
      <c r="B378" s="119" t="s">
        <v>747</v>
      </c>
      <c r="C378" s="120" t="s">
        <v>1563</v>
      </c>
      <c r="D378" s="118" t="s">
        <v>1564</v>
      </c>
      <c r="E378" s="119" t="s">
        <v>1565</v>
      </c>
      <c r="F378" s="119"/>
      <c r="G378" s="119" t="s">
        <v>891</v>
      </c>
      <c r="H378" s="119">
        <f t="shared" si="726"/>
        <v>0</v>
      </c>
      <c r="I378" s="119" t="s">
        <v>1530</v>
      </c>
      <c r="J378" s="297"/>
      <c r="K378" s="119" t="s">
        <v>1343</v>
      </c>
      <c r="L378" s="297"/>
      <c r="M378" s="119" t="s">
        <v>1395</v>
      </c>
      <c r="N378" s="119">
        <f t="shared" si="727"/>
        <v>0</v>
      </c>
      <c r="O378" s="297"/>
      <c r="P378" s="297"/>
      <c r="Q378" s="297"/>
      <c r="R378" s="297"/>
      <c r="S378" s="297"/>
      <c r="T378" s="297"/>
      <c r="U378" s="297"/>
      <c r="V378" s="297"/>
      <c r="W378" s="297"/>
      <c r="X378" s="297"/>
      <c r="Y378" s="297"/>
      <c r="Z378" s="297"/>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5"/>
      <c r="BM378" s="310"/>
      <c r="BN378" s="313"/>
    </row>
    <row r="379" s="118" customFormat="1" ht="33.95" hidden="1" customHeight="1" outlineLevel="4" spans="2:66">
      <c r="B379" s="119" t="s">
        <v>747</v>
      </c>
      <c r="C379" s="120" t="s">
        <v>1566</v>
      </c>
      <c r="D379" s="118" t="s">
        <v>1567</v>
      </c>
      <c r="E379" s="119" t="s">
        <v>1568</v>
      </c>
      <c r="F379" s="119"/>
      <c r="G379" s="119" t="s">
        <v>891</v>
      </c>
      <c r="H379" s="119">
        <f t="shared" si="726"/>
        <v>0</v>
      </c>
      <c r="I379" s="119" t="s">
        <v>1530</v>
      </c>
      <c r="J379" s="297"/>
      <c r="K379" s="119" t="s">
        <v>1343</v>
      </c>
      <c r="L379" s="297"/>
      <c r="M379" s="119" t="s">
        <v>1395</v>
      </c>
      <c r="N379" s="119">
        <f t="shared" si="727"/>
        <v>0</v>
      </c>
      <c r="O379" s="297"/>
      <c r="P379" s="297"/>
      <c r="Q379" s="297"/>
      <c r="R379" s="297"/>
      <c r="S379" s="297"/>
      <c r="T379" s="297"/>
      <c r="U379" s="297"/>
      <c r="V379" s="297"/>
      <c r="W379" s="297"/>
      <c r="X379" s="297"/>
      <c r="Y379" s="297"/>
      <c r="Z379" s="297"/>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5"/>
      <c r="BM379" s="310"/>
      <c r="BN379" s="313"/>
    </row>
    <row r="380" s="48" customFormat="1" ht="33.95" hidden="1" customHeight="1" outlineLevel="3" spans="2:66">
      <c r="B380" s="115" t="s">
        <v>747</v>
      </c>
      <c r="C380" s="116" t="s">
        <v>1569</v>
      </c>
      <c r="D380" s="48" t="s">
        <v>1570</v>
      </c>
      <c r="E380" s="115" t="s">
        <v>1571</v>
      </c>
      <c r="F380" s="115" t="s">
        <v>1572</v>
      </c>
      <c r="G380" s="115" t="s">
        <v>891</v>
      </c>
      <c r="H380" s="115">
        <f>J380*L380</f>
        <v>0</v>
      </c>
      <c r="I380" s="115" t="s">
        <v>1190</v>
      </c>
      <c r="J380" s="115">
        <v>1</v>
      </c>
      <c r="K380" s="115" t="s">
        <v>1191</v>
      </c>
      <c r="L380" s="297"/>
      <c r="M380" s="115" t="s">
        <v>1324</v>
      </c>
      <c r="N380" s="115">
        <f t="shared" si="727"/>
        <v>0</v>
      </c>
      <c r="O380" s="315"/>
      <c r="P380" s="315"/>
      <c r="Q380" s="315"/>
      <c r="R380" s="315"/>
      <c r="S380" s="315"/>
      <c r="T380" s="315"/>
      <c r="U380" s="315"/>
      <c r="V380" s="315"/>
      <c r="W380" s="315"/>
      <c r="X380" s="315"/>
      <c r="Y380" s="315"/>
      <c r="Z380" s="315"/>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4"/>
      <c r="BM380" s="310"/>
      <c r="BN380" s="312"/>
    </row>
    <row r="381" s="108" customFormat="1" ht="33.95" customHeight="1" outlineLevel="1" collapsed="1" spans="2:66">
      <c r="B381" s="109" t="s">
        <v>742</v>
      </c>
      <c r="C381" s="110">
        <v>1.2</v>
      </c>
      <c r="D381" s="108" t="s">
        <v>9</v>
      </c>
      <c r="E381" s="109"/>
      <c r="F381" s="109"/>
      <c r="G381" s="109"/>
      <c r="H381" s="109">
        <f>H382+H430+H461+H486+H502+H540</f>
        <v>43164.6</v>
      </c>
      <c r="N381" s="302"/>
      <c r="O381" s="285"/>
      <c r="P381" s="285"/>
      <c r="Q381" s="285"/>
      <c r="R381" s="285"/>
      <c r="S381" s="285"/>
      <c r="T381" s="285"/>
      <c r="U381" s="285"/>
      <c r="V381" s="285"/>
      <c r="W381" s="285"/>
      <c r="X381" s="285"/>
      <c r="Y381" s="285"/>
      <c r="Z381" s="285"/>
      <c r="AA381" s="285"/>
      <c r="AB381" s="109">
        <f t="shared" ref="AB381:AF381" si="741">AB382+AB430+AB461+AB486+AB502+AB540</f>
        <v>43164.6</v>
      </c>
      <c r="AC381" s="109">
        <f t="shared" si="741"/>
        <v>43164.6</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2"/>
      <c r="BM381" s="310"/>
      <c r="BN381" s="285"/>
    </row>
    <row r="382" s="22" customFormat="1" ht="33.95" hidden="1" customHeight="1" outlineLevel="2" collapsed="1" spans="2:66">
      <c r="B382" s="112" t="s">
        <v>742</v>
      </c>
      <c r="C382" s="113" t="s">
        <v>1573</v>
      </c>
      <c r="D382" s="22" t="s">
        <v>1574</v>
      </c>
      <c r="E382" s="112"/>
      <c r="F382" s="112"/>
      <c r="G382" s="112"/>
      <c r="H382" s="112">
        <f>H383+H399+H410+H418</f>
        <v>43164.6</v>
      </c>
      <c r="I382" s="112"/>
      <c r="J382" s="112"/>
      <c r="K382" s="112"/>
      <c r="L382" s="112"/>
      <c r="M382" s="112"/>
      <c r="N382" s="303"/>
      <c r="O382" s="286"/>
      <c r="P382" s="286"/>
      <c r="Q382" s="286"/>
      <c r="R382" s="286"/>
      <c r="S382" s="286"/>
      <c r="T382" s="286"/>
      <c r="U382" s="286"/>
      <c r="V382" s="286"/>
      <c r="W382" s="286"/>
      <c r="X382" s="286"/>
      <c r="Y382" s="286"/>
      <c r="Z382" s="286"/>
      <c r="AA382" s="286"/>
      <c r="AB382" s="112">
        <f t="shared" ref="AB382:AF382" si="742">AB383+AB399+AB410+AB418</f>
        <v>43164.6</v>
      </c>
      <c r="AC382" s="112">
        <f t="shared" si="742"/>
        <v>43164.6</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3"/>
      <c r="BM382" s="310"/>
      <c r="BN382" s="311"/>
    </row>
    <row r="383" s="48" customFormat="1" ht="33.95" hidden="1" customHeight="1" outlineLevel="3" collapsed="1" spans="2:66">
      <c r="B383" s="115" t="s">
        <v>742</v>
      </c>
      <c r="C383" s="116" t="s">
        <v>1575</v>
      </c>
      <c r="D383" s="48" t="s">
        <v>1576</v>
      </c>
      <c r="E383" s="115"/>
      <c r="F383" s="115"/>
      <c r="G383" s="115"/>
      <c r="H383" s="115">
        <f>SUM(H384:H398)</f>
        <v>43164.6</v>
      </c>
      <c r="I383" s="115"/>
      <c r="J383" s="115"/>
      <c r="K383" s="115"/>
      <c r="L383" s="115"/>
      <c r="M383" s="115"/>
      <c r="N383" s="304"/>
      <c r="O383" s="287"/>
      <c r="P383" s="287"/>
      <c r="Q383" s="287"/>
      <c r="R383" s="287"/>
      <c r="S383" s="287"/>
      <c r="T383" s="287"/>
      <c r="U383" s="287"/>
      <c r="V383" s="287"/>
      <c r="W383" s="287"/>
      <c r="X383" s="287"/>
      <c r="Y383" s="287"/>
      <c r="Z383" s="287"/>
      <c r="AA383" s="287"/>
      <c r="AB383" s="115">
        <f t="shared" ref="AB383:AF383" si="743">SUM(AB384:AB398)</f>
        <v>43164.6</v>
      </c>
      <c r="AC383" s="115">
        <f t="shared" si="743"/>
        <v>43164.6</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4"/>
      <c r="BM383" s="310"/>
      <c r="BN383" s="312"/>
    </row>
    <row r="384" s="118" customFormat="1" ht="33.95" hidden="1" customHeight="1" outlineLevel="5" spans="2:66">
      <c r="B384" s="119" t="s">
        <v>747</v>
      </c>
      <c r="C384" s="120" t="s">
        <v>1577</v>
      </c>
      <c r="D384" s="118" t="s">
        <v>1578</v>
      </c>
      <c r="E384" s="119" t="s">
        <v>1579</v>
      </c>
      <c r="F384" s="119" t="s">
        <v>1572</v>
      </c>
      <c r="G384" s="119" t="s">
        <v>891</v>
      </c>
      <c r="H384" s="119">
        <f t="shared" ref="H384:H398" si="744">J384*L384</f>
        <v>40000</v>
      </c>
      <c r="I384" s="119" t="s">
        <v>1190</v>
      </c>
      <c r="J384" s="297">
        <v>20</v>
      </c>
      <c r="K384" s="119" t="s">
        <v>1580</v>
      </c>
      <c r="L384" s="119">
        <v>2000</v>
      </c>
      <c r="M384" s="119" t="s">
        <v>1581</v>
      </c>
      <c r="N384" s="119">
        <f t="shared" ref="N384:N398" si="745">COUNTA(O384:Z384)</f>
        <v>1</v>
      </c>
      <c r="O384" s="316" t="s">
        <v>1582</v>
      </c>
      <c r="P384" s="316"/>
      <c r="Q384" s="316"/>
      <c r="R384" s="316"/>
      <c r="S384" s="316"/>
      <c r="T384" s="316"/>
      <c r="U384" s="316"/>
      <c r="V384" s="316"/>
      <c r="W384" s="316"/>
      <c r="X384" s="316"/>
      <c r="Y384" s="316"/>
      <c r="Z384" s="316"/>
      <c r="AA384" s="119"/>
      <c r="AB384" s="119">
        <f t="shared" ref="AB384:AB395" si="746">SUM(AC384,AF384,AI384,AL384,AO384,AR384,AU384,AX384,BA384,BD384,BG384,BJ384)</f>
        <v>40000</v>
      </c>
      <c r="AC384" s="119">
        <f>IF(O384="√",$J384*$L384/$N384,0)</f>
        <v>40000</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5"/>
      <c r="BM384" s="310"/>
      <c r="BN384" s="313"/>
    </row>
    <row r="385" s="118" customFormat="1" ht="33.95" hidden="1" customHeight="1" outlineLevel="5" spans="2:66">
      <c r="B385" s="119" t="s">
        <v>747</v>
      </c>
      <c r="C385" s="120" t="s">
        <v>1583</v>
      </c>
      <c r="D385" s="118" t="s">
        <v>1584</v>
      </c>
      <c r="E385" s="119" t="s">
        <v>1585</v>
      </c>
      <c r="F385" s="119" t="s">
        <v>1572</v>
      </c>
      <c r="G385" s="119" t="s">
        <v>891</v>
      </c>
      <c r="H385" s="119">
        <f t="shared" si="744"/>
        <v>0</v>
      </c>
      <c r="I385" s="119" t="s">
        <v>1190</v>
      </c>
      <c r="J385" s="297"/>
      <c r="K385" s="119" t="s">
        <v>1580</v>
      </c>
      <c r="L385" s="119">
        <v>165</v>
      </c>
      <c r="M385" s="119" t="s">
        <v>1581</v>
      </c>
      <c r="N385" s="119">
        <f t="shared" si="745"/>
        <v>0</v>
      </c>
      <c r="O385" s="297"/>
      <c r="P385" s="297"/>
      <c r="Q385" s="297"/>
      <c r="R385" s="297"/>
      <c r="S385" s="297"/>
      <c r="T385" s="297"/>
      <c r="U385" s="297"/>
      <c r="V385" s="297"/>
      <c r="W385" s="297"/>
      <c r="X385" s="297"/>
      <c r="Y385" s="297"/>
      <c r="Z385" s="297"/>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5"/>
      <c r="BM385" s="310"/>
      <c r="BN385" s="313"/>
    </row>
    <row r="386" s="118" customFormat="1" ht="33.95" hidden="1" customHeight="1" outlineLevel="5" spans="2:66">
      <c r="B386" s="119" t="s">
        <v>747</v>
      </c>
      <c r="C386" s="120" t="s">
        <v>1586</v>
      </c>
      <c r="D386" s="118" t="s">
        <v>1587</v>
      </c>
      <c r="E386" s="119" t="s">
        <v>1588</v>
      </c>
      <c r="F386" s="119" t="s">
        <v>1572</v>
      </c>
      <c r="G386" s="119" t="s">
        <v>891</v>
      </c>
      <c r="H386" s="119">
        <f t="shared" si="744"/>
        <v>0</v>
      </c>
      <c r="I386" s="119" t="s">
        <v>1190</v>
      </c>
      <c r="J386" s="297"/>
      <c r="K386" s="119" t="s">
        <v>1580</v>
      </c>
      <c r="L386" s="119">
        <v>540</v>
      </c>
      <c r="M386" s="119" t="s">
        <v>1581</v>
      </c>
      <c r="N386" s="119">
        <f t="shared" si="745"/>
        <v>0</v>
      </c>
      <c r="O386" s="297"/>
      <c r="P386" s="297"/>
      <c r="Q386" s="297"/>
      <c r="R386" s="297"/>
      <c r="S386" s="297"/>
      <c r="T386" s="297"/>
      <c r="U386" s="297"/>
      <c r="V386" s="297"/>
      <c r="W386" s="297"/>
      <c r="X386" s="297"/>
      <c r="Y386" s="297"/>
      <c r="Z386" s="297"/>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5"/>
      <c r="BM386" s="310"/>
      <c r="BN386" s="313"/>
    </row>
    <row r="387" s="118" customFormat="1" ht="33.95" hidden="1" customHeight="1" outlineLevel="5" spans="2:66">
      <c r="B387" s="119" t="s">
        <v>747</v>
      </c>
      <c r="C387" s="120" t="s">
        <v>1589</v>
      </c>
      <c r="D387" s="118" t="s">
        <v>1590</v>
      </c>
      <c r="E387" s="119" t="s">
        <v>1591</v>
      </c>
      <c r="F387" s="119" t="s">
        <v>1572</v>
      </c>
      <c r="G387" s="119" t="s">
        <v>891</v>
      </c>
      <c r="H387" s="119">
        <f t="shared" si="744"/>
        <v>0</v>
      </c>
      <c r="I387" s="119" t="s">
        <v>1190</v>
      </c>
      <c r="J387" s="297"/>
      <c r="K387" s="119" t="s">
        <v>1580</v>
      </c>
      <c r="L387" s="119">
        <v>930</v>
      </c>
      <c r="M387" s="119" t="s">
        <v>1581</v>
      </c>
      <c r="N387" s="119">
        <f t="shared" si="745"/>
        <v>0</v>
      </c>
      <c r="O387" s="297"/>
      <c r="P387" s="297"/>
      <c r="Q387" s="297"/>
      <c r="R387" s="297"/>
      <c r="S387" s="297"/>
      <c r="T387" s="297"/>
      <c r="U387" s="297"/>
      <c r="V387" s="297"/>
      <c r="W387" s="297"/>
      <c r="X387" s="297"/>
      <c r="Y387" s="297"/>
      <c r="Z387" s="297"/>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5"/>
      <c r="BM387" s="310"/>
      <c r="BN387" s="313"/>
    </row>
    <row r="388" s="118" customFormat="1" ht="33.95" hidden="1" customHeight="1" outlineLevel="5" spans="2:66">
      <c r="B388" s="119" t="s">
        <v>747</v>
      </c>
      <c r="C388" s="120" t="s">
        <v>1592</v>
      </c>
      <c r="D388" s="118" t="s">
        <v>1593</v>
      </c>
      <c r="E388" s="119" t="s">
        <v>1594</v>
      </c>
      <c r="F388" s="119" t="s">
        <v>1572</v>
      </c>
      <c r="G388" s="119" t="s">
        <v>891</v>
      </c>
      <c r="H388" s="119">
        <f t="shared" si="744"/>
        <v>0</v>
      </c>
      <c r="I388" s="119" t="s">
        <v>1190</v>
      </c>
      <c r="J388" s="297"/>
      <c r="K388" s="119" t="s">
        <v>1580</v>
      </c>
      <c r="L388" s="119">
        <v>230</v>
      </c>
      <c r="M388" s="119" t="s">
        <v>1581</v>
      </c>
      <c r="N388" s="119">
        <f t="shared" si="745"/>
        <v>0</v>
      </c>
      <c r="O388" s="297"/>
      <c r="P388" s="297"/>
      <c r="Q388" s="297"/>
      <c r="R388" s="297"/>
      <c r="S388" s="297"/>
      <c r="T388" s="297"/>
      <c r="U388" s="297"/>
      <c r="V388" s="297"/>
      <c r="W388" s="297"/>
      <c r="X388" s="297"/>
      <c r="Y388" s="297"/>
      <c r="Z388" s="297"/>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5"/>
      <c r="BM388" s="310"/>
      <c r="BN388" s="313"/>
    </row>
    <row r="389" s="118" customFormat="1" ht="33.95" hidden="1" customHeight="1" outlineLevel="5" spans="2:66">
      <c r="B389" s="119" t="s">
        <v>747</v>
      </c>
      <c r="C389" s="120" t="s">
        <v>1595</v>
      </c>
      <c r="D389" s="118" t="s">
        <v>1596</v>
      </c>
      <c r="E389" s="119" t="s">
        <v>1597</v>
      </c>
      <c r="F389" s="119" t="s">
        <v>1572</v>
      </c>
      <c r="G389" s="119" t="s">
        <v>891</v>
      </c>
      <c r="H389" s="119">
        <f t="shared" si="744"/>
        <v>3000</v>
      </c>
      <c r="I389" s="119" t="s">
        <v>1190</v>
      </c>
      <c r="J389" s="297">
        <v>6</v>
      </c>
      <c r="K389" s="119" t="s">
        <v>1580</v>
      </c>
      <c r="L389" s="119">
        <v>500</v>
      </c>
      <c r="M389" s="119" t="s">
        <v>1581</v>
      </c>
      <c r="N389" s="119">
        <f t="shared" si="745"/>
        <v>1</v>
      </c>
      <c r="O389" s="297" t="s">
        <v>1582</v>
      </c>
      <c r="P389" s="297"/>
      <c r="Q389" s="297"/>
      <c r="R389" s="297"/>
      <c r="S389" s="297"/>
      <c r="T389" s="297"/>
      <c r="U389" s="297"/>
      <c r="V389" s="297"/>
      <c r="W389" s="297"/>
      <c r="X389" s="297"/>
      <c r="Y389" s="297"/>
      <c r="Z389" s="297"/>
      <c r="AA389" s="119"/>
      <c r="AB389" s="119">
        <f t="shared" si="746"/>
        <v>3000</v>
      </c>
      <c r="AC389" s="119">
        <f t="shared" si="747"/>
        <v>3000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5"/>
      <c r="BM389" s="310"/>
      <c r="BN389" s="313"/>
    </row>
    <row r="390" s="118" customFormat="1" ht="33.95" hidden="1" customHeight="1" outlineLevel="5" spans="2:66">
      <c r="B390" s="119" t="s">
        <v>747</v>
      </c>
      <c r="C390" s="120" t="s">
        <v>1598</v>
      </c>
      <c r="D390" s="118" t="s">
        <v>1599</v>
      </c>
      <c r="E390" s="119" t="s">
        <v>1594</v>
      </c>
      <c r="F390" s="119" t="s">
        <v>1572</v>
      </c>
      <c r="G390" s="119" t="s">
        <v>891</v>
      </c>
      <c r="H390" s="119">
        <f t="shared" si="744"/>
        <v>150</v>
      </c>
      <c r="I390" s="119" t="s">
        <v>1190</v>
      </c>
      <c r="J390" s="297">
        <v>1</v>
      </c>
      <c r="K390" s="119" t="s">
        <v>1580</v>
      </c>
      <c r="L390" s="119">
        <v>150</v>
      </c>
      <c r="M390" s="119" t="s">
        <v>1581</v>
      </c>
      <c r="N390" s="119">
        <f t="shared" si="745"/>
        <v>1</v>
      </c>
      <c r="O390" s="297" t="s">
        <v>1582</v>
      </c>
      <c r="P390" s="297"/>
      <c r="Q390" s="297"/>
      <c r="R390" s="297"/>
      <c r="S390" s="297"/>
      <c r="T390" s="297"/>
      <c r="U390" s="297"/>
      <c r="V390" s="297"/>
      <c r="W390" s="297"/>
      <c r="X390" s="297"/>
      <c r="Y390" s="297"/>
      <c r="Z390" s="297"/>
      <c r="AA390" s="119"/>
      <c r="AB390" s="119">
        <f t="shared" si="746"/>
        <v>150</v>
      </c>
      <c r="AC390" s="119">
        <f t="shared" si="747"/>
        <v>150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5"/>
      <c r="BM390" s="310"/>
      <c r="BN390" s="313"/>
    </row>
    <row r="391" s="118" customFormat="1" ht="33.95" hidden="1" customHeight="1" outlineLevel="5" spans="2:66">
      <c r="B391" s="119" t="s">
        <v>747</v>
      </c>
      <c r="C391" s="120" t="s">
        <v>1600</v>
      </c>
      <c r="D391" s="118" t="s">
        <v>1601</v>
      </c>
      <c r="E391" s="119" t="s">
        <v>1602</v>
      </c>
      <c r="F391" s="119" t="s">
        <v>1572</v>
      </c>
      <c r="G391" s="119" t="s">
        <v>891</v>
      </c>
      <c r="H391" s="119">
        <f t="shared" si="744"/>
        <v>0</v>
      </c>
      <c r="I391" s="119" t="s">
        <v>1190</v>
      </c>
      <c r="J391" s="297"/>
      <c r="K391" s="119" t="s">
        <v>1580</v>
      </c>
      <c r="L391" s="119">
        <f>SUMIFS('附表1-数据库'!$D$2:$D$22,'附表1-数据库'!$B$2:$B$22,$D391,'附表1-数据库'!$C$2:$C$22,'1-1 项目基础信息'!$D$13)</f>
        <v>0</v>
      </c>
      <c r="M391" s="119" t="s">
        <v>1581</v>
      </c>
      <c r="N391" s="119">
        <f t="shared" si="745"/>
        <v>0</v>
      </c>
      <c r="O391" s="297"/>
      <c r="P391" s="297"/>
      <c r="Q391" s="297"/>
      <c r="R391" s="297"/>
      <c r="S391" s="297"/>
      <c r="T391" s="297"/>
      <c r="U391" s="297"/>
      <c r="V391" s="297"/>
      <c r="W391" s="297"/>
      <c r="X391" s="297"/>
      <c r="Y391" s="297"/>
      <c r="Z391" s="297"/>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5"/>
      <c r="BM391" s="310"/>
      <c r="BN391" s="313"/>
    </row>
    <row r="392" s="118" customFormat="1" ht="33.95" hidden="1" customHeight="1" outlineLevel="5" spans="2:66">
      <c r="B392" s="119" t="s">
        <v>747</v>
      </c>
      <c r="C392" s="120" t="s">
        <v>1603</v>
      </c>
      <c r="D392" s="118" t="s">
        <v>1604</v>
      </c>
      <c r="E392" s="119" t="s">
        <v>1605</v>
      </c>
      <c r="F392" s="119" t="s">
        <v>1572</v>
      </c>
      <c r="G392" s="119" t="s">
        <v>891</v>
      </c>
      <c r="H392" s="119">
        <f t="shared" si="744"/>
        <v>0</v>
      </c>
      <c r="I392" s="119" t="s">
        <v>1190</v>
      </c>
      <c r="J392" s="297"/>
      <c r="K392" s="119" t="s">
        <v>1580</v>
      </c>
      <c r="L392" s="119">
        <f>SUMIFS('附表1-数据库'!$D$2:$D$22,'附表1-数据库'!$B$2:$B$22,$D392,'附表1-数据库'!$C$2:$C$22,'1-1 项目基础信息'!$D$13)</f>
        <v>0</v>
      </c>
      <c r="M392" s="119" t="s">
        <v>1581</v>
      </c>
      <c r="N392" s="119">
        <f t="shared" si="745"/>
        <v>0</v>
      </c>
      <c r="O392" s="297"/>
      <c r="P392" s="297"/>
      <c r="Q392" s="297"/>
      <c r="R392" s="297"/>
      <c r="S392" s="297"/>
      <c r="T392" s="297"/>
      <c r="U392" s="297"/>
      <c r="V392" s="297"/>
      <c r="W392" s="297"/>
      <c r="X392" s="297"/>
      <c r="Y392" s="297"/>
      <c r="Z392" s="297"/>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5"/>
      <c r="BM392" s="310"/>
      <c r="BN392" s="313"/>
    </row>
    <row r="393" s="118" customFormat="1" ht="33.95" hidden="1" customHeight="1" outlineLevel="5" spans="2:66">
      <c r="B393" s="119" t="s">
        <v>747</v>
      </c>
      <c r="C393" s="120" t="s">
        <v>1606</v>
      </c>
      <c r="D393" s="118" t="s">
        <v>1607</v>
      </c>
      <c r="E393" s="119" t="s">
        <v>1588</v>
      </c>
      <c r="F393" s="119" t="s">
        <v>1572</v>
      </c>
      <c r="G393" s="119" t="s">
        <v>891</v>
      </c>
      <c r="H393" s="119">
        <f t="shared" si="744"/>
        <v>0</v>
      </c>
      <c r="I393" s="119" t="s">
        <v>1190</v>
      </c>
      <c r="J393" s="297"/>
      <c r="K393" s="119" t="s">
        <v>1580</v>
      </c>
      <c r="L393" s="119">
        <f>SUMIFS('附表1-数据库'!$D$2:$D$22,'附表1-数据库'!$B$2:$B$22,$D393,'附表1-数据库'!$C$2:$C$22,'1-1 项目基础信息'!$D$13)</f>
        <v>0</v>
      </c>
      <c r="M393" s="119" t="s">
        <v>1581</v>
      </c>
      <c r="N393" s="119">
        <f t="shared" si="745"/>
        <v>0</v>
      </c>
      <c r="O393" s="297"/>
      <c r="P393" s="297"/>
      <c r="Q393" s="297"/>
      <c r="R393" s="297"/>
      <c r="S393" s="297"/>
      <c r="T393" s="297"/>
      <c r="U393" s="297"/>
      <c r="V393" s="297"/>
      <c r="W393" s="297"/>
      <c r="X393" s="297"/>
      <c r="Y393" s="297"/>
      <c r="Z393" s="297"/>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5"/>
      <c r="BM393" s="310"/>
      <c r="BN393" s="313"/>
    </row>
    <row r="394" s="118" customFormat="1" ht="33.95" hidden="1" customHeight="1" outlineLevel="5" spans="2:66">
      <c r="B394" s="119" t="s">
        <v>747</v>
      </c>
      <c r="C394" s="120" t="s">
        <v>1608</v>
      </c>
      <c r="D394" s="118" t="s">
        <v>1609</v>
      </c>
      <c r="E394" s="119" t="s">
        <v>1591</v>
      </c>
      <c r="F394" s="119" t="s">
        <v>1572</v>
      </c>
      <c r="G394" s="119" t="s">
        <v>891</v>
      </c>
      <c r="H394" s="119">
        <f t="shared" si="744"/>
        <v>0</v>
      </c>
      <c r="I394" s="119" t="s">
        <v>1190</v>
      </c>
      <c r="J394" s="297"/>
      <c r="K394" s="119" t="s">
        <v>1580</v>
      </c>
      <c r="L394" s="119">
        <f>SUMIFS('附表1-数据库'!$D$2:$D$22,'附表1-数据库'!$B$2:$B$22,$D394,'附表1-数据库'!$C$2:$C$22,'1-1 项目基础信息'!$D$13)</f>
        <v>0</v>
      </c>
      <c r="M394" s="119" t="s">
        <v>1581</v>
      </c>
      <c r="N394" s="119">
        <f t="shared" si="745"/>
        <v>0</v>
      </c>
      <c r="O394" s="297"/>
      <c r="P394" s="297"/>
      <c r="Q394" s="297"/>
      <c r="R394" s="297"/>
      <c r="S394" s="297"/>
      <c r="T394" s="297"/>
      <c r="U394" s="297"/>
      <c r="V394" s="297"/>
      <c r="W394" s="297"/>
      <c r="X394" s="297"/>
      <c r="Y394" s="297"/>
      <c r="Z394" s="297"/>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5"/>
      <c r="BM394" s="310"/>
      <c r="BN394" s="313"/>
    </row>
    <row r="395" s="118" customFormat="1" ht="33.95" hidden="1" customHeight="1" outlineLevel="5" spans="2:66">
      <c r="B395" s="119" t="s">
        <v>747</v>
      </c>
      <c r="C395" s="120" t="s">
        <v>1610</v>
      </c>
      <c r="D395" s="118" t="s">
        <v>1611</v>
      </c>
      <c r="E395" s="119" t="s">
        <v>1594</v>
      </c>
      <c r="F395" s="119" t="s">
        <v>1572</v>
      </c>
      <c r="G395" s="119" t="s">
        <v>891</v>
      </c>
      <c r="H395" s="119">
        <f t="shared" si="744"/>
        <v>0</v>
      </c>
      <c r="I395" s="119" t="s">
        <v>1190</v>
      </c>
      <c r="J395" s="297"/>
      <c r="K395" s="119" t="s">
        <v>1580</v>
      </c>
      <c r="L395" s="119">
        <f>SUMIFS('附表1-数据库'!$D$2:$D$22,'附表1-数据库'!$B$2:$B$22,$D395,'附表1-数据库'!$C$2:$C$22,'1-1 项目基础信息'!$D$13)</f>
        <v>0</v>
      </c>
      <c r="M395" s="119" t="s">
        <v>1581</v>
      </c>
      <c r="N395" s="119">
        <f t="shared" si="745"/>
        <v>0</v>
      </c>
      <c r="O395" s="297"/>
      <c r="P395" s="297"/>
      <c r="Q395" s="297"/>
      <c r="R395" s="297"/>
      <c r="S395" s="297"/>
      <c r="T395" s="297"/>
      <c r="U395" s="297"/>
      <c r="V395" s="297"/>
      <c r="W395" s="297"/>
      <c r="X395" s="297"/>
      <c r="Y395" s="297"/>
      <c r="Z395" s="297"/>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5"/>
      <c r="BM395" s="310"/>
      <c r="BN395" s="313"/>
    </row>
    <row r="396" s="118" customFormat="1" ht="33.95" hidden="1" customHeight="1" outlineLevel="5" spans="2:66">
      <c r="B396" s="119" t="s">
        <v>747</v>
      </c>
      <c r="C396" s="120" t="s">
        <v>1612</v>
      </c>
      <c r="D396" s="118" t="s">
        <v>1613</v>
      </c>
      <c r="E396" s="119" t="s">
        <v>1597</v>
      </c>
      <c r="F396" s="119" t="s">
        <v>1572</v>
      </c>
      <c r="G396" s="119" t="s">
        <v>891</v>
      </c>
      <c r="H396" s="119">
        <f t="shared" si="744"/>
        <v>0</v>
      </c>
      <c r="I396" s="119" t="s">
        <v>1190</v>
      </c>
      <c r="J396" s="297"/>
      <c r="K396" s="119" t="s">
        <v>1580</v>
      </c>
      <c r="L396" s="119">
        <f>SUMIFS('附表1-数据库'!$D$2:$D$22,'附表1-数据库'!$B$2:$B$22,$D396,'附表1-数据库'!$C$2:$C$22,'1-1 项目基础信息'!$D$13)</f>
        <v>0</v>
      </c>
      <c r="M396" s="119" t="s">
        <v>1581</v>
      </c>
      <c r="N396" s="119">
        <f t="shared" si="745"/>
        <v>0</v>
      </c>
      <c r="O396" s="297"/>
      <c r="P396" s="297"/>
      <c r="Q396" s="297"/>
      <c r="R396" s="297"/>
      <c r="S396" s="297"/>
      <c r="T396" s="297"/>
      <c r="U396" s="297"/>
      <c r="V396" s="297"/>
      <c r="W396" s="297"/>
      <c r="X396" s="297"/>
      <c r="Y396" s="297"/>
      <c r="Z396" s="297"/>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5"/>
      <c r="BM396" s="310"/>
      <c r="BN396" s="313"/>
    </row>
    <row r="397" s="118" customFormat="1" ht="33.95" hidden="1" customHeight="1" outlineLevel="5" spans="2:66">
      <c r="B397" s="119" t="s">
        <v>747</v>
      </c>
      <c r="C397" s="120" t="s">
        <v>1614</v>
      </c>
      <c r="D397" s="118" t="s">
        <v>1615</v>
      </c>
      <c r="E397" s="119" t="s">
        <v>1594</v>
      </c>
      <c r="F397" s="119" t="s">
        <v>1572</v>
      </c>
      <c r="G397" s="119" t="s">
        <v>891</v>
      </c>
      <c r="H397" s="119">
        <f t="shared" si="744"/>
        <v>0</v>
      </c>
      <c r="I397" s="119" t="s">
        <v>1190</v>
      </c>
      <c r="J397" s="297"/>
      <c r="K397" s="119" t="s">
        <v>1580</v>
      </c>
      <c r="L397" s="119">
        <f>SUMIFS('附表1-数据库'!$D$2:$D$22,'附表1-数据库'!$B$2:$B$22,$D397,'附表1-数据库'!$C$2:$C$22,'1-1 项目基础信息'!$D$13)</f>
        <v>0</v>
      </c>
      <c r="M397" s="119" t="s">
        <v>1581</v>
      </c>
      <c r="N397" s="119">
        <f t="shared" si="745"/>
        <v>0</v>
      </c>
      <c r="O397" s="297"/>
      <c r="P397" s="297"/>
      <c r="Q397" s="297"/>
      <c r="R397" s="297"/>
      <c r="S397" s="297"/>
      <c r="T397" s="297"/>
      <c r="U397" s="297"/>
      <c r="V397" s="297"/>
      <c r="W397" s="297"/>
      <c r="X397" s="297"/>
      <c r="Y397" s="297"/>
      <c r="Z397" s="297"/>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5"/>
      <c r="BM397" s="310"/>
      <c r="BN397" s="313"/>
    </row>
    <row r="398" s="118" customFormat="1" ht="33.95" hidden="1" customHeight="1" outlineLevel="5" spans="2:66">
      <c r="B398" s="119" t="s">
        <v>747</v>
      </c>
      <c r="C398" s="120" t="s">
        <v>1616</v>
      </c>
      <c r="D398" s="118" t="s">
        <v>1617</v>
      </c>
      <c r="E398" s="119"/>
      <c r="F398" s="119" t="s">
        <v>1572</v>
      </c>
      <c r="G398" s="119" t="s">
        <v>891</v>
      </c>
      <c r="H398" s="119">
        <f t="shared" si="744"/>
        <v>14.6</v>
      </c>
      <c r="I398" s="119" t="s">
        <v>1190</v>
      </c>
      <c r="J398" s="297">
        <v>1</v>
      </c>
      <c r="K398" s="119" t="s">
        <v>1580</v>
      </c>
      <c r="L398" s="297">
        <v>14.6</v>
      </c>
      <c r="M398" s="119" t="s">
        <v>1581</v>
      </c>
      <c r="N398" s="119">
        <f t="shared" si="745"/>
        <v>1</v>
      </c>
      <c r="O398" s="315" t="s">
        <v>1582</v>
      </c>
      <c r="P398" s="315"/>
      <c r="Q398" s="315"/>
      <c r="R398" s="315"/>
      <c r="S398" s="315"/>
      <c r="T398" s="315"/>
      <c r="U398" s="315"/>
      <c r="V398" s="315"/>
      <c r="W398" s="315"/>
      <c r="X398" s="315"/>
      <c r="Y398" s="315"/>
      <c r="Z398" s="315"/>
      <c r="AA398" s="119"/>
      <c r="AB398" s="119">
        <f t="shared" si="759"/>
        <v>14.6</v>
      </c>
      <c r="AC398" s="119">
        <f t="shared" si="760"/>
        <v>14.6</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5"/>
      <c r="BM398" s="310"/>
      <c r="BN398" s="313"/>
    </row>
    <row r="399" s="48" customFormat="1" ht="33.95" hidden="1" customHeight="1" outlineLevel="3" collapsed="1" spans="2:66">
      <c r="B399" s="115" t="s">
        <v>742</v>
      </c>
      <c r="C399" s="116" t="s">
        <v>1618</v>
      </c>
      <c r="D399" s="48" t="s">
        <v>1619</v>
      </c>
      <c r="E399" s="115"/>
      <c r="F399" s="115"/>
      <c r="G399" s="115"/>
      <c r="H399" s="115">
        <f>SUM(H400:H409)</f>
        <v>0</v>
      </c>
      <c r="I399" s="115"/>
      <c r="J399" s="115"/>
      <c r="K399" s="115"/>
      <c r="L399" s="115"/>
      <c r="M399" s="115"/>
      <c r="N399" s="304"/>
      <c r="O399" s="287"/>
      <c r="P399" s="287"/>
      <c r="Q399" s="287"/>
      <c r="R399" s="287"/>
      <c r="S399" s="287"/>
      <c r="T399" s="287"/>
      <c r="U399" s="287"/>
      <c r="V399" s="287"/>
      <c r="W399" s="287"/>
      <c r="X399" s="287"/>
      <c r="Y399" s="287"/>
      <c r="Z399" s="287"/>
      <c r="AA399" s="287"/>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4"/>
      <c r="BM399" s="310"/>
      <c r="BN399" s="312"/>
    </row>
    <row r="400" s="118" customFormat="1" ht="33.95" hidden="1" customHeight="1" outlineLevel="4" spans="2:66">
      <c r="B400" s="119" t="s">
        <v>747</v>
      </c>
      <c r="C400" s="120" t="s">
        <v>1620</v>
      </c>
      <c r="D400" s="118" t="s">
        <v>1621</v>
      </c>
      <c r="E400" s="119" t="s">
        <v>1622</v>
      </c>
      <c r="F400" s="119" t="s">
        <v>1572</v>
      </c>
      <c r="G400" s="119" t="s">
        <v>891</v>
      </c>
      <c r="H400" s="119">
        <f t="shared" ref="H400:H409" si="773">J400*L400</f>
        <v>0</v>
      </c>
      <c r="I400" s="119" t="s">
        <v>1190</v>
      </c>
      <c r="J400" s="297"/>
      <c r="K400" s="119" t="s">
        <v>1343</v>
      </c>
      <c r="L400" s="119">
        <v>20</v>
      </c>
      <c r="M400" s="119" t="s">
        <v>1623</v>
      </c>
      <c r="N400" s="119">
        <f t="shared" ref="N400:N409" si="774">COUNTA(O400:Z400)</f>
        <v>0</v>
      </c>
      <c r="O400" s="316"/>
      <c r="P400" s="316"/>
      <c r="Q400" s="316"/>
      <c r="R400" s="316"/>
      <c r="S400" s="316"/>
      <c r="T400" s="316"/>
      <c r="U400" s="316"/>
      <c r="V400" s="316"/>
      <c r="W400" s="316"/>
      <c r="X400" s="316"/>
      <c r="Y400" s="316"/>
      <c r="Z400" s="316"/>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5"/>
      <c r="BM400" s="310"/>
      <c r="BN400" s="313"/>
    </row>
    <row r="401" s="118" customFormat="1" ht="33.95" hidden="1" customHeight="1" outlineLevel="4" spans="2:66">
      <c r="B401" s="119" t="s">
        <v>747</v>
      </c>
      <c r="C401" s="120" t="s">
        <v>1624</v>
      </c>
      <c r="D401" s="118" t="s">
        <v>1625</v>
      </c>
      <c r="E401" s="119" t="s">
        <v>1626</v>
      </c>
      <c r="F401" s="119" t="s">
        <v>1572</v>
      </c>
      <c r="G401" s="119" t="s">
        <v>891</v>
      </c>
      <c r="H401" s="119">
        <f t="shared" si="773"/>
        <v>0</v>
      </c>
      <c r="I401" s="119" t="s">
        <v>1190</v>
      </c>
      <c r="J401" s="297"/>
      <c r="K401" s="119" t="s">
        <v>1343</v>
      </c>
      <c r="L401" s="119">
        <v>55</v>
      </c>
      <c r="M401" s="119" t="s">
        <v>1623</v>
      </c>
      <c r="N401" s="119">
        <f t="shared" si="774"/>
        <v>0</v>
      </c>
      <c r="O401" s="297"/>
      <c r="P401" s="297"/>
      <c r="Q401" s="297"/>
      <c r="R401" s="297"/>
      <c r="S401" s="297"/>
      <c r="T401" s="297"/>
      <c r="U401" s="297"/>
      <c r="V401" s="297"/>
      <c r="W401" s="297"/>
      <c r="X401" s="297"/>
      <c r="Y401" s="297"/>
      <c r="Z401" s="297"/>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5"/>
      <c r="BM401" s="310"/>
      <c r="BN401" s="313"/>
    </row>
    <row r="402" s="118" customFormat="1" ht="33.95" hidden="1" customHeight="1" outlineLevel="4" spans="2:66">
      <c r="B402" s="119" t="s">
        <v>747</v>
      </c>
      <c r="C402" s="120" t="s">
        <v>1627</v>
      </c>
      <c r="D402" s="118" t="s">
        <v>1628</v>
      </c>
      <c r="E402" s="119" t="s">
        <v>1629</v>
      </c>
      <c r="F402" s="119" t="s">
        <v>1572</v>
      </c>
      <c r="G402" s="119" t="s">
        <v>891</v>
      </c>
      <c r="H402" s="119">
        <f t="shared" si="773"/>
        <v>0</v>
      </c>
      <c r="I402" s="119" t="s">
        <v>1190</v>
      </c>
      <c r="J402" s="297"/>
      <c r="K402" s="119" t="s">
        <v>1343</v>
      </c>
      <c r="L402" s="119">
        <v>300</v>
      </c>
      <c r="M402" s="119" t="s">
        <v>1623</v>
      </c>
      <c r="N402" s="119">
        <f t="shared" si="774"/>
        <v>0</v>
      </c>
      <c r="O402" s="297"/>
      <c r="P402" s="297"/>
      <c r="Q402" s="297"/>
      <c r="R402" s="297"/>
      <c r="S402" s="297"/>
      <c r="T402" s="297"/>
      <c r="U402" s="297"/>
      <c r="V402" s="297"/>
      <c r="W402" s="297"/>
      <c r="X402" s="297"/>
      <c r="Y402" s="297"/>
      <c r="Z402" s="297"/>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5"/>
      <c r="BM402" s="310"/>
      <c r="BN402" s="313"/>
    </row>
    <row r="403" s="118" customFormat="1" ht="33.95" hidden="1" customHeight="1" outlineLevel="4" spans="2:66">
      <c r="B403" s="119" t="s">
        <v>747</v>
      </c>
      <c r="C403" s="120" t="s">
        <v>1630</v>
      </c>
      <c r="D403" s="118" t="s">
        <v>1631</v>
      </c>
      <c r="E403" s="119" t="s">
        <v>1632</v>
      </c>
      <c r="F403" s="119" t="s">
        <v>1572</v>
      </c>
      <c r="G403" s="119" t="s">
        <v>891</v>
      </c>
      <c r="H403" s="119">
        <f t="shared" si="773"/>
        <v>0</v>
      </c>
      <c r="I403" s="119" t="s">
        <v>1190</v>
      </c>
      <c r="J403" s="297"/>
      <c r="K403" s="119" t="s">
        <v>1343</v>
      </c>
      <c r="L403" s="119">
        <v>15</v>
      </c>
      <c r="M403" s="119" t="s">
        <v>1623</v>
      </c>
      <c r="N403" s="119">
        <f t="shared" si="774"/>
        <v>0</v>
      </c>
      <c r="O403" s="297"/>
      <c r="P403" s="297"/>
      <c r="Q403" s="297"/>
      <c r="R403" s="297"/>
      <c r="S403" s="297"/>
      <c r="T403" s="297"/>
      <c r="U403" s="297"/>
      <c r="V403" s="297"/>
      <c r="W403" s="297"/>
      <c r="X403" s="297"/>
      <c r="Y403" s="297"/>
      <c r="Z403" s="297"/>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5"/>
      <c r="BM403" s="310"/>
      <c r="BN403" s="313"/>
    </row>
    <row r="404" s="118" customFormat="1" ht="33.95" hidden="1" customHeight="1" outlineLevel="4" spans="2:66">
      <c r="B404" s="119" t="s">
        <v>747</v>
      </c>
      <c r="C404" s="120" t="s">
        <v>1633</v>
      </c>
      <c r="D404" s="118" t="s">
        <v>1634</v>
      </c>
      <c r="E404" s="119" t="s">
        <v>1635</v>
      </c>
      <c r="F404" s="119" t="s">
        <v>1572</v>
      </c>
      <c r="G404" s="119" t="s">
        <v>891</v>
      </c>
      <c r="H404" s="119">
        <f t="shared" si="773"/>
        <v>0</v>
      </c>
      <c r="I404" s="119" t="s">
        <v>1190</v>
      </c>
      <c r="J404" s="297"/>
      <c r="K404" s="119" t="s">
        <v>1343</v>
      </c>
      <c r="L404" s="119">
        <v>50</v>
      </c>
      <c r="M404" s="119" t="s">
        <v>1623</v>
      </c>
      <c r="N404" s="119">
        <f t="shared" si="774"/>
        <v>0</v>
      </c>
      <c r="O404" s="297"/>
      <c r="P404" s="297"/>
      <c r="Q404" s="297"/>
      <c r="R404" s="297"/>
      <c r="S404" s="297"/>
      <c r="T404" s="297"/>
      <c r="U404" s="297"/>
      <c r="V404" s="297"/>
      <c r="W404" s="297"/>
      <c r="X404" s="297"/>
      <c r="Y404" s="297"/>
      <c r="Z404" s="297"/>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5"/>
      <c r="BM404" s="310"/>
      <c r="BN404" s="313"/>
    </row>
    <row r="405" s="118" customFormat="1" ht="33.95" hidden="1" customHeight="1" outlineLevel="4" spans="2:66">
      <c r="B405" s="119" t="s">
        <v>747</v>
      </c>
      <c r="C405" s="120" t="s">
        <v>1636</v>
      </c>
      <c r="D405" s="118" t="s">
        <v>1637</v>
      </c>
      <c r="E405" s="119" t="s">
        <v>1638</v>
      </c>
      <c r="F405" s="119" t="s">
        <v>1572</v>
      </c>
      <c r="G405" s="119" t="s">
        <v>891</v>
      </c>
      <c r="H405" s="119">
        <f t="shared" si="773"/>
        <v>0</v>
      </c>
      <c r="I405" s="119" t="s">
        <v>1190</v>
      </c>
      <c r="J405" s="297"/>
      <c r="K405" s="119" t="s">
        <v>1343</v>
      </c>
      <c r="L405" s="119">
        <v>565</v>
      </c>
      <c r="M405" s="119" t="s">
        <v>1623</v>
      </c>
      <c r="N405" s="119">
        <f t="shared" si="774"/>
        <v>0</v>
      </c>
      <c r="O405" s="297"/>
      <c r="P405" s="297"/>
      <c r="Q405" s="297"/>
      <c r="R405" s="297"/>
      <c r="S405" s="297"/>
      <c r="T405" s="297"/>
      <c r="U405" s="297"/>
      <c r="V405" s="297"/>
      <c r="W405" s="297"/>
      <c r="X405" s="297"/>
      <c r="Y405" s="297"/>
      <c r="Z405" s="297"/>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5"/>
      <c r="BM405" s="310"/>
      <c r="BN405" s="313"/>
    </row>
    <row r="406" s="118" customFormat="1" ht="33.95" hidden="1" customHeight="1" outlineLevel="4" spans="2:66">
      <c r="B406" s="119" t="s">
        <v>747</v>
      </c>
      <c r="C406" s="120" t="s">
        <v>1639</v>
      </c>
      <c r="D406" s="118" t="s">
        <v>1640</v>
      </c>
      <c r="E406" s="119" t="s">
        <v>1641</v>
      </c>
      <c r="F406" s="119" t="s">
        <v>1572</v>
      </c>
      <c r="G406" s="119" t="s">
        <v>891</v>
      </c>
      <c r="H406" s="119">
        <f t="shared" si="773"/>
        <v>0</v>
      </c>
      <c r="I406" s="119" t="s">
        <v>1190</v>
      </c>
      <c r="J406" s="297"/>
      <c r="K406" s="119" t="s">
        <v>981</v>
      </c>
      <c r="L406" s="119">
        <v>55</v>
      </c>
      <c r="M406" s="119" t="s">
        <v>1642</v>
      </c>
      <c r="N406" s="119">
        <f t="shared" si="774"/>
        <v>0</v>
      </c>
      <c r="O406" s="297"/>
      <c r="P406" s="297"/>
      <c r="Q406" s="297"/>
      <c r="R406" s="297"/>
      <c r="S406" s="297"/>
      <c r="T406" s="297"/>
      <c r="U406" s="297"/>
      <c r="V406" s="297"/>
      <c r="W406" s="297"/>
      <c r="X406" s="297"/>
      <c r="Y406" s="297"/>
      <c r="Z406" s="297"/>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5"/>
      <c r="BM406" s="310"/>
      <c r="BN406" s="313"/>
    </row>
    <row r="407" s="118" customFormat="1" ht="33.95" hidden="1" customHeight="1" outlineLevel="4" spans="2:66">
      <c r="B407" s="119" t="s">
        <v>747</v>
      </c>
      <c r="C407" s="120" t="s">
        <v>1643</v>
      </c>
      <c r="D407" s="118" t="s">
        <v>1644</v>
      </c>
      <c r="E407" s="119" t="s">
        <v>1645</v>
      </c>
      <c r="F407" s="119" t="s">
        <v>1572</v>
      </c>
      <c r="G407" s="119" t="s">
        <v>891</v>
      </c>
      <c r="H407" s="119">
        <f t="shared" si="773"/>
        <v>0</v>
      </c>
      <c r="I407" s="119" t="s">
        <v>1190</v>
      </c>
      <c r="J407" s="297"/>
      <c r="K407" s="119" t="s">
        <v>1343</v>
      </c>
      <c r="L407" s="119">
        <v>33</v>
      </c>
      <c r="M407" s="119" t="s">
        <v>1623</v>
      </c>
      <c r="N407" s="119">
        <f t="shared" si="774"/>
        <v>0</v>
      </c>
      <c r="O407" s="297"/>
      <c r="P407" s="297"/>
      <c r="Q407" s="297"/>
      <c r="R407" s="297"/>
      <c r="S407" s="297"/>
      <c r="T407" s="297"/>
      <c r="U407" s="297"/>
      <c r="V407" s="297"/>
      <c r="W407" s="297"/>
      <c r="X407" s="297"/>
      <c r="Y407" s="297"/>
      <c r="Z407" s="297"/>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5"/>
      <c r="BM407" s="310"/>
      <c r="BN407" s="313"/>
    </row>
    <row r="408" s="118" customFormat="1" ht="33.95" hidden="1" customHeight="1" outlineLevel="4" spans="2:66">
      <c r="B408" s="119" t="s">
        <v>747</v>
      </c>
      <c r="C408" s="120" t="s">
        <v>1646</v>
      </c>
      <c r="D408" s="118" t="s">
        <v>1647</v>
      </c>
      <c r="E408" s="119" t="s">
        <v>1648</v>
      </c>
      <c r="F408" s="119" t="s">
        <v>1572</v>
      </c>
      <c r="G408" s="119" t="s">
        <v>891</v>
      </c>
      <c r="H408" s="119">
        <f t="shared" si="773"/>
        <v>0</v>
      </c>
      <c r="I408" s="119" t="s">
        <v>1190</v>
      </c>
      <c r="J408" s="297"/>
      <c r="K408" s="119" t="s">
        <v>1343</v>
      </c>
      <c r="L408" s="119">
        <v>101.2</v>
      </c>
      <c r="M408" s="119" t="s">
        <v>1623</v>
      </c>
      <c r="N408" s="119">
        <f t="shared" si="774"/>
        <v>0</v>
      </c>
      <c r="O408" s="297"/>
      <c r="P408" s="297"/>
      <c r="Q408" s="297"/>
      <c r="R408" s="297"/>
      <c r="S408" s="297"/>
      <c r="T408" s="297"/>
      <c r="U408" s="297"/>
      <c r="V408" s="297"/>
      <c r="W408" s="297"/>
      <c r="X408" s="297"/>
      <c r="Y408" s="297"/>
      <c r="Z408" s="297"/>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5"/>
      <c r="BM408" s="310"/>
      <c r="BN408" s="313"/>
    </row>
    <row r="409" s="118" customFormat="1" ht="33.95" hidden="1" customHeight="1" outlineLevel="4" spans="2:66">
      <c r="B409" s="119" t="s">
        <v>747</v>
      </c>
      <c r="C409" s="120" t="s">
        <v>1649</v>
      </c>
      <c r="D409" s="118" t="s">
        <v>1650</v>
      </c>
      <c r="E409" s="119"/>
      <c r="F409" s="119" t="s">
        <v>1572</v>
      </c>
      <c r="G409" s="119" t="s">
        <v>891</v>
      </c>
      <c r="H409" s="119">
        <f t="shared" si="773"/>
        <v>0</v>
      </c>
      <c r="I409" s="119" t="s">
        <v>1190</v>
      </c>
      <c r="J409" s="297"/>
      <c r="K409" s="119" t="s">
        <v>1343</v>
      </c>
      <c r="L409" s="297"/>
      <c r="M409" s="119" t="s">
        <v>1395</v>
      </c>
      <c r="N409" s="119">
        <f t="shared" si="774"/>
        <v>0</v>
      </c>
      <c r="O409" s="315"/>
      <c r="P409" s="315"/>
      <c r="Q409" s="315"/>
      <c r="R409" s="315"/>
      <c r="S409" s="315"/>
      <c r="T409" s="315"/>
      <c r="U409" s="315"/>
      <c r="V409" s="315"/>
      <c r="W409" s="315"/>
      <c r="X409" s="315"/>
      <c r="Y409" s="315"/>
      <c r="Z409" s="315"/>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5"/>
      <c r="BM409" s="310"/>
      <c r="BN409" s="313"/>
    </row>
    <row r="410" s="48" customFormat="1" ht="33.95" hidden="1" customHeight="1" outlineLevel="3" collapsed="1" spans="2:66">
      <c r="B410" s="115" t="s">
        <v>742</v>
      </c>
      <c r="C410" s="116" t="s">
        <v>1651</v>
      </c>
      <c r="D410" s="48" t="s">
        <v>1652</v>
      </c>
      <c r="E410" s="115"/>
      <c r="F410" s="115"/>
      <c r="G410" s="115"/>
      <c r="H410" s="115">
        <f>SUM(H411:H417)</f>
        <v>0</v>
      </c>
      <c r="I410" s="115"/>
      <c r="J410" s="115"/>
      <c r="K410" s="115"/>
      <c r="L410" s="115"/>
      <c r="M410" s="115"/>
      <c r="N410" s="304"/>
      <c r="O410" s="287"/>
      <c r="P410" s="287"/>
      <c r="Q410" s="287"/>
      <c r="R410" s="287"/>
      <c r="S410" s="287"/>
      <c r="T410" s="287"/>
      <c r="U410" s="287"/>
      <c r="V410" s="287"/>
      <c r="W410" s="287"/>
      <c r="X410" s="287"/>
      <c r="Y410" s="287"/>
      <c r="Z410" s="287"/>
      <c r="AA410" s="287"/>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4"/>
      <c r="BM410" s="310"/>
      <c r="BN410" s="312"/>
    </row>
    <row r="411" s="118" customFormat="1" ht="33.95" hidden="1" customHeight="1" outlineLevel="4" spans="2:66">
      <c r="B411" s="119" t="s">
        <v>747</v>
      </c>
      <c r="C411" s="120" t="s">
        <v>1653</v>
      </c>
      <c r="D411" s="118" t="s">
        <v>1654</v>
      </c>
      <c r="E411" s="119" t="s">
        <v>1655</v>
      </c>
      <c r="F411" s="119" t="s">
        <v>1572</v>
      </c>
      <c r="G411" s="119" t="s">
        <v>891</v>
      </c>
      <c r="H411" s="119">
        <f t="shared" ref="H411:H417" si="775">J411*L411</f>
        <v>0</v>
      </c>
      <c r="I411" s="119" t="s">
        <v>1190</v>
      </c>
      <c r="J411" s="297"/>
      <c r="K411" s="119" t="s">
        <v>1149</v>
      </c>
      <c r="L411" s="119">
        <v>12</v>
      </c>
      <c r="M411" s="119" t="s">
        <v>1656</v>
      </c>
      <c r="N411" s="119">
        <f t="shared" ref="N411:N417" si="776">COUNTA(O411:Z411)</f>
        <v>0</v>
      </c>
      <c r="O411" s="316"/>
      <c r="P411" s="316"/>
      <c r="Q411" s="316"/>
      <c r="R411" s="316"/>
      <c r="S411" s="316"/>
      <c r="T411" s="316"/>
      <c r="U411" s="316"/>
      <c r="V411" s="316"/>
      <c r="W411" s="316"/>
      <c r="X411" s="316"/>
      <c r="Y411" s="316"/>
      <c r="Z411" s="316"/>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5"/>
      <c r="BM411" s="310"/>
      <c r="BN411" s="313"/>
    </row>
    <row r="412" s="118" customFormat="1" ht="33.95" hidden="1" customHeight="1" outlineLevel="4" spans="2:66">
      <c r="B412" s="119" t="s">
        <v>747</v>
      </c>
      <c r="C412" s="120" t="s">
        <v>1657</v>
      </c>
      <c r="D412" s="118" t="s">
        <v>1658</v>
      </c>
      <c r="E412" s="119" t="s">
        <v>1659</v>
      </c>
      <c r="F412" s="119" t="s">
        <v>1572</v>
      </c>
      <c r="G412" s="119" t="s">
        <v>891</v>
      </c>
      <c r="H412" s="119">
        <f t="shared" si="775"/>
        <v>0</v>
      </c>
      <c r="I412" s="119" t="s">
        <v>1190</v>
      </c>
      <c r="J412" s="297"/>
      <c r="K412" s="119" t="s">
        <v>1149</v>
      </c>
      <c r="L412" s="119">
        <v>10</v>
      </c>
      <c r="M412" s="119" t="s">
        <v>1656</v>
      </c>
      <c r="N412" s="119">
        <f t="shared" si="776"/>
        <v>0</v>
      </c>
      <c r="O412" s="297"/>
      <c r="P412" s="297"/>
      <c r="Q412" s="297"/>
      <c r="R412" s="297"/>
      <c r="S412" s="297"/>
      <c r="T412" s="297"/>
      <c r="U412" s="297"/>
      <c r="V412" s="297"/>
      <c r="W412" s="297"/>
      <c r="X412" s="297"/>
      <c r="Y412" s="297"/>
      <c r="Z412" s="297"/>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5"/>
      <c r="BM412" s="310"/>
      <c r="BN412" s="313"/>
    </row>
    <row r="413" s="118" customFormat="1" ht="33.95" hidden="1" customHeight="1" outlineLevel="4" spans="2:66">
      <c r="B413" s="119" t="s">
        <v>747</v>
      </c>
      <c r="C413" s="120" t="s">
        <v>1660</v>
      </c>
      <c r="D413" s="118" t="s">
        <v>1661</v>
      </c>
      <c r="E413" s="119" t="s">
        <v>1662</v>
      </c>
      <c r="F413" s="119" t="s">
        <v>1572</v>
      </c>
      <c r="G413" s="119" t="s">
        <v>891</v>
      </c>
      <c r="H413" s="119">
        <f t="shared" si="775"/>
        <v>0</v>
      </c>
      <c r="I413" s="119" t="s">
        <v>1190</v>
      </c>
      <c r="J413" s="297"/>
      <c r="K413" s="119" t="s">
        <v>1343</v>
      </c>
      <c r="L413" s="119">
        <v>105</v>
      </c>
      <c r="M413" s="119" t="s">
        <v>1623</v>
      </c>
      <c r="N413" s="119">
        <f t="shared" si="776"/>
        <v>0</v>
      </c>
      <c r="O413" s="297"/>
      <c r="P413" s="297"/>
      <c r="Q413" s="297"/>
      <c r="R413" s="297"/>
      <c r="S413" s="297"/>
      <c r="T413" s="297"/>
      <c r="U413" s="297"/>
      <c r="V413" s="297"/>
      <c r="W413" s="297"/>
      <c r="X413" s="297"/>
      <c r="Y413" s="297"/>
      <c r="Z413" s="297"/>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5"/>
      <c r="BM413" s="310"/>
      <c r="BN413" s="313"/>
    </row>
    <row r="414" s="118" customFormat="1" ht="33.95" hidden="1" customHeight="1" outlineLevel="4" spans="2:66">
      <c r="B414" s="119" t="s">
        <v>747</v>
      </c>
      <c r="C414" s="120" t="s">
        <v>1663</v>
      </c>
      <c r="D414" s="118" t="s">
        <v>1664</v>
      </c>
      <c r="E414" s="119"/>
      <c r="F414" s="119" t="s">
        <v>1572</v>
      </c>
      <c r="G414" s="119" t="s">
        <v>891</v>
      </c>
      <c r="H414" s="119">
        <f t="shared" si="775"/>
        <v>0</v>
      </c>
      <c r="I414" s="119" t="s">
        <v>1190</v>
      </c>
      <c r="J414" s="297"/>
      <c r="K414" s="119" t="s">
        <v>981</v>
      </c>
      <c r="L414" s="119">
        <v>55</v>
      </c>
      <c r="M414" s="119" t="s">
        <v>1642</v>
      </c>
      <c r="N414" s="119">
        <f t="shared" si="776"/>
        <v>0</v>
      </c>
      <c r="O414" s="297"/>
      <c r="P414" s="297"/>
      <c r="Q414" s="297"/>
      <c r="R414" s="297"/>
      <c r="S414" s="297"/>
      <c r="T414" s="297"/>
      <c r="U414" s="297"/>
      <c r="V414" s="297"/>
      <c r="W414" s="297"/>
      <c r="X414" s="297"/>
      <c r="Y414" s="297"/>
      <c r="Z414" s="297"/>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5"/>
      <c r="BM414" s="310"/>
      <c r="BN414" s="313"/>
    </row>
    <row r="415" s="118" customFormat="1" ht="33.95" hidden="1" customHeight="1" outlineLevel="4" spans="2:66">
      <c r="B415" s="119" t="s">
        <v>747</v>
      </c>
      <c r="C415" s="120" t="s">
        <v>1665</v>
      </c>
      <c r="D415" s="118" t="s">
        <v>1666</v>
      </c>
      <c r="E415" s="119" t="s">
        <v>1667</v>
      </c>
      <c r="F415" s="119" t="s">
        <v>1572</v>
      </c>
      <c r="G415" s="119" t="s">
        <v>891</v>
      </c>
      <c r="H415" s="119">
        <f t="shared" si="775"/>
        <v>0</v>
      </c>
      <c r="I415" s="119" t="s">
        <v>1190</v>
      </c>
      <c r="J415" s="297"/>
      <c r="K415" s="119" t="s">
        <v>1343</v>
      </c>
      <c r="L415" s="119">
        <v>140</v>
      </c>
      <c r="M415" s="119" t="s">
        <v>1623</v>
      </c>
      <c r="N415" s="119">
        <f t="shared" si="776"/>
        <v>0</v>
      </c>
      <c r="O415" s="297"/>
      <c r="P415" s="297"/>
      <c r="Q415" s="297"/>
      <c r="R415" s="297"/>
      <c r="S415" s="297"/>
      <c r="T415" s="297"/>
      <c r="U415" s="297"/>
      <c r="V415" s="297"/>
      <c r="W415" s="297"/>
      <c r="X415" s="297"/>
      <c r="Y415" s="297"/>
      <c r="Z415" s="297"/>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5"/>
      <c r="BM415" s="310"/>
      <c r="BN415" s="313"/>
    </row>
    <row r="416" s="118" customFormat="1" ht="33.95" hidden="1" customHeight="1" outlineLevel="4" spans="2:66">
      <c r="B416" s="119" t="s">
        <v>747</v>
      </c>
      <c r="C416" s="120" t="s">
        <v>1668</v>
      </c>
      <c r="D416" s="118" t="s">
        <v>1669</v>
      </c>
      <c r="E416" s="119" t="s">
        <v>1670</v>
      </c>
      <c r="F416" s="119" t="s">
        <v>1572</v>
      </c>
      <c r="G416" s="119" t="s">
        <v>891</v>
      </c>
      <c r="H416" s="119">
        <f t="shared" si="775"/>
        <v>0</v>
      </c>
      <c r="I416" s="119" t="s">
        <v>1190</v>
      </c>
      <c r="J416" s="297"/>
      <c r="K416" s="119" t="s">
        <v>1343</v>
      </c>
      <c r="L416" s="119">
        <v>30</v>
      </c>
      <c r="M416" s="119" t="s">
        <v>1623</v>
      </c>
      <c r="N416" s="119">
        <f t="shared" si="776"/>
        <v>0</v>
      </c>
      <c r="O416" s="297"/>
      <c r="P416" s="297"/>
      <c r="Q416" s="297"/>
      <c r="R416" s="297"/>
      <c r="S416" s="297"/>
      <c r="T416" s="297"/>
      <c r="U416" s="297"/>
      <c r="V416" s="297"/>
      <c r="W416" s="297"/>
      <c r="X416" s="297"/>
      <c r="Y416" s="297"/>
      <c r="Z416" s="297"/>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5"/>
      <c r="BM416" s="310"/>
      <c r="BN416" s="313"/>
    </row>
    <row r="417" s="118" customFormat="1" ht="33.95" hidden="1" customHeight="1" outlineLevel="4" spans="2:66">
      <c r="B417" s="119" t="s">
        <v>747</v>
      </c>
      <c r="C417" s="120" t="s">
        <v>1671</v>
      </c>
      <c r="D417" s="118" t="s">
        <v>1672</v>
      </c>
      <c r="E417" s="119" t="s">
        <v>1673</v>
      </c>
      <c r="F417" s="119" t="s">
        <v>1572</v>
      </c>
      <c r="G417" s="119" t="s">
        <v>891</v>
      </c>
      <c r="H417" s="119">
        <f t="shared" si="775"/>
        <v>0</v>
      </c>
      <c r="I417" s="119" t="s">
        <v>1190</v>
      </c>
      <c r="J417" s="297"/>
      <c r="K417" s="119" t="s">
        <v>1343</v>
      </c>
      <c r="L417" s="119">
        <v>10</v>
      </c>
      <c r="M417" s="119" t="s">
        <v>1623</v>
      </c>
      <c r="N417" s="119">
        <f t="shared" si="776"/>
        <v>0</v>
      </c>
      <c r="O417" s="315"/>
      <c r="P417" s="315"/>
      <c r="Q417" s="315"/>
      <c r="R417" s="315"/>
      <c r="S417" s="315"/>
      <c r="T417" s="315"/>
      <c r="U417" s="315"/>
      <c r="V417" s="315"/>
      <c r="W417" s="315"/>
      <c r="X417" s="315"/>
      <c r="Y417" s="315"/>
      <c r="Z417" s="315"/>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5"/>
      <c r="BM417" s="310"/>
      <c r="BN417" s="313"/>
    </row>
    <row r="418" s="48" customFormat="1" ht="33.95" hidden="1" customHeight="1" outlineLevel="3" collapsed="1" spans="2:66">
      <c r="B418" s="115" t="s">
        <v>742</v>
      </c>
      <c r="C418" s="116" t="s">
        <v>1674</v>
      </c>
      <c r="D418" s="48" t="s">
        <v>1675</v>
      </c>
      <c r="E418" s="115"/>
      <c r="F418" s="115"/>
      <c r="G418" s="115" t="s">
        <v>891</v>
      </c>
      <c r="H418" s="115">
        <f>SUM(H419:H429)</f>
        <v>0</v>
      </c>
      <c r="I418" s="115"/>
      <c r="J418" s="115"/>
      <c r="K418" s="115"/>
      <c r="L418" s="115"/>
      <c r="M418" s="115"/>
      <c r="N418" s="304"/>
      <c r="O418" s="287"/>
      <c r="P418" s="287"/>
      <c r="Q418" s="287"/>
      <c r="R418" s="287"/>
      <c r="S418" s="287"/>
      <c r="T418" s="287"/>
      <c r="U418" s="287"/>
      <c r="V418" s="287"/>
      <c r="W418" s="287"/>
      <c r="X418" s="287"/>
      <c r="Y418" s="287"/>
      <c r="Z418" s="287"/>
      <c r="AA418" s="287"/>
      <c r="AB418" s="115">
        <f t="shared" ref="AB418:AF418" si="790">SUM(AB419:AB429)</f>
        <v>0</v>
      </c>
      <c r="AC418" s="115">
        <f t="shared" si="790"/>
        <v>0</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4"/>
      <c r="BM418" s="310"/>
      <c r="BN418" s="312"/>
    </row>
    <row r="419" s="118" customFormat="1" ht="33.95" hidden="1" customHeight="1" outlineLevel="4" spans="2:66">
      <c r="B419" s="119" t="s">
        <v>747</v>
      </c>
      <c r="C419" s="120" t="s">
        <v>1676</v>
      </c>
      <c r="D419" s="118" t="s">
        <v>1677</v>
      </c>
      <c r="E419" s="119" t="s">
        <v>1678</v>
      </c>
      <c r="F419" s="119" t="s">
        <v>1572</v>
      </c>
      <c r="G419" s="119" t="s">
        <v>891</v>
      </c>
      <c r="H419" s="119">
        <f t="shared" ref="H419:H429" si="791">J419*L419</f>
        <v>0</v>
      </c>
      <c r="I419" s="119" t="s">
        <v>1190</v>
      </c>
      <c r="J419" s="297"/>
      <c r="K419" s="119" t="s">
        <v>1343</v>
      </c>
      <c r="L419" s="119">
        <v>560.5</v>
      </c>
      <c r="M419" s="119" t="s">
        <v>1623</v>
      </c>
      <c r="N419" s="119">
        <f t="shared" ref="N419:N429" si="792">COUNTA(O419:Z419)</f>
        <v>0</v>
      </c>
      <c r="O419" s="316"/>
      <c r="P419" s="316"/>
      <c r="Q419" s="316"/>
      <c r="R419" s="316"/>
      <c r="S419" s="316"/>
      <c r="T419" s="316"/>
      <c r="U419" s="316"/>
      <c r="V419" s="316"/>
      <c r="W419" s="316"/>
      <c r="X419" s="316"/>
      <c r="Y419" s="316"/>
      <c r="Z419" s="316"/>
      <c r="AA419" s="119"/>
      <c r="AB419" s="119">
        <f t="shared" ref="AB419:AB429" si="793">SUM(AC419,AF419,AI419,AL419,AO419,AR419,AU419,AX419,BA419,BD419,BG419,BJ419)</f>
        <v>0</v>
      </c>
      <c r="AC419" s="119">
        <f t="shared" ref="AC419:AC429" si="794">IF(O419="√",$J419*$L419/$N419,0)</f>
        <v>0</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5"/>
      <c r="BM419" s="310"/>
      <c r="BN419" s="313"/>
    </row>
    <row r="420" s="118" customFormat="1" ht="33.95" hidden="1" customHeight="1" outlineLevel="4" spans="2:66">
      <c r="B420" s="119" t="s">
        <v>747</v>
      </c>
      <c r="C420" s="120" t="s">
        <v>1679</v>
      </c>
      <c r="D420" s="118" t="s">
        <v>1680</v>
      </c>
      <c r="E420" s="119" t="s">
        <v>1681</v>
      </c>
      <c r="F420" s="119" t="s">
        <v>1572</v>
      </c>
      <c r="G420" s="119" t="s">
        <v>891</v>
      </c>
      <c r="H420" s="119">
        <f t="shared" si="791"/>
        <v>0</v>
      </c>
      <c r="I420" s="119" t="s">
        <v>1190</v>
      </c>
      <c r="J420" s="297"/>
      <c r="K420" s="119" t="s">
        <v>1343</v>
      </c>
      <c r="L420" s="119">
        <v>85</v>
      </c>
      <c r="M420" s="119" t="s">
        <v>1623</v>
      </c>
      <c r="N420" s="119">
        <f t="shared" si="792"/>
        <v>0</v>
      </c>
      <c r="O420" s="297"/>
      <c r="P420" s="297"/>
      <c r="Q420" s="297"/>
      <c r="R420" s="297"/>
      <c r="S420" s="297"/>
      <c r="T420" s="297"/>
      <c r="U420" s="297"/>
      <c r="V420" s="297"/>
      <c r="W420" s="297"/>
      <c r="X420" s="297"/>
      <c r="Y420" s="297"/>
      <c r="Z420" s="297"/>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5"/>
      <c r="BM420" s="310"/>
      <c r="BN420" s="313"/>
    </row>
    <row r="421" s="118" customFormat="1" ht="33.95" hidden="1" customHeight="1" outlineLevel="4" spans="2:66">
      <c r="B421" s="119" t="s">
        <v>747</v>
      </c>
      <c r="C421" s="120" t="s">
        <v>1682</v>
      </c>
      <c r="D421" s="118" t="s">
        <v>1683</v>
      </c>
      <c r="E421" s="119" t="s">
        <v>1684</v>
      </c>
      <c r="F421" s="119" t="s">
        <v>1572</v>
      </c>
      <c r="G421" s="119" t="s">
        <v>891</v>
      </c>
      <c r="H421" s="119">
        <f t="shared" si="791"/>
        <v>0</v>
      </c>
      <c r="I421" s="119" t="s">
        <v>1190</v>
      </c>
      <c r="J421" s="297"/>
      <c r="K421" s="119" t="s">
        <v>1343</v>
      </c>
      <c r="L421" s="119">
        <v>25</v>
      </c>
      <c r="M421" s="119" t="s">
        <v>1623</v>
      </c>
      <c r="N421" s="119">
        <f t="shared" si="792"/>
        <v>0</v>
      </c>
      <c r="O421" s="297"/>
      <c r="P421" s="297"/>
      <c r="Q421" s="297"/>
      <c r="R421" s="297"/>
      <c r="S421" s="297"/>
      <c r="T421" s="297"/>
      <c r="U421" s="297"/>
      <c r="V421" s="297"/>
      <c r="W421" s="297"/>
      <c r="X421" s="297"/>
      <c r="Y421" s="297"/>
      <c r="Z421" s="297"/>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5"/>
      <c r="BM421" s="310"/>
      <c r="BN421" s="313"/>
    </row>
    <row r="422" s="118" customFormat="1" ht="33.95" hidden="1" customHeight="1" outlineLevel="4" spans="2:66">
      <c r="B422" s="119" t="s">
        <v>747</v>
      </c>
      <c r="C422" s="120" t="s">
        <v>1685</v>
      </c>
      <c r="D422" s="118" t="s">
        <v>1686</v>
      </c>
      <c r="E422" s="119" t="s">
        <v>1687</v>
      </c>
      <c r="F422" s="119" t="s">
        <v>1572</v>
      </c>
      <c r="G422" s="119" t="s">
        <v>891</v>
      </c>
      <c r="H422" s="119">
        <f t="shared" si="791"/>
        <v>0</v>
      </c>
      <c r="I422" s="119" t="s">
        <v>1190</v>
      </c>
      <c r="J422" s="297"/>
      <c r="K422" s="119" t="s">
        <v>1580</v>
      </c>
      <c r="L422" s="119">
        <v>19</v>
      </c>
      <c r="M422" s="119" t="s">
        <v>1581</v>
      </c>
      <c r="N422" s="119">
        <f t="shared" si="792"/>
        <v>0</v>
      </c>
      <c r="O422" s="297"/>
      <c r="P422" s="297"/>
      <c r="Q422" s="297"/>
      <c r="R422" s="297"/>
      <c r="S422" s="297"/>
      <c r="T422" s="297"/>
      <c r="U422" s="297"/>
      <c r="V422" s="297"/>
      <c r="W422" s="297"/>
      <c r="X422" s="297"/>
      <c r="Y422" s="297"/>
      <c r="Z422" s="297"/>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5"/>
      <c r="BM422" s="310"/>
      <c r="BN422" s="313"/>
    </row>
    <row r="423" s="118" customFormat="1" ht="33.95" hidden="1" customHeight="1" outlineLevel="4" spans="2:66">
      <c r="B423" s="119" t="s">
        <v>747</v>
      </c>
      <c r="C423" s="120" t="s">
        <v>1688</v>
      </c>
      <c r="D423" s="118" t="s">
        <v>1689</v>
      </c>
      <c r="E423" s="119" t="s">
        <v>1690</v>
      </c>
      <c r="F423" s="119" t="s">
        <v>1572</v>
      </c>
      <c r="G423" s="119" t="s">
        <v>891</v>
      </c>
      <c r="H423" s="119">
        <f t="shared" si="791"/>
        <v>0</v>
      </c>
      <c r="I423" s="119" t="s">
        <v>1190</v>
      </c>
      <c r="J423" s="297"/>
      <c r="K423" s="119" t="s">
        <v>1580</v>
      </c>
      <c r="L423" s="119">
        <v>105</v>
      </c>
      <c r="M423" s="119" t="s">
        <v>1581</v>
      </c>
      <c r="N423" s="119">
        <f t="shared" si="792"/>
        <v>0</v>
      </c>
      <c r="O423" s="297"/>
      <c r="P423" s="297"/>
      <c r="Q423" s="297"/>
      <c r="R423" s="297"/>
      <c r="S423" s="297"/>
      <c r="T423" s="297"/>
      <c r="U423" s="297"/>
      <c r="V423" s="297"/>
      <c r="W423" s="297"/>
      <c r="X423" s="297"/>
      <c r="Y423" s="297"/>
      <c r="Z423" s="297"/>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5"/>
      <c r="BM423" s="310"/>
      <c r="BN423" s="313"/>
    </row>
    <row r="424" s="118" customFormat="1" ht="33.95" hidden="1" customHeight="1" outlineLevel="4" spans="2:66">
      <c r="B424" s="119" t="s">
        <v>747</v>
      </c>
      <c r="C424" s="120" t="s">
        <v>1691</v>
      </c>
      <c r="D424" s="118" t="s">
        <v>1692</v>
      </c>
      <c r="E424" s="119"/>
      <c r="F424" s="119" t="s">
        <v>1572</v>
      </c>
      <c r="G424" s="119" t="s">
        <v>891</v>
      </c>
      <c r="H424" s="119">
        <f t="shared" si="791"/>
        <v>0</v>
      </c>
      <c r="I424" s="119" t="s">
        <v>1190</v>
      </c>
      <c r="J424" s="297"/>
      <c r="K424" s="119" t="s">
        <v>1343</v>
      </c>
      <c r="L424" s="119">
        <v>5</v>
      </c>
      <c r="M424" s="119" t="s">
        <v>1623</v>
      </c>
      <c r="N424" s="119">
        <f t="shared" si="792"/>
        <v>0</v>
      </c>
      <c r="O424" s="297"/>
      <c r="P424" s="297"/>
      <c r="Q424" s="297"/>
      <c r="R424" s="297"/>
      <c r="S424" s="297"/>
      <c r="T424" s="297"/>
      <c r="U424" s="297"/>
      <c r="V424" s="297"/>
      <c r="W424" s="297"/>
      <c r="X424" s="297"/>
      <c r="Y424" s="297"/>
      <c r="Z424" s="297"/>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5"/>
      <c r="BM424" s="310"/>
      <c r="BN424" s="313"/>
    </row>
    <row r="425" s="118" customFormat="1" ht="33.95" hidden="1" customHeight="1" outlineLevel="4" spans="2:66">
      <c r="B425" s="119" t="s">
        <v>747</v>
      </c>
      <c r="C425" s="120" t="s">
        <v>1693</v>
      </c>
      <c r="D425" s="118" t="s">
        <v>1694</v>
      </c>
      <c r="E425" s="119" t="s">
        <v>1695</v>
      </c>
      <c r="F425" s="119" t="s">
        <v>1572</v>
      </c>
      <c r="G425" s="119" t="s">
        <v>891</v>
      </c>
      <c r="H425" s="119">
        <f t="shared" si="791"/>
        <v>0</v>
      </c>
      <c r="I425" s="119" t="s">
        <v>1190</v>
      </c>
      <c r="J425" s="297"/>
      <c r="K425" s="119" t="s">
        <v>1343</v>
      </c>
      <c r="L425" s="119">
        <v>7.2</v>
      </c>
      <c r="M425" s="119" t="s">
        <v>1623</v>
      </c>
      <c r="N425" s="119">
        <f t="shared" si="792"/>
        <v>0</v>
      </c>
      <c r="O425" s="297"/>
      <c r="P425" s="297"/>
      <c r="Q425" s="297"/>
      <c r="R425" s="297"/>
      <c r="S425" s="297"/>
      <c r="T425" s="297"/>
      <c r="U425" s="297"/>
      <c r="V425" s="297"/>
      <c r="W425" s="297"/>
      <c r="X425" s="297"/>
      <c r="Y425" s="297"/>
      <c r="Z425" s="297"/>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5"/>
      <c r="BM425" s="310"/>
      <c r="BN425" s="313"/>
    </row>
    <row r="426" s="118" customFormat="1" ht="33.95" hidden="1" customHeight="1" outlineLevel="4" spans="2:66">
      <c r="B426" s="119" t="s">
        <v>747</v>
      </c>
      <c r="C426" s="120" t="s">
        <v>1696</v>
      </c>
      <c r="D426" s="118" t="s">
        <v>1697</v>
      </c>
      <c r="E426" s="119" t="s">
        <v>1698</v>
      </c>
      <c r="F426" s="119" t="s">
        <v>1572</v>
      </c>
      <c r="G426" s="119" t="s">
        <v>891</v>
      </c>
      <c r="H426" s="119">
        <f t="shared" si="791"/>
        <v>0</v>
      </c>
      <c r="I426" s="119" t="s">
        <v>1190</v>
      </c>
      <c r="J426" s="297"/>
      <c r="K426" s="119" t="s">
        <v>1343</v>
      </c>
      <c r="L426" s="119">
        <v>5</v>
      </c>
      <c r="M426" s="119" t="s">
        <v>1623</v>
      </c>
      <c r="N426" s="119">
        <f t="shared" si="792"/>
        <v>0</v>
      </c>
      <c r="O426" s="297"/>
      <c r="P426" s="297"/>
      <c r="Q426" s="297"/>
      <c r="R426" s="297"/>
      <c r="S426" s="297"/>
      <c r="T426" s="297"/>
      <c r="U426" s="297"/>
      <c r="V426" s="297"/>
      <c r="W426" s="297"/>
      <c r="X426" s="297"/>
      <c r="Y426" s="297"/>
      <c r="Z426" s="297"/>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5"/>
      <c r="BM426" s="310"/>
      <c r="BN426" s="313"/>
    </row>
    <row r="427" s="118" customFormat="1" ht="33.95" hidden="1" customHeight="1" outlineLevel="4" spans="2:66">
      <c r="B427" s="119" t="s">
        <v>747</v>
      </c>
      <c r="C427" s="120" t="s">
        <v>1699</v>
      </c>
      <c r="D427" s="118" t="s">
        <v>1700</v>
      </c>
      <c r="E427" s="119" t="s">
        <v>1701</v>
      </c>
      <c r="F427" s="119" t="s">
        <v>1572</v>
      </c>
      <c r="G427" s="119" t="s">
        <v>891</v>
      </c>
      <c r="H427" s="119">
        <f t="shared" si="791"/>
        <v>0</v>
      </c>
      <c r="I427" s="119" t="s">
        <v>1190</v>
      </c>
      <c r="J427" s="297"/>
      <c r="K427" s="119" t="s">
        <v>1702</v>
      </c>
      <c r="L427" s="119">
        <v>6.5</v>
      </c>
      <c r="M427" s="119" t="s">
        <v>1703</v>
      </c>
      <c r="N427" s="119">
        <f t="shared" si="792"/>
        <v>0</v>
      </c>
      <c r="O427" s="297"/>
      <c r="P427" s="297"/>
      <c r="Q427" s="297"/>
      <c r="R427" s="297"/>
      <c r="S427" s="297"/>
      <c r="T427" s="297"/>
      <c r="U427" s="297"/>
      <c r="V427" s="297"/>
      <c r="W427" s="297"/>
      <c r="X427" s="297"/>
      <c r="Y427" s="297"/>
      <c r="Z427" s="297"/>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5"/>
      <c r="BM427" s="310"/>
      <c r="BN427" s="313"/>
    </row>
    <row r="428" s="118" customFormat="1" ht="33.95" hidden="1" customHeight="1" outlineLevel="4" spans="2:66">
      <c r="B428" s="119" t="s">
        <v>747</v>
      </c>
      <c r="C428" s="120" t="s">
        <v>1704</v>
      </c>
      <c r="D428" s="118" t="s">
        <v>1705</v>
      </c>
      <c r="E428" s="119" t="s">
        <v>1706</v>
      </c>
      <c r="F428" s="119" t="s">
        <v>1572</v>
      </c>
      <c r="G428" s="119" t="s">
        <v>891</v>
      </c>
      <c r="H428" s="119">
        <f t="shared" si="791"/>
        <v>0</v>
      </c>
      <c r="I428" s="119" t="s">
        <v>1190</v>
      </c>
      <c r="J428" s="297"/>
      <c r="K428" s="119" t="s">
        <v>1707</v>
      </c>
      <c r="L428" s="119">
        <v>20</v>
      </c>
      <c r="M428" s="119" t="s">
        <v>1708</v>
      </c>
      <c r="N428" s="119">
        <f t="shared" si="792"/>
        <v>0</v>
      </c>
      <c r="O428" s="297"/>
      <c r="P428" s="297"/>
      <c r="Q428" s="297"/>
      <c r="R428" s="297"/>
      <c r="S428" s="297"/>
      <c r="T428" s="297"/>
      <c r="U428" s="297"/>
      <c r="V428" s="297"/>
      <c r="W428" s="297"/>
      <c r="X428" s="297"/>
      <c r="Y428" s="297"/>
      <c r="Z428" s="297"/>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5"/>
      <c r="BM428" s="310"/>
      <c r="BN428" s="313"/>
    </row>
    <row r="429" s="118" customFormat="1" ht="33.95" hidden="1" customHeight="1" outlineLevel="4" spans="2:66">
      <c r="B429" s="119" t="s">
        <v>747</v>
      </c>
      <c r="C429" s="120" t="s">
        <v>1709</v>
      </c>
      <c r="D429" s="118" t="s">
        <v>1710</v>
      </c>
      <c r="E429" s="119"/>
      <c r="F429" s="119" t="s">
        <v>1572</v>
      </c>
      <c r="G429" s="119" t="s">
        <v>891</v>
      </c>
      <c r="H429" s="119">
        <f t="shared" si="791"/>
        <v>0</v>
      </c>
      <c r="I429" s="119" t="s">
        <v>1190</v>
      </c>
      <c r="J429" s="119">
        <v>1</v>
      </c>
      <c r="K429" s="119" t="s">
        <v>1191</v>
      </c>
      <c r="L429" s="297"/>
      <c r="M429" s="119" t="s">
        <v>1711</v>
      </c>
      <c r="N429" s="119">
        <f t="shared" si="792"/>
        <v>0</v>
      </c>
      <c r="O429" s="315"/>
      <c r="P429" s="315"/>
      <c r="Q429" s="315"/>
      <c r="R429" s="315"/>
      <c r="S429" s="315"/>
      <c r="T429" s="315"/>
      <c r="U429" s="315"/>
      <c r="V429" s="315"/>
      <c r="W429" s="315"/>
      <c r="X429" s="315"/>
      <c r="Y429" s="315"/>
      <c r="Z429" s="315"/>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5"/>
      <c r="BM429" s="310"/>
      <c r="BN429" s="313"/>
    </row>
    <row r="430" s="22" customFormat="1" ht="33.95" hidden="1" customHeight="1" outlineLevel="2" collapsed="1" spans="2:66">
      <c r="B430" s="112" t="s">
        <v>742</v>
      </c>
      <c r="C430" s="113" t="s">
        <v>1712</v>
      </c>
      <c r="D430" s="22" t="s">
        <v>1713</v>
      </c>
      <c r="E430" s="112"/>
      <c r="F430" s="112"/>
      <c r="G430" s="112"/>
      <c r="H430" s="112">
        <f>H431+H440+H446</f>
        <v>0</v>
      </c>
      <c r="I430" s="112"/>
      <c r="J430" s="112"/>
      <c r="K430" s="112"/>
      <c r="L430" s="112"/>
      <c r="M430" s="112"/>
      <c r="N430" s="303"/>
      <c r="O430" s="286"/>
      <c r="P430" s="286"/>
      <c r="Q430" s="286"/>
      <c r="R430" s="286"/>
      <c r="S430" s="286"/>
      <c r="T430" s="286"/>
      <c r="U430" s="286"/>
      <c r="V430" s="286"/>
      <c r="W430" s="286"/>
      <c r="X430" s="286"/>
      <c r="Y430" s="286"/>
      <c r="Z430" s="286"/>
      <c r="AA430" s="286"/>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3"/>
      <c r="BM430" s="310"/>
      <c r="BN430" s="311"/>
    </row>
    <row r="431" s="48" customFormat="1" ht="33.95" hidden="1" customHeight="1" outlineLevel="3" collapsed="1" spans="2:66">
      <c r="B431" s="115" t="s">
        <v>742</v>
      </c>
      <c r="C431" s="116" t="s">
        <v>1714</v>
      </c>
      <c r="D431" s="48" t="s">
        <v>1715</v>
      </c>
      <c r="E431" s="115"/>
      <c r="F431" s="115"/>
      <c r="G431" s="115"/>
      <c r="H431" s="115">
        <f>SUM(H432:H439)</f>
        <v>0</v>
      </c>
      <c r="I431" s="115"/>
      <c r="J431" s="115"/>
      <c r="K431" s="115"/>
      <c r="L431" s="115"/>
      <c r="M431" s="115"/>
      <c r="N431" s="304"/>
      <c r="O431" s="287"/>
      <c r="P431" s="287"/>
      <c r="Q431" s="287"/>
      <c r="R431" s="287"/>
      <c r="S431" s="287"/>
      <c r="T431" s="287"/>
      <c r="U431" s="287"/>
      <c r="V431" s="287"/>
      <c r="W431" s="287"/>
      <c r="X431" s="287"/>
      <c r="Y431" s="287"/>
      <c r="Z431" s="287"/>
      <c r="AA431" s="287"/>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4"/>
      <c r="BM431" s="310"/>
      <c r="BN431" s="312"/>
    </row>
    <row r="432" s="118" customFormat="1" ht="33.95" hidden="1" customHeight="1" outlineLevel="5" spans="2:66">
      <c r="B432" s="119" t="s">
        <v>747</v>
      </c>
      <c r="C432" s="120" t="s">
        <v>1716</v>
      </c>
      <c r="D432" s="118" t="s">
        <v>1717</v>
      </c>
      <c r="E432" s="119"/>
      <c r="F432" s="119" t="s">
        <v>1572</v>
      </c>
      <c r="G432" s="119" t="s">
        <v>891</v>
      </c>
      <c r="H432" s="119">
        <f>J432*L432</f>
        <v>0</v>
      </c>
      <c r="I432" s="119" t="s">
        <v>1190</v>
      </c>
      <c r="J432" s="297"/>
      <c r="K432" s="119" t="s">
        <v>1098</v>
      </c>
      <c r="L432" s="119">
        <v>2230</v>
      </c>
      <c r="M432" s="119" t="s">
        <v>1718</v>
      </c>
      <c r="N432" s="119">
        <f t="shared" ref="N432:N439" si="807">COUNTA(O432:Z432)</f>
        <v>0</v>
      </c>
      <c r="O432" s="316"/>
      <c r="P432" s="316"/>
      <c r="Q432" s="316"/>
      <c r="R432" s="316"/>
      <c r="S432" s="316"/>
      <c r="T432" s="316"/>
      <c r="U432" s="316"/>
      <c r="V432" s="316"/>
      <c r="W432" s="316"/>
      <c r="X432" s="316"/>
      <c r="Y432" s="316"/>
      <c r="Z432" s="316"/>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5"/>
      <c r="BM432" s="310"/>
      <c r="BN432" s="313"/>
    </row>
    <row r="433" s="118" customFormat="1" ht="33.95" hidden="1" customHeight="1" outlineLevel="5" spans="2:66">
      <c r="B433" s="119" t="s">
        <v>747</v>
      </c>
      <c r="C433" s="120" t="s">
        <v>1719</v>
      </c>
      <c r="D433" s="118" t="s">
        <v>1720</v>
      </c>
      <c r="E433" s="119"/>
      <c r="F433" s="119" t="s">
        <v>1572</v>
      </c>
      <c r="G433" s="119" t="s">
        <v>891</v>
      </c>
      <c r="H433" s="119">
        <f t="shared" ref="H433:H439" si="821">J433*L433</f>
        <v>0</v>
      </c>
      <c r="I433" s="119" t="s">
        <v>1190</v>
      </c>
      <c r="J433" s="297"/>
      <c r="K433" s="119" t="s">
        <v>1098</v>
      </c>
      <c r="L433" s="119">
        <v>620</v>
      </c>
      <c r="M433" s="119" t="s">
        <v>1718</v>
      </c>
      <c r="N433" s="119">
        <f t="shared" si="807"/>
        <v>0</v>
      </c>
      <c r="O433" s="297"/>
      <c r="P433" s="297"/>
      <c r="Q433" s="297"/>
      <c r="R433" s="297"/>
      <c r="S433" s="297"/>
      <c r="T433" s="297"/>
      <c r="U433" s="297"/>
      <c r="V433" s="297"/>
      <c r="W433" s="297"/>
      <c r="X433" s="297"/>
      <c r="Y433" s="297"/>
      <c r="Z433" s="297"/>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5"/>
      <c r="BM433" s="310"/>
      <c r="BN433" s="313"/>
    </row>
    <row r="434" s="118" customFormat="1" ht="33.95" hidden="1" customHeight="1" outlineLevel="5" spans="2:66">
      <c r="B434" s="119" t="s">
        <v>747</v>
      </c>
      <c r="C434" s="120" t="s">
        <v>1721</v>
      </c>
      <c r="D434" s="118" t="s">
        <v>1722</v>
      </c>
      <c r="E434" s="119"/>
      <c r="F434" s="119" t="s">
        <v>1572</v>
      </c>
      <c r="G434" s="119" t="s">
        <v>891</v>
      </c>
      <c r="H434" s="119">
        <f t="shared" si="821"/>
        <v>0</v>
      </c>
      <c r="I434" s="119" t="s">
        <v>1190</v>
      </c>
      <c r="J434" s="297"/>
      <c r="K434" s="119" t="s">
        <v>1098</v>
      </c>
      <c r="L434" s="119">
        <v>3070</v>
      </c>
      <c r="M434" s="119" t="s">
        <v>1718</v>
      </c>
      <c r="N434" s="119">
        <f t="shared" si="807"/>
        <v>0</v>
      </c>
      <c r="O434" s="297"/>
      <c r="P434" s="297"/>
      <c r="Q434" s="297"/>
      <c r="R434" s="297"/>
      <c r="S434" s="297"/>
      <c r="T434" s="297"/>
      <c r="U434" s="297"/>
      <c r="V434" s="297"/>
      <c r="W434" s="297"/>
      <c r="X434" s="297"/>
      <c r="Y434" s="297"/>
      <c r="Z434" s="297"/>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5"/>
      <c r="BM434" s="310"/>
      <c r="BN434" s="313"/>
    </row>
    <row r="435" s="118" customFormat="1" ht="33.95" hidden="1" customHeight="1" outlineLevel="5" spans="2:66">
      <c r="B435" s="119" t="s">
        <v>747</v>
      </c>
      <c r="C435" s="120" t="s">
        <v>1723</v>
      </c>
      <c r="D435" s="118" t="s">
        <v>1724</v>
      </c>
      <c r="E435" s="119"/>
      <c r="F435" s="119" t="s">
        <v>1572</v>
      </c>
      <c r="G435" s="119" t="s">
        <v>891</v>
      </c>
      <c r="H435" s="119">
        <f t="shared" si="821"/>
        <v>0</v>
      </c>
      <c r="I435" s="119" t="s">
        <v>1190</v>
      </c>
      <c r="J435" s="297"/>
      <c r="K435" s="119" t="s">
        <v>1725</v>
      </c>
      <c r="L435" s="119">
        <v>2800</v>
      </c>
      <c r="M435" s="119" t="s">
        <v>1099</v>
      </c>
      <c r="N435" s="119">
        <f t="shared" si="807"/>
        <v>0</v>
      </c>
      <c r="O435" s="297"/>
      <c r="P435" s="297"/>
      <c r="Q435" s="297"/>
      <c r="R435" s="297"/>
      <c r="S435" s="297"/>
      <c r="T435" s="297"/>
      <c r="U435" s="297"/>
      <c r="V435" s="297"/>
      <c r="W435" s="297"/>
      <c r="X435" s="297"/>
      <c r="Y435" s="297"/>
      <c r="Z435" s="297"/>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5"/>
      <c r="BM435" s="310"/>
      <c r="BN435" s="313"/>
    </row>
    <row r="436" s="118" customFormat="1" ht="33.95" hidden="1" customHeight="1" outlineLevel="5" spans="2:66">
      <c r="B436" s="119" t="s">
        <v>747</v>
      </c>
      <c r="C436" s="120" t="s">
        <v>1726</v>
      </c>
      <c r="D436" s="118" t="s">
        <v>1727</v>
      </c>
      <c r="E436" s="119"/>
      <c r="F436" s="119" t="s">
        <v>1572</v>
      </c>
      <c r="G436" s="119" t="s">
        <v>891</v>
      </c>
      <c r="H436" s="119">
        <f t="shared" si="821"/>
        <v>0</v>
      </c>
      <c r="I436" s="119" t="s">
        <v>1190</v>
      </c>
      <c r="J436" s="297"/>
      <c r="K436" s="119" t="s">
        <v>1098</v>
      </c>
      <c r="L436" s="119">
        <v>10400</v>
      </c>
      <c r="M436" s="119" t="s">
        <v>1718</v>
      </c>
      <c r="N436" s="119">
        <f t="shared" si="807"/>
        <v>0</v>
      </c>
      <c r="O436" s="297"/>
      <c r="P436" s="297"/>
      <c r="Q436" s="297"/>
      <c r="R436" s="297"/>
      <c r="S436" s="297"/>
      <c r="T436" s="297"/>
      <c r="U436" s="297"/>
      <c r="V436" s="297"/>
      <c r="W436" s="297"/>
      <c r="X436" s="297"/>
      <c r="Y436" s="297"/>
      <c r="Z436" s="297"/>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5"/>
      <c r="BM436" s="310"/>
      <c r="BN436" s="313"/>
    </row>
    <row r="437" s="118" customFormat="1" ht="33.95" hidden="1" customHeight="1" outlineLevel="5" spans="2:66">
      <c r="B437" s="119" t="s">
        <v>747</v>
      </c>
      <c r="C437" s="120" t="s">
        <v>1728</v>
      </c>
      <c r="D437" s="118" t="s">
        <v>1729</v>
      </c>
      <c r="E437" s="119"/>
      <c r="F437" s="119" t="s">
        <v>1572</v>
      </c>
      <c r="G437" s="119" t="s">
        <v>891</v>
      </c>
      <c r="H437" s="119">
        <f t="shared" si="821"/>
        <v>0</v>
      </c>
      <c r="I437" s="119" t="s">
        <v>1190</v>
      </c>
      <c r="J437" s="297"/>
      <c r="K437" s="119" t="s">
        <v>1098</v>
      </c>
      <c r="L437" s="119">
        <v>700</v>
      </c>
      <c r="M437" s="119" t="s">
        <v>1718</v>
      </c>
      <c r="N437" s="119">
        <f t="shared" si="807"/>
        <v>0</v>
      </c>
      <c r="O437" s="297"/>
      <c r="P437" s="297"/>
      <c r="Q437" s="297"/>
      <c r="R437" s="297"/>
      <c r="S437" s="297"/>
      <c r="T437" s="297"/>
      <c r="U437" s="297"/>
      <c r="V437" s="297"/>
      <c r="W437" s="297"/>
      <c r="X437" s="297"/>
      <c r="Y437" s="297"/>
      <c r="Z437" s="297"/>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5"/>
      <c r="BM437" s="310"/>
      <c r="BN437" s="313"/>
    </row>
    <row r="438" s="118" customFormat="1" ht="33.95" hidden="1" customHeight="1" outlineLevel="5" spans="2:66">
      <c r="B438" s="119" t="s">
        <v>747</v>
      </c>
      <c r="C438" s="120" t="s">
        <v>1730</v>
      </c>
      <c r="D438" s="118" t="s">
        <v>1731</v>
      </c>
      <c r="E438" s="119"/>
      <c r="F438" s="119" t="s">
        <v>1572</v>
      </c>
      <c r="G438" s="119" t="s">
        <v>891</v>
      </c>
      <c r="H438" s="119">
        <f t="shared" si="821"/>
        <v>0</v>
      </c>
      <c r="I438" s="119" t="s">
        <v>1190</v>
      </c>
      <c r="J438" s="297"/>
      <c r="K438" s="119" t="s">
        <v>1725</v>
      </c>
      <c r="L438" s="119">
        <v>2800</v>
      </c>
      <c r="M438" s="119" t="s">
        <v>1099</v>
      </c>
      <c r="N438" s="119">
        <f t="shared" si="807"/>
        <v>0</v>
      </c>
      <c r="O438" s="297"/>
      <c r="P438" s="297"/>
      <c r="Q438" s="297"/>
      <c r="R438" s="297"/>
      <c r="S438" s="297"/>
      <c r="T438" s="297"/>
      <c r="U438" s="297"/>
      <c r="V438" s="297"/>
      <c r="W438" s="297"/>
      <c r="X438" s="297"/>
      <c r="Y438" s="297"/>
      <c r="Z438" s="297"/>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5"/>
      <c r="BM438" s="310"/>
      <c r="BN438" s="313"/>
    </row>
    <row r="439" s="118" customFormat="1" ht="33.95" hidden="1" customHeight="1" outlineLevel="5" spans="2:66">
      <c r="B439" s="119" t="s">
        <v>747</v>
      </c>
      <c r="C439" s="120" t="s">
        <v>1730</v>
      </c>
      <c r="D439" s="118" t="s">
        <v>1732</v>
      </c>
      <c r="E439" s="119" t="s">
        <v>1733</v>
      </c>
      <c r="F439" s="119" t="s">
        <v>1572</v>
      </c>
      <c r="G439" s="119" t="s">
        <v>891</v>
      </c>
      <c r="H439" s="119">
        <f t="shared" si="821"/>
        <v>0</v>
      </c>
      <c r="I439" s="119" t="s">
        <v>1190</v>
      </c>
      <c r="J439" s="297"/>
      <c r="K439" s="119" t="s">
        <v>1725</v>
      </c>
      <c r="L439" s="119">
        <v>6000</v>
      </c>
      <c r="M439" s="119" t="s">
        <v>1718</v>
      </c>
      <c r="N439" s="119">
        <f t="shared" si="807"/>
        <v>0</v>
      </c>
      <c r="O439" s="315"/>
      <c r="P439" s="315"/>
      <c r="Q439" s="315"/>
      <c r="R439" s="315"/>
      <c r="S439" s="315"/>
      <c r="T439" s="315"/>
      <c r="U439" s="315"/>
      <c r="V439" s="315"/>
      <c r="W439" s="315"/>
      <c r="X439" s="315"/>
      <c r="Y439" s="315"/>
      <c r="Z439" s="315"/>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5"/>
      <c r="BM439" s="310"/>
      <c r="BN439" s="313"/>
    </row>
    <row r="440" s="48" customFormat="1" ht="33.95" hidden="1" customHeight="1" outlineLevel="3" collapsed="1" spans="2:66">
      <c r="B440" s="115" t="s">
        <v>742</v>
      </c>
      <c r="C440" s="116" t="s">
        <v>1734</v>
      </c>
      <c r="D440" s="48" t="s">
        <v>1735</v>
      </c>
      <c r="E440" s="115"/>
      <c r="F440" s="115"/>
      <c r="G440" s="115"/>
      <c r="H440" s="115">
        <f>SUM(H441:H445)</f>
        <v>0</v>
      </c>
      <c r="I440" s="115"/>
      <c r="J440" s="115"/>
      <c r="K440" s="115"/>
      <c r="L440" s="115"/>
      <c r="M440" s="115"/>
      <c r="N440" s="304"/>
      <c r="O440" s="287"/>
      <c r="P440" s="287"/>
      <c r="Q440" s="287"/>
      <c r="R440" s="287"/>
      <c r="S440" s="287"/>
      <c r="T440" s="287"/>
      <c r="U440" s="287"/>
      <c r="V440" s="287"/>
      <c r="W440" s="287"/>
      <c r="X440" s="287"/>
      <c r="Y440" s="287"/>
      <c r="Z440" s="287"/>
      <c r="AA440" s="287"/>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4"/>
      <c r="BM440" s="310"/>
      <c r="BN440" s="312"/>
    </row>
    <row r="441" s="118" customFormat="1" ht="33.95" hidden="1" customHeight="1" outlineLevel="4" spans="2:66">
      <c r="B441" s="119" t="s">
        <v>747</v>
      </c>
      <c r="C441" s="120" t="s">
        <v>1736</v>
      </c>
      <c r="D441" s="118" t="s">
        <v>1737</v>
      </c>
      <c r="E441" s="119"/>
      <c r="F441" s="119" t="s">
        <v>1572</v>
      </c>
      <c r="G441" s="119" t="s">
        <v>891</v>
      </c>
      <c r="H441" s="119">
        <f t="shared" ref="H441:H445" si="823">J441*L441</f>
        <v>0</v>
      </c>
      <c r="I441" s="119" t="s">
        <v>1190</v>
      </c>
      <c r="J441" s="297"/>
      <c r="K441" s="119" t="s">
        <v>1343</v>
      </c>
      <c r="L441" s="119">
        <v>23.9300583657588</v>
      </c>
      <c r="M441" s="119" t="s">
        <v>1623</v>
      </c>
      <c r="N441" s="119">
        <f t="shared" ref="N441:N445" si="824">COUNTA(O441:Z441)</f>
        <v>0</v>
      </c>
      <c r="O441" s="316"/>
      <c r="P441" s="316"/>
      <c r="Q441" s="316"/>
      <c r="R441" s="316"/>
      <c r="S441" s="316"/>
      <c r="T441" s="316"/>
      <c r="U441" s="316"/>
      <c r="V441" s="316"/>
      <c r="W441" s="316"/>
      <c r="X441" s="316"/>
      <c r="Y441" s="316"/>
      <c r="Z441" s="316"/>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5"/>
      <c r="BM441" s="310"/>
      <c r="BN441" s="313"/>
    </row>
    <row r="442" s="118" customFormat="1" ht="33.95" hidden="1" customHeight="1" outlineLevel="4" spans="2:66">
      <c r="B442" s="119" t="s">
        <v>747</v>
      </c>
      <c r="C442" s="120" t="s">
        <v>1738</v>
      </c>
      <c r="D442" s="118" t="s">
        <v>1739</v>
      </c>
      <c r="E442" s="119" t="s">
        <v>1740</v>
      </c>
      <c r="F442" s="119" t="s">
        <v>1572</v>
      </c>
      <c r="G442" s="119" t="s">
        <v>891</v>
      </c>
      <c r="H442" s="119">
        <f t="shared" si="823"/>
        <v>0</v>
      </c>
      <c r="I442" s="119" t="s">
        <v>1190</v>
      </c>
      <c r="J442" s="297"/>
      <c r="K442" s="119" t="s">
        <v>1343</v>
      </c>
      <c r="L442" s="119">
        <v>130</v>
      </c>
      <c r="M442" s="119" t="s">
        <v>1623</v>
      </c>
      <c r="N442" s="119">
        <f t="shared" si="824"/>
        <v>0</v>
      </c>
      <c r="O442" s="297"/>
      <c r="P442" s="297"/>
      <c r="Q442" s="297"/>
      <c r="R442" s="297"/>
      <c r="S442" s="297"/>
      <c r="T442" s="297"/>
      <c r="U442" s="297"/>
      <c r="V442" s="297"/>
      <c r="W442" s="297"/>
      <c r="X442" s="297"/>
      <c r="Y442" s="297"/>
      <c r="Z442" s="297"/>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5"/>
      <c r="BM442" s="310"/>
      <c r="BN442" s="313"/>
    </row>
    <row r="443" s="118" customFormat="1" ht="33.95" hidden="1" customHeight="1" outlineLevel="4" spans="2:66">
      <c r="B443" s="119" t="s">
        <v>747</v>
      </c>
      <c r="C443" s="120" t="s">
        <v>1741</v>
      </c>
      <c r="D443" s="118" t="s">
        <v>1742</v>
      </c>
      <c r="E443" s="119"/>
      <c r="F443" s="119" t="s">
        <v>1572</v>
      </c>
      <c r="G443" s="119" t="s">
        <v>891</v>
      </c>
      <c r="H443" s="119">
        <f t="shared" si="823"/>
        <v>0</v>
      </c>
      <c r="I443" s="119" t="s">
        <v>1190</v>
      </c>
      <c r="J443" s="297"/>
      <c r="K443" s="119" t="s">
        <v>1343</v>
      </c>
      <c r="L443" s="119">
        <v>28.7562388818298</v>
      </c>
      <c r="M443" s="119" t="s">
        <v>1623</v>
      </c>
      <c r="N443" s="119">
        <f t="shared" si="824"/>
        <v>0</v>
      </c>
      <c r="O443" s="297"/>
      <c r="P443" s="297"/>
      <c r="Q443" s="297"/>
      <c r="R443" s="297"/>
      <c r="S443" s="297"/>
      <c r="T443" s="297"/>
      <c r="U443" s="297"/>
      <c r="V443" s="297"/>
      <c r="W443" s="297"/>
      <c r="X443" s="297"/>
      <c r="Y443" s="297"/>
      <c r="Z443" s="297"/>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5"/>
      <c r="BM443" s="310"/>
      <c r="BN443" s="313"/>
    </row>
    <row r="444" s="118" customFormat="1" ht="33.95" hidden="1" customHeight="1" outlineLevel="4" spans="2:66">
      <c r="B444" s="119" t="s">
        <v>747</v>
      </c>
      <c r="C444" s="120" t="s">
        <v>1743</v>
      </c>
      <c r="D444" s="118" t="s">
        <v>1744</v>
      </c>
      <c r="E444" s="119"/>
      <c r="F444" s="119" t="s">
        <v>1572</v>
      </c>
      <c r="G444" s="119" t="s">
        <v>891</v>
      </c>
      <c r="H444" s="119">
        <f t="shared" si="823"/>
        <v>0</v>
      </c>
      <c r="I444" s="119" t="s">
        <v>1190</v>
      </c>
      <c r="J444" s="297"/>
      <c r="K444" s="119" t="s">
        <v>1343</v>
      </c>
      <c r="L444" s="119">
        <v>20.8170650529501</v>
      </c>
      <c r="M444" s="119" t="s">
        <v>1623</v>
      </c>
      <c r="N444" s="119">
        <f t="shared" si="824"/>
        <v>0</v>
      </c>
      <c r="O444" s="297"/>
      <c r="P444" s="297"/>
      <c r="Q444" s="297"/>
      <c r="R444" s="297"/>
      <c r="S444" s="297"/>
      <c r="T444" s="297"/>
      <c r="U444" s="297"/>
      <c r="V444" s="297"/>
      <c r="W444" s="297"/>
      <c r="X444" s="297"/>
      <c r="Y444" s="297"/>
      <c r="Z444" s="297"/>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5"/>
      <c r="BM444" s="310"/>
      <c r="BN444" s="313"/>
    </row>
    <row r="445" s="118" customFormat="1" ht="33.95" hidden="1" customHeight="1" outlineLevel="4" spans="2:66">
      <c r="B445" s="119" t="s">
        <v>747</v>
      </c>
      <c r="C445" s="120" t="s">
        <v>1745</v>
      </c>
      <c r="D445" s="118" t="s">
        <v>1746</v>
      </c>
      <c r="E445" s="119"/>
      <c r="F445" s="119" t="s">
        <v>1572</v>
      </c>
      <c r="G445" s="119" t="s">
        <v>891</v>
      </c>
      <c r="H445" s="119">
        <f t="shared" si="823"/>
        <v>0</v>
      </c>
      <c r="I445" s="119" t="s">
        <v>1190</v>
      </c>
      <c r="J445" s="297"/>
      <c r="K445" s="119" t="s">
        <v>1098</v>
      </c>
      <c r="L445" s="119">
        <v>260</v>
      </c>
      <c r="M445" s="119" t="s">
        <v>1718</v>
      </c>
      <c r="N445" s="119">
        <f t="shared" si="824"/>
        <v>0</v>
      </c>
      <c r="O445" s="315"/>
      <c r="P445" s="315"/>
      <c r="Q445" s="315"/>
      <c r="R445" s="315"/>
      <c r="S445" s="315"/>
      <c r="T445" s="315"/>
      <c r="U445" s="315"/>
      <c r="V445" s="315"/>
      <c r="W445" s="315"/>
      <c r="X445" s="315"/>
      <c r="Y445" s="315"/>
      <c r="Z445" s="315"/>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5"/>
      <c r="BM445" s="310"/>
      <c r="BN445" s="313"/>
    </row>
    <row r="446" s="48" customFormat="1" ht="33.95" hidden="1" customHeight="1" outlineLevel="3" collapsed="1" spans="2:66">
      <c r="B446" s="115" t="s">
        <v>742</v>
      </c>
      <c r="C446" s="116" t="s">
        <v>1747</v>
      </c>
      <c r="D446" s="48" t="s">
        <v>1748</v>
      </c>
      <c r="E446" s="115"/>
      <c r="F446" s="115"/>
      <c r="G446" s="115"/>
      <c r="H446" s="115">
        <f>SUM(H447:H460)</f>
        <v>0</v>
      </c>
      <c r="I446" s="115"/>
      <c r="J446" s="115"/>
      <c r="K446" s="115"/>
      <c r="L446" s="115"/>
      <c r="M446" s="115"/>
      <c r="N446" s="304"/>
      <c r="O446" s="287"/>
      <c r="P446" s="287"/>
      <c r="Q446" s="287"/>
      <c r="R446" s="287"/>
      <c r="S446" s="287"/>
      <c r="T446" s="287"/>
      <c r="U446" s="287"/>
      <c r="V446" s="287"/>
      <c r="W446" s="287"/>
      <c r="X446" s="287"/>
      <c r="Y446" s="287"/>
      <c r="Z446" s="287"/>
      <c r="AA446" s="287"/>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4"/>
      <c r="BM446" s="310"/>
      <c r="BN446" s="312"/>
    </row>
    <row r="447" s="118" customFormat="1" ht="33.95" hidden="1" customHeight="1" outlineLevel="5" spans="2:66">
      <c r="B447" s="119" t="s">
        <v>747</v>
      </c>
      <c r="C447" s="120" t="s">
        <v>1749</v>
      </c>
      <c r="D447" s="118" t="s">
        <v>1750</v>
      </c>
      <c r="E447" s="119" t="s">
        <v>1751</v>
      </c>
      <c r="F447" s="119" t="s">
        <v>1572</v>
      </c>
      <c r="G447" s="119" t="s">
        <v>891</v>
      </c>
      <c r="H447" s="119">
        <f t="shared" ref="H447:H459" si="825">J447*L447</f>
        <v>0</v>
      </c>
      <c r="I447" s="119" t="s">
        <v>1190</v>
      </c>
      <c r="J447" s="297"/>
      <c r="K447" s="119" t="s">
        <v>1752</v>
      </c>
      <c r="L447" s="119">
        <v>48</v>
      </c>
      <c r="M447" s="119" t="s">
        <v>1753</v>
      </c>
      <c r="N447" s="119">
        <f t="shared" ref="N447:N459" si="826">COUNTA(O447:Z447)</f>
        <v>0</v>
      </c>
      <c r="O447" s="316"/>
      <c r="P447" s="316"/>
      <c r="Q447" s="316"/>
      <c r="R447" s="316"/>
      <c r="S447" s="316"/>
      <c r="T447" s="316"/>
      <c r="U447" s="316"/>
      <c r="V447" s="316"/>
      <c r="W447" s="316"/>
      <c r="X447" s="316"/>
      <c r="Y447" s="316"/>
      <c r="Z447" s="316"/>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5"/>
      <c r="BM447" s="310"/>
      <c r="BN447" s="313"/>
    </row>
    <row r="448" s="118" customFormat="1" ht="33.95" hidden="1" customHeight="1" outlineLevel="5" spans="2:66">
      <c r="B448" s="119" t="s">
        <v>747</v>
      </c>
      <c r="C448" s="120" t="s">
        <v>1754</v>
      </c>
      <c r="D448" s="118" t="s">
        <v>1755</v>
      </c>
      <c r="E448" s="119" t="s">
        <v>1756</v>
      </c>
      <c r="F448" s="119" t="s">
        <v>1572</v>
      </c>
      <c r="G448" s="119" t="s">
        <v>891</v>
      </c>
      <c r="H448" s="119">
        <f t="shared" si="825"/>
        <v>0</v>
      </c>
      <c r="I448" s="119" t="s">
        <v>1190</v>
      </c>
      <c r="J448" s="297"/>
      <c r="K448" s="119" t="s">
        <v>1752</v>
      </c>
      <c r="L448" s="119">
        <v>338</v>
      </c>
      <c r="M448" s="119" t="s">
        <v>1753</v>
      </c>
      <c r="N448" s="119">
        <f t="shared" si="826"/>
        <v>0</v>
      </c>
      <c r="O448" s="297"/>
      <c r="P448" s="297"/>
      <c r="Q448" s="297"/>
      <c r="R448" s="297"/>
      <c r="S448" s="297"/>
      <c r="T448" s="297"/>
      <c r="U448" s="297"/>
      <c r="V448" s="297"/>
      <c r="W448" s="297"/>
      <c r="X448" s="297"/>
      <c r="Y448" s="297"/>
      <c r="Z448" s="297"/>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5"/>
      <c r="BM448" s="310"/>
      <c r="BN448" s="313"/>
    </row>
    <row r="449" s="118" customFormat="1" ht="33.95" hidden="1" customHeight="1" outlineLevel="5" spans="2:66">
      <c r="B449" s="119" t="s">
        <v>747</v>
      </c>
      <c r="C449" s="120" t="s">
        <v>1757</v>
      </c>
      <c r="D449" s="118" t="s">
        <v>1758</v>
      </c>
      <c r="E449" s="119" t="s">
        <v>1759</v>
      </c>
      <c r="F449" s="119" t="s">
        <v>1572</v>
      </c>
      <c r="G449" s="119" t="s">
        <v>891</v>
      </c>
      <c r="H449" s="119">
        <f t="shared" si="825"/>
        <v>0</v>
      </c>
      <c r="I449" s="119" t="s">
        <v>1190</v>
      </c>
      <c r="J449" s="297"/>
      <c r="K449" s="119" t="s">
        <v>1343</v>
      </c>
      <c r="L449" s="119">
        <v>190</v>
      </c>
      <c r="M449" s="119" t="s">
        <v>1623</v>
      </c>
      <c r="N449" s="119">
        <f t="shared" si="826"/>
        <v>0</v>
      </c>
      <c r="O449" s="297"/>
      <c r="P449" s="297"/>
      <c r="Q449" s="297"/>
      <c r="R449" s="297"/>
      <c r="S449" s="297"/>
      <c r="T449" s="297"/>
      <c r="U449" s="297"/>
      <c r="V449" s="297"/>
      <c r="W449" s="297"/>
      <c r="X449" s="297"/>
      <c r="Y449" s="297"/>
      <c r="Z449" s="297"/>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5"/>
      <c r="BM449" s="310"/>
      <c r="BN449" s="313"/>
    </row>
    <row r="450" s="118" customFormat="1" ht="33.95" hidden="1" customHeight="1" outlineLevel="5" spans="2:66">
      <c r="B450" s="119" t="s">
        <v>747</v>
      </c>
      <c r="C450" s="120" t="s">
        <v>1760</v>
      </c>
      <c r="D450" s="118" t="s">
        <v>1761</v>
      </c>
      <c r="E450" s="119" t="s">
        <v>1762</v>
      </c>
      <c r="F450" s="119" t="s">
        <v>1572</v>
      </c>
      <c r="G450" s="119" t="s">
        <v>891</v>
      </c>
      <c r="H450" s="119">
        <f t="shared" si="825"/>
        <v>0</v>
      </c>
      <c r="I450" s="119" t="s">
        <v>1190</v>
      </c>
      <c r="J450" s="297"/>
      <c r="K450" s="119" t="s">
        <v>1343</v>
      </c>
      <c r="L450" s="119">
        <v>500</v>
      </c>
      <c r="M450" s="119" t="s">
        <v>1623</v>
      </c>
      <c r="N450" s="119">
        <f t="shared" si="826"/>
        <v>0</v>
      </c>
      <c r="O450" s="297"/>
      <c r="P450" s="297"/>
      <c r="Q450" s="297"/>
      <c r="R450" s="297"/>
      <c r="S450" s="297"/>
      <c r="T450" s="297"/>
      <c r="U450" s="297"/>
      <c r="V450" s="297"/>
      <c r="W450" s="297"/>
      <c r="X450" s="297"/>
      <c r="Y450" s="297"/>
      <c r="Z450" s="297"/>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5"/>
      <c r="BM450" s="310"/>
      <c r="BN450" s="313"/>
    </row>
    <row r="451" s="118" customFormat="1" ht="33.95" hidden="1" customHeight="1" outlineLevel="5" spans="2:66">
      <c r="B451" s="119" t="s">
        <v>747</v>
      </c>
      <c r="C451" s="120" t="s">
        <v>1763</v>
      </c>
      <c r="D451" s="118" t="s">
        <v>1764</v>
      </c>
      <c r="E451" s="119" t="s">
        <v>1765</v>
      </c>
      <c r="F451" s="119" t="s">
        <v>1572</v>
      </c>
      <c r="G451" s="119" t="s">
        <v>891</v>
      </c>
      <c r="H451" s="119">
        <f t="shared" si="825"/>
        <v>0</v>
      </c>
      <c r="I451" s="119" t="s">
        <v>1190</v>
      </c>
      <c r="J451" s="297"/>
      <c r="K451" s="119" t="s">
        <v>1343</v>
      </c>
      <c r="L451" s="119">
        <v>80</v>
      </c>
      <c r="M451" s="119" t="s">
        <v>1623</v>
      </c>
      <c r="N451" s="119">
        <f t="shared" si="826"/>
        <v>0</v>
      </c>
      <c r="O451" s="297"/>
      <c r="P451" s="297"/>
      <c r="Q451" s="297"/>
      <c r="R451" s="297"/>
      <c r="S451" s="297"/>
      <c r="T451" s="297"/>
      <c r="U451" s="297"/>
      <c r="V451" s="297"/>
      <c r="W451" s="297"/>
      <c r="X451" s="297"/>
      <c r="Y451" s="297"/>
      <c r="Z451" s="297"/>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5"/>
      <c r="BM451" s="310"/>
      <c r="BN451" s="313"/>
    </row>
    <row r="452" s="118" customFormat="1" ht="33.95" hidden="1" customHeight="1" outlineLevel="5" spans="2:66">
      <c r="B452" s="119" t="s">
        <v>747</v>
      </c>
      <c r="C452" s="120" t="s">
        <v>1766</v>
      </c>
      <c r="D452" s="118" t="s">
        <v>1767</v>
      </c>
      <c r="E452" s="119" t="s">
        <v>1768</v>
      </c>
      <c r="F452" s="119" t="s">
        <v>1572</v>
      </c>
      <c r="G452" s="119" t="s">
        <v>891</v>
      </c>
      <c r="H452" s="119">
        <f t="shared" si="825"/>
        <v>0</v>
      </c>
      <c r="I452" s="119" t="s">
        <v>1190</v>
      </c>
      <c r="J452" s="297"/>
      <c r="K452" s="119" t="s">
        <v>1343</v>
      </c>
      <c r="L452" s="119">
        <v>10</v>
      </c>
      <c r="M452" s="119" t="s">
        <v>1623</v>
      </c>
      <c r="N452" s="119">
        <f t="shared" si="826"/>
        <v>0</v>
      </c>
      <c r="O452" s="297"/>
      <c r="P452" s="297"/>
      <c r="Q452" s="297"/>
      <c r="R452" s="297"/>
      <c r="S452" s="297"/>
      <c r="T452" s="297"/>
      <c r="U452" s="297"/>
      <c r="V452" s="297"/>
      <c r="W452" s="297"/>
      <c r="X452" s="297"/>
      <c r="Y452" s="297"/>
      <c r="Z452" s="297"/>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5"/>
      <c r="BM452" s="310"/>
      <c r="BN452" s="313"/>
    </row>
    <row r="453" s="118" customFormat="1" ht="33.95" hidden="1" customHeight="1" outlineLevel="5" spans="2:66">
      <c r="B453" s="119" t="s">
        <v>747</v>
      </c>
      <c r="C453" s="120" t="s">
        <v>1769</v>
      </c>
      <c r="D453" s="118" t="s">
        <v>1770</v>
      </c>
      <c r="E453" s="119" t="s">
        <v>1771</v>
      </c>
      <c r="F453" s="119" t="s">
        <v>1572</v>
      </c>
      <c r="G453" s="119" t="s">
        <v>891</v>
      </c>
      <c r="H453" s="119">
        <f t="shared" si="825"/>
        <v>0</v>
      </c>
      <c r="I453" s="119" t="s">
        <v>1190</v>
      </c>
      <c r="J453" s="297"/>
      <c r="K453" s="119" t="s">
        <v>1707</v>
      </c>
      <c r="L453" s="119">
        <v>37</v>
      </c>
      <c r="M453" s="119" t="s">
        <v>1708</v>
      </c>
      <c r="N453" s="119">
        <f t="shared" si="826"/>
        <v>0</v>
      </c>
      <c r="O453" s="297"/>
      <c r="P453" s="297"/>
      <c r="Q453" s="297"/>
      <c r="R453" s="297"/>
      <c r="S453" s="297"/>
      <c r="T453" s="297"/>
      <c r="U453" s="297"/>
      <c r="V453" s="297"/>
      <c r="W453" s="297"/>
      <c r="X453" s="297"/>
      <c r="Y453" s="297"/>
      <c r="Z453" s="297"/>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5"/>
      <c r="BM453" s="310"/>
      <c r="BN453" s="313"/>
    </row>
    <row r="454" s="118" customFormat="1" ht="33.95" hidden="1" customHeight="1" outlineLevel="5" spans="2:66">
      <c r="B454" s="119" t="s">
        <v>747</v>
      </c>
      <c r="C454" s="120" t="s">
        <v>1772</v>
      </c>
      <c r="D454" s="118" t="s">
        <v>1773</v>
      </c>
      <c r="E454" s="119" t="s">
        <v>1774</v>
      </c>
      <c r="F454" s="119" t="s">
        <v>1572</v>
      </c>
      <c r="G454" s="119" t="s">
        <v>891</v>
      </c>
      <c r="H454" s="119">
        <f t="shared" si="825"/>
        <v>0</v>
      </c>
      <c r="I454" s="119" t="s">
        <v>1190</v>
      </c>
      <c r="J454" s="297"/>
      <c r="K454" s="119" t="s">
        <v>1244</v>
      </c>
      <c r="L454" s="119">
        <v>25</v>
      </c>
      <c r="M454" s="119" t="s">
        <v>1775</v>
      </c>
      <c r="N454" s="119">
        <f t="shared" si="826"/>
        <v>0</v>
      </c>
      <c r="O454" s="297"/>
      <c r="P454" s="297"/>
      <c r="Q454" s="297"/>
      <c r="R454" s="297"/>
      <c r="S454" s="297"/>
      <c r="T454" s="297"/>
      <c r="U454" s="297"/>
      <c r="V454" s="297"/>
      <c r="W454" s="297"/>
      <c r="X454" s="297"/>
      <c r="Y454" s="297"/>
      <c r="Z454" s="297"/>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5"/>
      <c r="BM454" s="310"/>
      <c r="BN454" s="313"/>
    </row>
    <row r="455" s="118" customFormat="1" ht="33.95" hidden="1" customHeight="1" outlineLevel="5" spans="2:66">
      <c r="B455" s="119" t="s">
        <v>747</v>
      </c>
      <c r="C455" s="120" t="s">
        <v>1776</v>
      </c>
      <c r="D455" s="118" t="s">
        <v>1777</v>
      </c>
      <c r="E455" s="119" t="s">
        <v>1778</v>
      </c>
      <c r="F455" s="119" t="s">
        <v>1572</v>
      </c>
      <c r="G455" s="119" t="s">
        <v>891</v>
      </c>
      <c r="H455" s="119">
        <f t="shared" si="825"/>
        <v>0</v>
      </c>
      <c r="I455" s="119" t="s">
        <v>1190</v>
      </c>
      <c r="J455" s="297"/>
      <c r="K455" s="119" t="s">
        <v>1779</v>
      </c>
      <c r="L455" s="119">
        <v>9</v>
      </c>
      <c r="M455" s="119" t="s">
        <v>1780</v>
      </c>
      <c r="N455" s="119">
        <f t="shared" si="826"/>
        <v>0</v>
      </c>
      <c r="O455" s="297"/>
      <c r="P455" s="297"/>
      <c r="Q455" s="297"/>
      <c r="R455" s="297"/>
      <c r="S455" s="297"/>
      <c r="T455" s="297"/>
      <c r="U455" s="297"/>
      <c r="V455" s="297"/>
      <c r="W455" s="297"/>
      <c r="X455" s="297"/>
      <c r="Y455" s="297"/>
      <c r="Z455" s="297"/>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5"/>
      <c r="BM455" s="310"/>
      <c r="BN455" s="313"/>
    </row>
    <row r="456" s="118" customFormat="1" ht="33.95" hidden="1" customHeight="1" outlineLevel="5" spans="2:66">
      <c r="B456" s="119" t="s">
        <v>747</v>
      </c>
      <c r="C456" s="120" t="s">
        <v>1781</v>
      </c>
      <c r="D456" s="118" t="s">
        <v>1782</v>
      </c>
      <c r="E456" s="119" t="s">
        <v>1783</v>
      </c>
      <c r="F456" s="119" t="s">
        <v>1572</v>
      </c>
      <c r="G456" s="119" t="s">
        <v>891</v>
      </c>
      <c r="H456" s="119">
        <f t="shared" si="825"/>
        <v>0</v>
      </c>
      <c r="I456" s="119" t="s">
        <v>1190</v>
      </c>
      <c r="J456" s="297"/>
      <c r="K456" s="119" t="s">
        <v>1784</v>
      </c>
      <c r="L456" s="119">
        <v>99</v>
      </c>
      <c r="M456" s="119" t="s">
        <v>1785</v>
      </c>
      <c r="N456" s="119">
        <f t="shared" si="826"/>
        <v>0</v>
      </c>
      <c r="O456" s="297"/>
      <c r="P456" s="297"/>
      <c r="Q456" s="297"/>
      <c r="R456" s="297"/>
      <c r="S456" s="297"/>
      <c r="T456" s="297"/>
      <c r="U456" s="297"/>
      <c r="V456" s="297"/>
      <c r="W456" s="297"/>
      <c r="X456" s="297"/>
      <c r="Y456" s="297"/>
      <c r="Z456" s="297"/>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5"/>
      <c r="BM456" s="310"/>
      <c r="BN456" s="313"/>
    </row>
    <row r="457" s="118" customFormat="1" ht="33.95" hidden="1" customHeight="1" outlineLevel="5" spans="2:66">
      <c r="B457" s="119" t="s">
        <v>747</v>
      </c>
      <c r="C457" s="120" t="s">
        <v>1786</v>
      </c>
      <c r="D457" s="118" t="s">
        <v>1787</v>
      </c>
      <c r="E457" s="119" t="s">
        <v>1788</v>
      </c>
      <c r="F457" s="119" t="s">
        <v>1572</v>
      </c>
      <c r="G457" s="119" t="s">
        <v>891</v>
      </c>
      <c r="H457" s="119">
        <f t="shared" si="825"/>
        <v>0</v>
      </c>
      <c r="I457" s="119" t="s">
        <v>1190</v>
      </c>
      <c r="J457" s="297"/>
      <c r="K457" s="119" t="s">
        <v>1784</v>
      </c>
      <c r="L457" s="119">
        <v>120</v>
      </c>
      <c r="M457" s="119" t="s">
        <v>1785</v>
      </c>
      <c r="N457" s="119">
        <f t="shared" si="826"/>
        <v>0</v>
      </c>
      <c r="O457" s="297"/>
      <c r="P457" s="297"/>
      <c r="Q457" s="297"/>
      <c r="R457" s="297"/>
      <c r="S457" s="297"/>
      <c r="T457" s="297"/>
      <c r="U457" s="297"/>
      <c r="V457" s="297"/>
      <c r="W457" s="297"/>
      <c r="X457" s="297"/>
      <c r="Y457" s="297"/>
      <c r="Z457" s="297"/>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5"/>
      <c r="BM457" s="310"/>
      <c r="BN457" s="313"/>
    </row>
    <row r="458" s="118" customFormat="1" ht="33.95" hidden="1" customHeight="1" outlineLevel="5" spans="2:66">
      <c r="B458" s="119" t="s">
        <v>747</v>
      </c>
      <c r="C458" s="120" t="s">
        <v>1789</v>
      </c>
      <c r="D458" s="118" t="s">
        <v>1790</v>
      </c>
      <c r="E458" s="119" t="s">
        <v>1791</v>
      </c>
      <c r="F458" s="119" t="s">
        <v>1572</v>
      </c>
      <c r="G458" s="119" t="s">
        <v>891</v>
      </c>
      <c r="H458" s="119">
        <f t="shared" si="825"/>
        <v>0</v>
      </c>
      <c r="I458" s="119" t="s">
        <v>1190</v>
      </c>
      <c r="J458" s="297"/>
      <c r="K458" s="119" t="s">
        <v>1784</v>
      </c>
      <c r="L458" s="119">
        <v>350</v>
      </c>
      <c r="M458" s="119" t="s">
        <v>1785</v>
      </c>
      <c r="N458" s="119">
        <f t="shared" si="826"/>
        <v>0</v>
      </c>
      <c r="O458" s="297"/>
      <c r="P458" s="297"/>
      <c r="Q458" s="297"/>
      <c r="R458" s="297"/>
      <c r="S458" s="297"/>
      <c r="T458" s="297"/>
      <c r="U458" s="297"/>
      <c r="V458" s="297"/>
      <c r="W458" s="297"/>
      <c r="X458" s="297"/>
      <c r="Y458" s="297"/>
      <c r="Z458" s="297"/>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5"/>
      <c r="BM458" s="310"/>
      <c r="BN458" s="313"/>
    </row>
    <row r="459" s="118" customFormat="1" ht="33.95" hidden="1" customHeight="1" outlineLevel="5" spans="2:66">
      <c r="B459" s="119" t="s">
        <v>747</v>
      </c>
      <c r="C459" s="120" t="s">
        <v>1792</v>
      </c>
      <c r="D459" s="118" t="s">
        <v>1793</v>
      </c>
      <c r="E459" s="119" t="s">
        <v>1794</v>
      </c>
      <c r="F459" s="119" t="s">
        <v>1572</v>
      </c>
      <c r="G459" s="119" t="s">
        <v>891</v>
      </c>
      <c r="H459" s="119">
        <f t="shared" si="825"/>
        <v>0</v>
      </c>
      <c r="I459" s="119" t="s">
        <v>1190</v>
      </c>
      <c r="J459" s="297"/>
      <c r="K459" s="119" t="s">
        <v>1795</v>
      </c>
      <c r="L459" s="119">
        <v>10</v>
      </c>
      <c r="M459" s="119" t="s">
        <v>1796</v>
      </c>
      <c r="N459" s="119">
        <f t="shared" si="826"/>
        <v>0</v>
      </c>
      <c r="O459" s="315"/>
      <c r="P459" s="315"/>
      <c r="Q459" s="315"/>
      <c r="R459" s="315"/>
      <c r="S459" s="315"/>
      <c r="T459" s="315"/>
      <c r="U459" s="315"/>
      <c r="V459" s="315"/>
      <c r="W459" s="315"/>
      <c r="X459" s="315"/>
      <c r="Y459" s="315"/>
      <c r="Z459" s="315"/>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5"/>
      <c r="BM459" s="310"/>
      <c r="BN459" s="313"/>
    </row>
    <row r="460" s="118" customFormat="1" ht="33.95" hidden="1" customHeight="1" outlineLevel="4" spans="2:66">
      <c r="B460" s="119" t="s">
        <v>747</v>
      </c>
      <c r="C460" s="120" t="s">
        <v>1797</v>
      </c>
      <c r="D460" s="118" t="s">
        <v>1798</v>
      </c>
      <c r="E460" s="119"/>
      <c r="F460" s="119"/>
      <c r="G460" s="119" t="s">
        <v>1799</v>
      </c>
      <c r="H460" s="119">
        <f>J460*L460*N460</f>
        <v>0</v>
      </c>
      <c r="I460" s="119" t="s">
        <v>1190</v>
      </c>
      <c r="J460" s="119">
        <v>1</v>
      </c>
      <c r="K460" s="119" t="s">
        <v>1191</v>
      </c>
      <c r="L460" s="297"/>
      <c r="M460" s="119" t="s">
        <v>1192</v>
      </c>
      <c r="N460" s="305">
        <v>12</v>
      </c>
      <c r="O460" s="288"/>
      <c r="P460" s="288"/>
      <c r="Q460" s="288"/>
      <c r="R460" s="288"/>
      <c r="S460" s="288"/>
      <c r="T460" s="288"/>
      <c r="U460" s="288"/>
      <c r="V460" s="288"/>
      <c r="W460" s="288"/>
      <c r="X460" s="288"/>
      <c r="Y460" s="288"/>
      <c r="Z460" s="288"/>
      <c r="AA460" s="288"/>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5"/>
      <c r="BM460" s="310"/>
      <c r="BN460" s="313"/>
    </row>
    <row r="461" s="22" customFormat="1" ht="33.95" hidden="1" customHeight="1" outlineLevel="2" collapsed="1" spans="2:66">
      <c r="B461" s="112" t="s">
        <v>742</v>
      </c>
      <c r="C461" s="113" t="s">
        <v>1800</v>
      </c>
      <c r="D461" s="22" t="s">
        <v>1801</v>
      </c>
      <c r="E461" s="112"/>
      <c r="F461" s="112"/>
      <c r="G461" s="112"/>
      <c r="H461" s="112">
        <f>H462+H468+H477</f>
        <v>0</v>
      </c>
      <c r="I461" s="112"/>
      <c r="J461" s="112"/>
      <c r="K461" s="112"/>
      <c r="L461" s="112"/>
      <c r="M461" s="112"/>
      <c r="N461" s="303"/>
      <c r="O461" s="286"/>
      <c r="P461" s="286"/>
      <c r="Q461" s="286"/>
      <c r="R461" s="286"/>
      <c r="S461" s="286"/>
      <c r="T461" s="286"/>
      <c r="U461" s="286"/>
      <c r="V461" s="286"/>
      <c r="W461" s="286"/>
      <c r="X461" s="286"/>
      <c r="Y461" s="286"/>
      <c r="Z461" s="286"/>
      <c r="AA461" s="286"/>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3"/>
      <c r="BM461" s="310"/>
      <c r="BN461" s="311"/>
    </row>
    <row r="462" s="48" customFormat="1" ht="33.95" hidden="1" customHeight="1" outlineLevel="3" collapsed="1" spans="2:66">
      <c r="B462" s="115" t="s">
        <v>742</v>
      </c>
      <c r="C462" s="116" t="s">
        <v>1802</v>
      </c>
      <c r="D462" s="48" t="s">
        <v>1803</v>
      </c>
      <c r="E462" s="115"/>
      <c r="F462" s="115"/>
      <c r="G462" s="115"/>
      <c r="H462" s="115">
        <f>SUM(H463:H467)</f>
        <v>0</v>
      </c>
      <c r="I462" s="115"/>
      <c r="J462" s="115"/>
      <c r="K462" s="115"/>
      <c r="L462" s="115"/>
      <c r="M462" s="115"/>
      <c r="N462" s="304"/>
      <c r="O462" s="287"/>
      <c r="P462" s="287"/>
      <c r="Q462" s="287"/>
      <c r="R462" s="287"/>
      <c r="S462" s="287"/>
      <c r="T462" s="287"/>
      <c r="U462" s="287"/>
      <c r="V462" s="287"/>
      <c r="W462" s="287"/>
      <c r="X462" s="287"/>
      <c r="Y462" s="287"/>
      <c r="Z462" s="287"/>
      <c r="AA462" s="287"/>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4"/>
      <c r="BM462" s="310"/>
      <c r="BN462" s="312"/>
    </row>
    <row r="463" s="118" customFormat="1" ht="33.95" hidden="1" customHeight="1" outlineLevel="5" spans="2:66">
      <c r="B463" s="119" t="s">
        <v>747</v>
      </c>
      <c r="C463" s="120" t="s">
        <v>1804</v>
      </c>
      <c r="D463" s="118" t="s">
        <v>1805</v>
      </c>
      <c r="E463" s="119"/>
      <c r="F463" s="119" t="s">
        <v>1572</v>
      </c>
      <c r="G463" s="119" t="s">
        <v>891</v>
      </c>
      <c r="H463" s="119">
        <f t="shared" ref="H463:H467" si="842">J463*L463</f>
        <v>0</v>
      </c>
      <c r="I463" s="119" t="s">
        <v>1190</v>
      </c>
      <c r="J463" s="297"/>
      <c r="K463" s="119" t="s">
        <v>1098</v>
      </c>
      <c r="L463" s="119">
        <v>2850</v>
      </c>
      <c r="M463" s="119" t="s">
        <v>1718</v>
      </c>
      <c r="N463" s="119">
        <f t="shared" ref="N463:N467" si="843">COUNTA(O463:Z463)</f>
        <v>0</v>
      </c>
      <c r="O463" s="316"/>
      <c r="P463" s="316"/>
      <c r="Q463" s="316"/>
      <c r="R463" s="316"/>
      <c r="S463" s="316"/>
      <c r="T463" s="316"/>
      <c r="U463" s="316"/>
      <c r="V463" s="316"/>
      <c r="W463" s="316"/>
      <c r="X463" s="316"/>
      <c r="Y463" s="316"/>
      <c r="Z463" s="316"/>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5"/>
      <c r="BM463" s="310"/>
      <c r="BN463" s="313"/>
    </row>
    <row r="464" s="118" customFormat="1" ht="33.95" hidden="1" customHeight="1" outlineLevel="5" spans="2:66">
      <c r="B464" s="119" t="s">
        <v>747</v>
      </c>
      <c r="C464" s="120" t="s">
        <v>1806</v>
      </c>
      <c r="D464" s="118" t="s">
        <v>1807</v>
      </c>
      <c r="E464" s="119"/>
      <c r="F464" s="119" t="s">
        <v>1572</v>
      </c>
      <c r="G464" s="119" t="s">
        <v>891</v>
      </c>
      <c r="H464" s="119">
        <f t="shared" si="842"/>
        <v>0</v>
      </c>
      <c r="I464" s="119" t="s">
        <v>1190</v>
      </c>
      <c r="J464" s="297"/>
      <c r="K464" s="119" t="s">
        <v>1098</v>
      </c>
      <c r="L464" s="119">
        <v>1180</v>
      </c>
      <c r="M464" s="119" t="s">
        <v>1718</v>
      </c>
      <c r="N464" s="119">
        <f t="shared" si="843"/>
        <v>0</v>
      </c>
      <c r="O464" s="297"/>
      <c r="P464" s="297"/>
      <c r="Q464" s="297"/>
      <c r="R464" s="297"/>
      <c r="S464" s="297"/>
      <c r="T464" s="297"/>
      <c r="U464" s="297"/>
      <c r="V464" s="297"/>
      <c r="W464" s="297"/>
      <c r="X464" s="297"/>
      <c r="Y464" s="297"/>
      <c r="Z464" s="297"/>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5"/>
      <c r="BM464" s="310"/>
      <c r="BN464" s="313"/>
    </row>
    <row r="465" s="118" customFormat="1" ht="33.95" hidden="1" customHeight="1" outlineLevel="5" spans="2:66">
      <c r="B465" s="119" t="s">
        <v>747</v>
      </c>
      <c r="C465" s="120" t="s">
        <v>1808</v>
      </c>
      <c r="D465" s="118" t="s">
        <v>1809</v>
      </c>
      <c r="E465" s="119"/>
      <c r="F465" s="119" t="s">
        <v>1572</v>
      </c>
      <c r="G465" s="119" t="s">
        <v>891</v>
      </c>
      <c r="H465" s="119">
        <f t="shared" si="842"/>
        <v>0</v>
      </c>
      <c r="I465" s="119" t="s">
        <v>1190</v>
      </c>
      <c r="J465" s="297"/>
      <c r="K465" s="119" t="s">
        <v>1098</v>
      </c>
      <c r="L465" s="119">
        <v>380</v>
      </c>
      <c r="M465" s="119" t="s">
        <v>1718</v>
      </c>
      <c r="N465" s="119">
        <f t="shared" si="843"/>
        <v>0</v>
      </c>
      <c r="O465" s="297"/>
      <c r="P465" s="297"/>
      <c r="Q465" s="297"/>
      <c r="R465" s="297"/>
      <c r="S465" s="297"/>
      <c r="T465" s="297"/>
      <c r="U465" s="297"/>
      <c r="V465" s="297"/>
      <c r="W465" s="297"/>
      <c r="X465" s="297"/>
      <c r="Y465" s="297"/>
      <c r="Z465" s="297"/>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5"/>
      <c r="BM465" s="310"/>
      <c r="BN465" s="313"/>
    </row>
    <row r="466" s="118" customFormat="1" ht="33.95" hidden="1" customHeight="1" outlineLevel="5" spans="2:66">
      <c r="B466" s="119" t="s">
        <v>747</v>
      </c>
      <c r="C466" s="120" t="s">
        <v>1810</v>
      </c>
      <c r="D466" s="118" t="s">
        <v>1811</v>
      </c>
      <c r="E466" s="119"/>
      <c r="F466" s="119" t="s">
        <v>1572</v>
      </c>
      <c r="G466" s="119" t="s">
        <v>891</v>
      </c>
      <c r="H466" s="119">
        <f t="shared" si="842"/>
        <v>0</v>
      </c>
      <c r="I466" s="119" t="s">
        <v>1190</v>
      </c>
      <c r="J466" s="297"/>
      <c r="K466" s="119" t="s">
        <v>1098</v>
      </c>
      <c r="L466" s="119">
        <v>2330</v>
      </c>
      <c r="M466" s="119" t="s">
        <v>1718</v>
      </c>
      <c r="N466" s="119">
        <f t="shared" si="843"/>
        <v>0</v>
      </c>
      <c r="O466" s="297"/>
      <c r="P466" s="297"/>
      <c r="Q466" s="297"/>
      <c r="R466" s="297"/>
      <c r="S466" s="297"/>
      <c r="T466" s="297"/>
      <c r="U466" s="297"/>
      <c r="V466" s="297"/>
      <c r="W466" s="297"/>
      <c r="X466" s="297"/>
      <c r="Y466" s="297"/>
      <c r="Z466" s="297"/>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5"/>
      <c r="BM466" s="310"/>
      <c r="BN466" s="313"/>
    </row>
    <row r="467" s="118" customFormat="1" ht="33.95" hidden="1" customHeight="1" outlineLevel="5" spans="2:66">
      <c r="B467" s="119" t="s">
        <v>747</v>
      </c>
      <c r="C467" s="120" t="s">
        <v>1812</v>
      </c>
      <c r="D467" s="118" t="s">
        <v>1813</v>
      </c>
      <c r="E467" s="119"/>
      <c r="F467" s="119" t="s">
        <v>1572</v>
      </c>
      <c r="G467" s="119" t="s">
        <v>891</v>
      </c>
      <c r="H467" s="119">
        <f t="shared" si="842"/>
        <v>0</v>
      </c>
      <c r="I467" s="119" t="s">
        <v>1190</v>
      </c>
      <c r="J467" s="297"/>
      <c r="K467" s="119" t="s">
        <v>1098</v>
      </c>
      <c r="L467" s="119">
        <v>2400</v>
      </c>
      <c r="M467" s="119" t="s">
        <v>1718</v>
      </c>
      <c r="N467" s="119">
        <f t="shared" si="843"/>
        <v>0</v>
      </c>
      <c r="O467" s="315"/>
      <c r="P467" s="315"/>
      <c r="Q467" s="315"/>
      <c r="R467" s="315"/>
      <c r="S467" s="315"/>
      <c r="T467" s="315"/>
      <c r="U467" s="315"/>
      <c r="V467" s="315"/>
      <c r="W467" s="315"/>
      <c r="X467" s="315"/>
      <c r="Y467" s="315"/>
      <c r="Z467" s="315"/>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5"/>
      <c r="BM467" s="310"/>
      <c r="BN467" s="313"/>
    </row>
    <row r="468" s="48" customFormat="1" ht="33.95" hidden="1" customHeight="1" outlineLevel="3" collapsed="1" spans="2:66">
      <c r="B468" s="115" t="s">
        <v>742</v>
      </c>
      <c r="C468" s="116" t="s">
        <v>1814</v>
      </c>
      <c r="D468" s="48" t="s">
        <v>1815</v>
      </c>
      <c r="E468" s="115"/>
      <c r="F468" s="115"/>
      <c r="G468" s="115"/>
      <c r="H468" s="115">
        <f>SUM(H469:H476)</f>
        <v>0</v>
      </c>
      <c r="I468" s="115"/>
      <c r="J468" s="115"/>
      <c r="K468" s="115"/>
      <c r="L468" s="115"/>
      <c r="M468" s="115"/>
      <c r="N468" s="304"/>
      <c r="O468" s="287"/>
      <c r="P468" s="287"/>
      <c r="Q468" s="287"/>
      <c r="R468" s="287"/>
      <c r="S468" s="287"/>
      <c r="T468" s="287"/>
      <c r="U468" s="287"/>
      <c r="V468" s="287"/>
      <c r="W468" s="287"/>
      <c r="X468" s="287"/>
      <c r="Y468" s="287"/>
      <c r="Z468" s="287"/>
      <c r="AA468" s="287"/>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4"/>
      <c r="BM468" s="310"/>
      <c r="BN468" s="312"/>
    </row>
    <row r="469" s="118" customFormat="1" ht="33.95" hidden="1" customHeight="1" outlineLevel="5" spans="2:66">
      <c r="B469" s="119" t="s">
        <v>747</v>
      </c>
      <c r="C469" s="120" t="s">
        <v>1816</v>
      </c>
      <c r="D469" s="118" t="s">
        <v>1817</v>
      </c>
      <c r="E469" s="119" t="s">
        <v>1818</v>
      </c>
      <c r="F469" s="119" t="s">
        <v>1572</v>
      </c>
      <c r="G469" s="119" t="s">
        <v>891</v>
      </c>
      <c r="H469" s="119">
        <f t="shared" ref="H469:H475" si="857">J469*L469</f>
        <v>0</v>
      </c>
      <c r="I469" s="119" t="s">
        <v>1190</v>
      </c>
      <c r="J469" s="297"/>
      <c r="K469" s="119" t="s">
        <v>1819</v>
      </c>
      <c r="L469" s="119">
        <v>2.6</v>
      </c>
      <c r="M469" s="119" t="s">
        <v>1820</v>
      </c>
      <c r="N469" s="119">
        <f t="shared" ref="N469:N475" si="858">COUNTA(O469:Z469)</f>
        <v>0</v>
      </c>
      <c r="O469" s="316"/>
      <c r="P469" s="316"/>
      <c r="Q469" s="316"/>
      <c r="R469" s="316"/>
      <c r="S469" s="316"/>
      <c r="T469" s="316"/>
      <c r="U469" s="316"/>
      <c r="V469" s="316"/>
      <c r="W469" s="316"/>
      <c r="X469" s="316"/>
      <c r="Y469" s="316"/>
      <c r="Z469" s="316"/>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5"/>
      <c r="BM469" s="310"/>
      <c r="BN469" s="313"/>
    </row>
    <row r="470" s="118" customFormat="1" ht="33.95" hidden="1" customHeight="1" outlineLevel="5" spans="2:66">
      <c r="B470" s="119" t="s">
        <v>747</v>
      </c>
      <c r="C470" s="120" t="s">
        <v>1821</v>
      </c>
      <c r="D470" s="118" t="s">
        <v>1822</v>
      </c>
      <c r="E470" s="119"/>
      <c r="F470" s="119" t="s">
        <v>1572</v>
      </c>
      <c r="G470" s="119" t="s">
        <v>891</v>
      </c>
      <c r="H470" s="119">
        <f t="shared" si="857"/>
        <v>0</v>
      </c>
      <c r="I470" s="119" t="s">
        <v>1190</v>
      </c>
      <c r="J470" s="297"/>
      <c r="K470" s="119" t="s">
        <v>1819</v>
      </c>
      <c r="L470" s="119">
        <v>2.6</v>
      </c>
      <c r="M470" s="119" t="s">
        <v>1820</v>
      </c>
      <c r="N470" s="119">
        <f t="shared" si="858"/>
        <v>0</v>
      </c>
      <c r="O470" s="297"/>
      <c r="P470" s="297"/>
      <c r="Q470" s="297"/>
      <c r="R470" s="297"/>
      <c r="S470" s="297"/>
      <c r="T470" s="297"/>
      <c r="U470" s="297"/>
      <c r="V470" s="297"/>
      <c r="W470" s="297"/>
      <c r="X470" s="297"/>
      <c r="Y470" s="297"/>
      <c r="Z470" s="297"/>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5"/>
      <c r="BM470" s="310"/>
      <c r="BN470" s="313"/>
    </row>
    <row r="471" s="118" customFormat="1" ht="33.95" hidden="1" customHeight="1" outlineLevel="5" spans="2:66">
      <c r="B471" s="119" t="s">
        <v>747</v>
      </c>
      <c r="C471" s="120" t="s">
        <v>1823</v>
      </c>
      <c r="D471" s="118" t="s">
        <v>1824</v>
      </c>
      <c r="E471" s="119"/>
      <c r="F471" s="119" t="s">
        <v>1572</v>
      </c>
      <c r="G471" s="119" t="s">
        <v>891</v>
      </c>
      <c r="H471" s="119">
        <f t="shared" si="857"/>
        <v>0</v>
      </c>
      <c r="I471" s="119" t="s">
        <v>1190</v>
      </c>
      <c r="J471" s="297"/>
      <c r="K471" s="119" t="s">
        <v>1819</v>
      </c>
      <c r="L471" s="119">
        <v>2.6</v>
      </c>
      <c r="M471" s="119" t="s">
        <v>1820</v>
      </c>
      <c r="N471" s="119">
        <f t="shared" si="858"/>
        <v>0</v>
      </c>
      <c r="O471" s="297"/>
      <c r="P471" s="297"/>
      <c r="Q471" s="297"/>
      <c r="R471" s="297"/>
      <c r="S471" s="297"/>
      <c r="T471" s="297"/>
      <c r="U471" s="297"/>
      <c r="V471" s="297"/>
      <c r="W471" s="297"/>
      <c r="X471" s="297"/>
      <c r="Y471" s="297"/>
      <c r="Z471" s="297"/>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5"/>
      <c r="BM471" s="310"/>
      <c r="BN471" s="313"/>
    </row>
    <row r="472" s="118" customFormat="1" ht="33.95" hidden="1" customHeight="1" outlineLevel="5" spans="2:66">
      <c r="B472" s="119" t="s">
        <v>747</v>
      </c>
      <c r="C472" s="120" t="s">
        <v>1825</v>
      </c>
      <c r="D472" s="118" t="s">
        <v>1826</v>
      </c>
      <c r="E472" s="119" t="s">
        <v>1827</v>
      </c>
      <c r="F472" s="119" t="s">
        <v>1572</v>
      </c>
      <c r="G472" s="119" t="s">
        <v>891</v>
      </c>
      <c r="H472" s="119">
        <f t="shared" si="857"/>
        <v>0</v>
      </c>
      <c r="I472" s="119" t="s">
        <v>1190</v>
      </c>
      <c r="J472" s="297"/>
      <c r="K472" s="119" t="s">
        <v>1828</v>
      </c>
      <c r="L472" s="119">
        <v>40</v>
      </c>
      <c r="M472" s="119" t="s">
        <v>1829</v>
      </c>
      <c r="N472" s="119">
        <f t="shared" si="858"/>
        <v>0</v>
      </c>
      <c r="O472" s="297"/>
      <c r="P472" s="297"/>
      <c r="Q472" s="297"/>
      <c r="R472" s="297"/>
      <c r="S472" s="297"/>
      <c r="T472" s="297"/>
      <c r="U472" s="297"/>
      <c r="V472" s="297"/>
      <c r="W472" s="297"/>
      <c r="X472" s="297"/>
      <c r="Y472" s="297"/>
      <c r="Z472" s="297"/>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5"/>
      <c r="BM472" s="310"/>
      <c r="BN472" s="313"/>
    </row>
    <row r="473" s="118" customFormat="1" ht="33.95" hidden="1" customHeight="1" outlineLevel="5" spans="2:66">
      <c r="B473" s="119" t="s">
        <v>747</v>
      </c>
      <c r="C473" s="120" t="s">
        <v>1830</v>
      </c>
      <c r="D473" s="118" t="s">
        <v>1831</v>
      </c>
      <c r="E473" s="119" t="s">
        <v>1832</v>
      </c>
      <c r="F473" s="119" t="s">
        <v>1572</v>
      </c>
      <c r="G473" s="119" t="s">
        <v>891</v>
      </c>
      <c r="H473" s="119">
        <f t="shared" si="857"/>
        <v>0</v>
      </c>
      <c r="I473" s="119" t="s">
        <v>1190</v>
      </c>
      <c r="J473" s="297"/>
      <c r="K473" s="119" t="s">
        <v>981</v>
      </c>
      <c r="L473" s="119">
        <v>17.33</v>
      </c>
      <c r="M473" s="119" t="s">
        <v>1642</v>
      </c>
      <c r="N473" s="119">
        <f t="shared" si="858"/>
        <v>0</v>
      </c>
      <c r="O473" s="297"/>
      <c r="P473" s="297"/>
      <c r="Q473" s="297"/>
      <c r="R473" s="297"/>
      <c r="S473" s="297"/>
      <c r="T473" s="297"/>
      <c r="U473" s="297"/>
      <c r="V473" s="297"/>
      <c r="W473" s="297"/>
      <c r="X473" s="297"/>
      <c r="Y473" s="297"/>
      <c r="Z473" s="297"/>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5"/>
      <c r="BM473" s="310"/>
      <c r="BN473" s="313"/>
    </row>
    <row r="474" s="118" customFormat="1" ht="33.95" hidden="1" customHeight="1" outlineLevel="5" spans="2:66">
      <c r="B474" s="119" t="s">
        <v>747</v>
      </c>
      <c r="C474" s="120" t="s">
        <v>1833</v>
      </c>
      <c r="D474" s="118" t="s">
        <v>1834</v>
      </c>
      <c r="E474" s="119"/>
      <c r="F474" s="119" t="s">
        <v>1572</v>
      </c>
      <c r="G474" s="119" t="s">
        <v>891</v>
      </c>
      <c r="H474" s="119">
        <f t="shared" si="857"/>
        <v>0</v>
      </c>
      <c r="I474" s="119" t="s">
        <v>1190</v>
      </c>
      <c r="J474" s="297"/>
      <c r="K474" s="119" t="s">
        <v>1835</v>
      </c>
      <c r="L474" s="119">
        <v>7</v>
      </c>
      <c r="M474" s="119" t="s">
        <v>1836</v>
      </c>
      <c r="N474" s="119">
        <f t="shared" si="858"/>
        <v>0</v>
      </c>
      <c r="O474" s="297"/>
      <c r="P474" s="297"/>
      <c r="Q474" s="297"/>
      <c r="R474" s="297"/>
      <c r="S474" s="297"/>
      <c r="T474" s="297"/>
      <c r="U474" s="297"/>
      <c r="V474" s="297"/>
      <c r="W474" s="297"/>
      <c r="X474" s="297"/>
      <c r="Y474" s="297"/>
      <c r="Z474" s="297"/>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5"/>
      <c r="BM474" s="310"/>
      <c r="BN474" s="313"/>
    </row>
    <row r="475" s="118" customFormat="1" ht="33.95" hidden="1" customHeight="1" outlineLevel="5" spans="2:66">
      <c r="B475" s="119" t="s">
        <v>747</v>
      </c>
      <c r="C475" s="120" t="s">
        <v>1837</v>
      </c>
      <c r="D475" s="118" t="s">
        <v>1838</v>
      </c>
      <c r="E475" s="119"/>
      <c r="F475" s="119" t="s">
        <v>1572</v>
      </c>
      <c r="G475" s="119" t="s">
        <v>891</v>
      </c>
      <c r="H475" s="119">
        <f t="shared" si="857"/>
        <v>0</v>
      </c>
      <c r="I475" s="119" t="s">
        <v>1190</v>
      </c>
      <c r="J475" s="297"/>
      <c r="K475" s="119" t="s">
        <v>1835</v>
      </c>
      <c r="L475" s="119">
        <v>1.5</v>
      </c>
      <c r="M475" s="119" t="s">
        <v>1836</v>
      </c>
      <c r="N475" s="119">
        <f t="shared" si="858"/>
        <v>0</v>
      </c>
      <c r="O475" s="315"/>
      <c r="P475" s="315"/>
      <c r="Q475" s="315"/>
      <c r="R475" s="315"/>
      <c r="S475" s="315"/>
      <c r="T475" s="315"/>
      <c r="U475" s="315"/>
      <c r="V475" s="315"/>
      <c r="W475" s="315"/>
      <c r="X475" s="315"/>
      <c r="Y475" s="315"/>
      <c r="Z475" s="315"/>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5"/>
      <c r="BM475" s="310"/>
      <c r="BN475" s="313"/>
    </row>
    <row r="476" s="118" customFormat="1" ht="33.95" hidden="1" customHeight="1" outlineLevel="5" spans="2:66">
      <c r="B476" s="119" t="s">
        <v>747</v>
      </c>
      <c r="C476" s="120" t="s">
        <v>1839</v>
      </c>
      <c r="D476" s="118" t="s">
        <v>1840</v>
      </c>
      <c r="E476" s="119"/>
      <c r="F476" s="119" t="s">
        <v>1572</v>
      </c>
      <c r="G476" s="119" t="s">
        <v>1799</v>
      </c>
      <c r="H476" s="119">
        <f>J476*L476*N476</f>
        <v>0</v>
      </c>
      <c r="I476" s="119" t="s">
        <v>1190</v>
      </c>
      <c r="J476" s="119">
        <v>1</v>
      </c>
      <c r="K476" s="119" t="s">
        <v>1191</v>
      </c>
      <c r="L476" s="297"/>
      <c r="M476" s="119" t="s">
        <v>1192</v>
      </c>
      <c r="N476" s="305">
        <v>12</v>
      </c>
      <c r="O476" s="288"/>
      <c r="P476" s="288"/>
      <c r="Q476" s="288"/>
      <c r="R476" s="288"/>
      <c r="S476" s="288"/>
      <c r="T476" s="288"/>
      <c r="U476" s="288"/>
      <c r="V476" s="288"/>
      <c r="W476" s="288"/>
      <c r="X476" s="288"/>
      <c r="Y476" s="288"/>
      <c r="Z476" s="288"/>
      <c r="AA476" s="288"/>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5"/>
      <c r="BM476" s="310"/>
      <c r="BN476" s="313"/>
    </row>
    <row r="477" s="48" customFormat="1" ht="33.95" hidden="1" customHeight="1" outlineLevel="3" collapsed="1" spans="2:66">
      <c r="B477" s="115" t="s">
        <v>742</v>
      </c>
      <c r="C477" s="116" t="s">
        <v>1841</v>
      </c>
      <c r="D477" s="48" t="s">
        <v>1842</v>
      </c>
      <c r="E477" s="115"/>
      <c r="F477" s="115"/>
      <c r="G477" s="115"/>
      <c r="H477" s="115">
        <f>SUM(H478:H485)</f>
        <v>0</v>
      </c>
      <c r="I477" s="115"/>
      <c r="J477" s="115"/>
      <c r="K477" s="115"/>
      <c r="L477" s="115"/>
      <c r="M477" s="115"/>
      <c r="N477" s="304"/>
      <c r="O477" s="287"/>
      <c r="P477" s="287"/>
      <c r="Q477" s="287"/>
      <c r="R477" s="287"/>
      <c r="S477" s="287"/>
      <c r="T477" s="287"/>
      <c r="U477" s="287"/>
      <c r="V477" s="287"/>
      <c r="W477" s="287"/>
      <c r="X477" s="287"/>
      <c r="Y477" s="287"/>
      <c r="Z477" s="287"/>
      <c r="AA477" s="287"/>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4"/>
      <c r="BM477" s="310"/>
      <c r="BN477" s="312"/>
    </row>
    <row r="478" s="118" customFormat="1" ht="33.95" hidden="1" customHeight="1" outlineLevel="5" spans="2:66">
      <c r="B478" s="119" t="s">
        <v>747</v>
      </c>
      <c r="C478" s="120" t="s">
        <v>1843</v>
      </c>
      <c r="D478" s="118" t="s">
        <v>1844</v>
      </c>
      <c r="E478" s="119" t="s">
        <v>1845</v>
      </c>
      <c r="F478" s="119" t="s">
        <v>1572</v>
      </c>
      <c r="G478" s="119" t="s">
        <v>891</v>
      </c>
      <c r="H478" s="119">
        <f t="shared" ref="H478:H485" si="872">J478*L478</f>
        <v>0</v>
      </c>
      <c r="I478" s="119" t="s">
        <v>1190</v>
      </c>
      <c r="J478" s="297"/>
      <c r="K478" s="119" t="s">
        <v>1795</v>
      </c>
      <c r="L478" s="119">
        <v>40</v>
      </c>
      <c r="M478" s="119" t="s">
        <v>1796</v>
      </c>
      <c r="N478" s="119">
        <f t="shared" ref="N478:N485" si="873">COUNTA(O478:Z478)</f>
        <v>0</v>
      </c>
      <c r="O478" s="316"/>
      <c r="P478" s="316"/>
      <c r="Q478" s="316"/>
      <c r="R478" s="316"/>
      <c r="S478" s="316"/>
      <c r="T478" s="316"/>
      <c r="U478" s="316"/>
      <c r="V478" s="316"/>
      <c r="W478" s="316"/>
      <c r="X478" s="316"/>
      <c r="Y478" s="316"/>
      <c r="Z478" s="316"/>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5"/>
      <c r="BM478" s="310"/>
      <c r="BN478" s="313"/>
    </row>
    <row r="479" s="118" customFormat="1" ht="33.95" hidden="1" customHeight="1" outlineLevel="5" spans="2:66">
      <c r="B479" s="119" t="s">
        <v>747</v>
      </c>
      <c r="C479" s="120" t="s">
        <v>1846</v>
      </c>
      <c r="D479" s="118" t="s">
        <v>1847</v>
      </c>
      <c r="E479" s="119" t="s">
        <v>1848</v>
      </c>
      <c r="F479" s="119" t="s">
        <v>1572</v>
      </c>
      <c r="G479" s="119" t="s">
        <v>891</v>
      </c>
      <c r="H479" s="119">
        <f t="shared" si="872"/>
        <v>0</v>
      </c>
      <c r="I479" s="119" t="s">
        <v>1190</v>
      </c>
      <c r="J479" s="297"/>
      <c r="K479" s="119" t="s">
        <v>1795</v>
      </c>
      <c r="L479" s="119">
        <v>85</v>
      </c>
      <c r="M479" s="119" t="s">
        <v>1796</v>
      </c>
      <c r="N479" s="119">
        <f t="shared" si="873"/>
        <v>0</v>
      </c>
      <c r="O479" s="297"/>
      <c r="P479" s="297"/>
      <c r="Q479" s="297"/>
      <c r="R479" s="297"/>
      <c r="S479" s="297"/>
      <c r="T479" s="297"/>
      <c r="U479" s="297"/>
      <c r="V479" s="297"/>
      <c r="W479" s="297"/>
      <c r="X479" s="297"/>
      <c r="Y479" s="297"/>
      <c r="Z479" s="297"/>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5"/>
      <c r="BM479" s="310"/>
      <c r="BN479" s="313"/>
    </row>
    <row r="480" s="118" customFormat="1" ht="33.95" hidden="1" customHeight="1" outlineLevel="5" spans="2:66">
      <c r="B480" s="119" t="s">
        <v>747</v>
      </c>
      <c r="C480" s="120" t="s">
        <v>1849</v>
      </c>
      <c r="D480" s="118" t="s">
        <v>1850</v>
      </c>
      <c r="E480" s="119" t="s">
        <v>1851</v>
      </c>
      <c r="F480" s="119" t="s">
        <v>1572</v>
      </c>
      <c r="G480" s="119" t="s">
        <v>891</v>
      </c>
      <c r="H480" s="119">
        <f t="shared" si="872"/>
        <v>0</v>
      </c>
      <c r="I480" s="119" t="s">
        <v>1190</v>
      </c>
      <c r="J480" s="297"/>
      <c r="K480" s="119" t="s">
        <v>1779</v>
      </c>
      <c r="L480" s="119">
        <v>190</v>
      </c>
      <c r="M480" s="119" t="s">
        <v>1780</v>
      </c>
      <c r="N480" s="119">
        <f t="shared" si="873"/>
        <v>0</v>
      </c>
      <c r="O480" s="297"/>
      <c r="P480" s="297"/>
      <c r="Q480" s="297"/>
      <c r="R480" s="297"/>
      <c r="S480" s="297"/>
      <c r="T480" s="297"/>
      <c r="U480" s="297"/>
      <c r="V480" s="297"/>
      <c r="W480" s="297"/>
      <c r="X480" s="297"/>
      <c r="Y480" s="297"/>
      <c r="Z480" s="297"/>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5"/>
      <c r="BM480" s="310"/>
      <c r="BN480" s="313"/>
    </row>
    <row r="481" s="118" customFormat="1" ht="33.95" hidden="1" customHeight="1" outlineLevel="5" spans="2:66">
      <c r="B481" s="119" t="s">
        <v>747</v>
      </c>
      <c r="C481" s="120" t="s">
        <v>1852</v>
      </c>
      <c r="D481" s="118" t="s">
        <v>1853</v>
      </c>
      <c r="E481" s="119" t="s">
        <v>1854</v>
      </c>
      <c r="F481" s="119" t="s">
        <v>1572</v>
      </c>
      <c r="G481" s="119" t="s">
        <v>891</v>
      </c>
      <c r="H481" s="119">
        <f t="shared" si="872"/>
        <v>0</v>
      </c>
      <c r="I481" s="119" t="s">
        <v>1190</v>
      </c>
      <c r="J481" s="297"/>
      <c r="K481" s="119" t="s">
        <v>1795</v>
      </c>
      <c r="L481" s="119">
        <v>28</v>
      </c>
      <c r="M481" s="119" t="s">
        <v>1796</v>
      </c>
      <c r="N481" s="119">
        <f t="shared" si="873"/>
        <v>0</v>
      </c>
      <c r="O481" s="297"/>
      <c r="P481" s="297"/>
      <c r="Q481" s="297"/>
      <c r="R481" s="297"/>
      <c r="S481" s="297"/>
      <c r="T481" s="297"/>
      <c r="U481" s="297"/>
      <c r="V481" s="297"/>
      <c r="W481" s="297"/>
      <c r="X481" s="297"/>
      <c r="Y481" s="297"/>
      <c r="Z481" s="297"/>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5"/>
      <c r="BM481" s="310"/>
      <c r="BN481" s="313"/>
    </row>
    <row r="482" s="118" customFormat="1" ht="33.95" hidden="1" customHeight="1" outlineLevel="5" spans="2:66">
      <c r="B482" s="119" t="s">
        <v>747</v>
      </c>
      <c r="C482" s="120" t="s">
        <v>1855</v>
      </c>
      <c r="D482" s="118" t="s">
        <v>1856</v>
      </c>
      <c r="E482" s="119" t="s">
        <v>1857</v>
      </c>
      <c r="F482" s="119" t="s">
        <v>1572</v>
      </c>
      <c r="G482" s="119" t="s">
        <v>891</v>
      </c>
      <c r="H482" s="119">
        <f t="shared" si="872"/>
        <v>0</v>
      </c>
      <c r="I482" s="119" t="s">
        <v>1190</v>
      </c>
      <c r="J482" s="297"/>
      <c r="K482" s="119" t="s">
        <v>1779</v>
      </c>
      <c r="L482" s="119">
        <v>32</v>
      </c>
      <c r="M482" s="119" t="s">
        <v>1780</v>
      </c>
      <c r="N482" s="119">
        <f t="shared" si="873"/>
        <v>0</v>
      </c>
      <c r="O482" s="297"/>
      <c r="P482" s="297"/>
      <c r="Q482" s="297"/>
      <c r="R482" s="297"/>
      <c r="S482" s="297"/>
      <c r="T482" s="297"/>
      <c r="U482" s="297"/>
      <c r="V482" s="297"/>
      <c r="W482" s="297"/>
      <c r="X482" s="297"/>
      <c r="Y482" s="297"/>
      <c r="Z482" s="297"/>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5"/>
      <c r="BM482" s="310"/>
      <c r="BN482" s="313"/>
    </row>
    <row r="483" s="118" customFormat="1" ht="33.95" hidden="1" customHeight="1" outlineLevel="5" spans="2:66">
      <c r="B483" s="119" t="s">
        <v>747</v>
      </c>
      <c r="C483" s="120" t="s">
        <v>1858</v>
      </c>
      <c r="D483" s="118" t="s">
        <v>1859</v>
      </c>
      <c r="E483" s="119" t="s">
        <v>1851</v>
      </c>
      <c r="F483" s="119" t="s">
        <v>1572</v>
      </c>
      <c r="G483" s="119" t="s">
        <v>891</v>
      </c>
      <c r="H483" s="119">
        <f t="shared" si="872"/>
        <v>0</v>
      </c>
      <c r="I483" s="119" t="s">
        <v>1190</v>
      </c>
      <c r="J483" s="297"/>
      <c r="K483" s="119" t="s">
        <v>1779</v>
      </c>
      <c r="L483" s="119">
        <v>180</v>
      </c>
      <c r="M483" s="119" t="s">
        <v>1780</v>
      </c>
      <c r="N483" s="119">
        <f t="shared" si="873"/>
        <v>0</v>
      </c>
      <c r="O483" s="297"/>
      <c r="P483" s="297"/>
      <c r="Q483" s="297"/>
      <c r="R483" s="297"/>
      <c r="S483" s="297"/>
      <c r="T483" s="297"/>
      <c r="U483" s="297"/>
      <c r="V483" s="297"/>
      <c r="W483" s="297"/>
      <c r="X483" s="297"/>
      <c r="Y483" s="297"/>
      <c r="Z483" s="297"/>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5"/>
      <c r="BM483" s="310"/>
      <c r="BN483" s="313"/>
    </row>
    <row r="484" s="118" customFormat="1" ht="33.95" hidden="1" customHeight="1" outlineLevel="5" spans="2:66">
      <c r="B484" s="119" t="s">
        <v>747</v>
      </c>
      <c r="C484" s="120" t="s">
        <v>1860</v>
      </c>
      <c r="D484" s="118" t="s">
        <v>1861</v>
      </c>
      <c r="E484" s="119" t="s">
        <v>1862</v>
      </c>
      <c r="F484" s="119" t="s">
        <v>1572</v>
      </c>
      <c r="G484" s="119" t="s">
        <v>891</v>
      </c>
      <c r="H484" s="119">
        <f t="shared" si="872"/>
        <v>0</v>
      </c>
      <c r="I484" s="119" t="s">
        <v>1190</v>
      </c>
      <c r="J484" s="297"/>
      <c r="K484" s="119" t="s">
        <v>1795</v>
      </c>
      <c r="L484" s="119">
        <v>15</v>
      </c>
      <c r="M484" s="119" t="s">
        <v>1796</v>
      </c>
      <c r="N484" s="119">
        <f t="shared" si="873"/>
        <v>0</v>
      </c>
      <c r="O484" s="297"/>
      <c r="P484" s="297"/>
      <c r="Q484" s="297"/>
      <c r="R484" s="297"/>
      <c r="S484" s="297"/>
      <c r="T484" s="297"/>
      <c r="U484" s="297"/>
      <c r="V484" s="297"/>
      <c r="W484" s="297"/>
      <c r="X484" s="297"/>
      <c r="Y484" s="297"/>
      <c r="Z484" s="297"/>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5"/>
      <c r="BM484" s="310"/>
      <c r="BN484" s="313"/>
    </row>
    <row r="485" s="118" customFormat="1" ht="33.95" hidden="1" customHeight="1" outlineLevel="5" spans="2:66">
      <c r="B485" s="119" t="s">
        <v>747</v>
      </c>
      <c r="C485" s="120" t="s">
        <v>1863</v>
      </c>
      <c r="D485" s="118" t="s">
        <v>1864</v>
      </c>
      <c r="E485" s="119" t="s">
        <v>1865</v>
      </c>
      <c r="F485" s="119" t="s">
        <v>1572</v>
      </c>
      <c r="G485" s="119" t="s">
        <v>891</v>
      </c>
      <c r="H485" s="119">
        <f t="shared" si="872"/>
        <v>0</v>
      </c>
      <c r="I485" s="119" t="s">
        <v>1190</v>
      </c>
      <c r="J485" s="297"/>
      <c r="K485" s="119" t="s">
        <v>1795</v>
      </c>
      <c r="L485" s="119">
        <v>25</v>
      </c>
      <c r="M485" s="119" t="s">
        <v>1796</v>
      </c>
      <c r="N485" s="119">
        <f t="shared" si="873"/>
        <v>0</v>
      </c>
      <c r="O485" s="315"/>
      <c r="P485" s="315"/>
      <c r="Q485" s="315"/>
      <c r="R485" s="315"/>
      <c r="S485" s="315"/>
      <c r="T485" s="315"/>
      <c r="U485" s="315"/>
      <c r="V485" s="315"/>
      <c r="W485" s="315"/>
      <c r="X485" s="315"/>
      <c r="Y485" s="315"/>
      <c r="Z485" s="315"/>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5"/>
      <c r="BM485" s="310"/>
      <c r="BN485" s="313"/>
    </row>
    <row r="486" s="22" customFormat="1" ht="33.95" hidden="1" customHeight="1" outlineLevel="2" collapsed="1" spans="2:66">
      <c r="B486" s="112" t="s">
        <v>742</v>
      </c>
      <c r="C486" s="113" t="s">
        <v>1866</v>
      </c>
      <c r="D486" s="22" t="s">
        <v>1867</v>
      </c>
      <c r="E486" s="112"/>
      <c r="F486" s="112"/>
      <c r="G486" s="112"/>
      <c r="H486" s="112">
        <f>H487+H493</f>
        <v>0</v>
      </c>
      <c r="I486" s="112"/>
      <c r="J486" s="112"/>
      <c r="K486" s="112"/>
      <c r="L486" s="112"/>
      <c r="M486" s="112"/>
      <c r="N486" s="303"/>
      <c r="O486" s="286"/>
      <c r="P486" s="286"/>
      <c r="Q486" s="286"/>
      <c r="R486" s="286"/>
      <c r="S486" s="286"/>
      <c r="T486" s="286"/>
      <c r="U486" s="286"/>
      <c r="V486" s="286"/>
      <c r="W486" s="286"/>
      <c r="X486" s="286"/>
      <c r="Y486" s="286"/>
      <c r="Z486" s="286"/>
      <c r="AA486" s="286"/>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3"/>
      <c r="BM486" s="310"/>
      <c r="BN486" s="311"/>
    </row>
    <row r="487" s="48" customFormat="1" ht="33.95" hidden="1" customHeight="1" outlineLevel="3" collapsed="1" spans="2:66">
      <c r="B487" s="115" t="s">
        <v>742</v>
      </c>
      <c r="C487" s="116" t="s">
        <v>1868</v>
      </c>
      <c r="D487" s="48" t="s">
        <v>1869</v>
      </c>
      <c r="E487" s="115"/>
      <c r="F487" s="115"/>
      <c r="G487" s="115"/>
      <c r="H487" s="115">
        <f>SUM(H488:H492)</f>
        <v>0</v>
      </c>
      <c r="I487" s="115"/>
      <c r="J487" s="115"/>
      <c r="K487" s="115"/>
      <c r="L487" s="115"/>
      <c r="M487" s="115"/>
      <c r="N487" s="304"/>
      <c r="O487" s="287"/>
      <c r="P487" s="287"/>
      <c r="Q487" s="287"/>
      <c r="R487" s="287"/>
      <c r="S487" s="287"/>
      <c r="T487" s="287"/>
      <c r="U487" s="287"/>
      <c r="V487" s="287"/>
      <c r="W487" s="287"/>
      <c r="X487" s="287"/>
      <c r="Y487" s="287"/>
      <c r="Z487" s="287"/>
      <c r="AA487" s="287"/>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4"/>
      <c r="BM487" s="310"/>
      <c r="BN487" s="312"/>
    </row>
    <row r="488" s="118" customFormat="1" ht="33.95" hidden="1" customHeight="1" outlineLevel="5" spans="2:66">
      <c r="B488" s="119" t="s">
        <v>747</v>
      </c>
      <c r="C488" s="120" t="s">
        <v>1870</v>
      </c>
      <c r="D488" s="118" t="s">
        <v>1871</v>
      </c>
      <c r="E488" s="119" t="s">
        <v>1872</v>
      </c>
      <c r="F488" s="119" t="s">
        <v>1572</v>
      </c>
      <c r="G488" s="119" t="s">
        <v>891</v>
      </c>
      <c r="H488" s="119">
        <f t="shared" ref="H488:H492" si="876">J488*L488</f>
        <v>0</v>
      </c>
      <c r="I488" s="119" t="s">
        <v>1190</v>
      </c>
      <c r="J488" s="297"/>
      <c r="K488" s="119" t="s">
        <v>1343</v>
      </c>
      <c r="L488" s="119">
        <v>49</v>
      </c>
      <c r="M488" s="119" t="s">
        <v>1623</v>
      </c>
      <c r="N488" s="119">
        <f t="shared" ref="N488:N492" si="877">COUNTA(O488:Z488)</f>
        <v>0</v>
      </c>
      <c r="O488" s="316"/>
      <c r="P488" s="316"/>
      <c r="Q488" s="316"/>
      <c r="R488" s="316"/>
      <c r="S488" s="316"/>
      <c r="T488" s="316"/>
      <c r="U488" s="316"/>
      <c r="V488" s="316"/>
      <c r="W488" s="316"/>
      <c r="X488" s="316"/>
      <c r="Y488" s="316"/>
      <c r="Z488" s="316"/>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5"/>
      <c r="BM488" s="310"/>
      <c r="BN488" s="313"/>
    </row>
    <row r="489" s="118" customFormat="1" ht="33.95" hidden="1" customHeight="1" outlineLevel="5" spans="2:66">
      <c r="B489" s="119" t="s">
        <v>747</v>
      </c>
      <c r="C489" s="120" t="s">
        <v>1873</v>
      </c>
      <c r="D489" s="118" t="s">
        <v>1874</v>
      </c>
      <c r="E489" s="119" t="s">
        <v>1875</v>
      </c>
      <c r="F489" s="119" t="s">
        <v>1572</v>
      </c>
      <c r="G489" s="119" t="s">
        <v>891</v>
      </c>
      <c r="H489" s="119">
        <f t="shared" si="876"/>
        <v>0</v>
      </c>
      <c r="I489" s="119" t="s">
        <v>1190</v>
      </c>
      <c r="J489" s="297"/>
      <c r="K489" s="119" t="s">
        <v>1343</v>
      </c>
      <c r="L489" s="119">
        <v>42</v>
      </c>
      <c r="M489" s="119" t="s">
        <v>1623</v>
      </c>
      <c r="N489" s="119">
        <f t="shared" si="877"/>
        <v>0</v>
      </c>
      <c r="O489" s="297"/>
      <c r="P489" s="297"/>
      <c r="Q489" s="297"/>
      <c r="R489" s="297"/>
      <c r="S489" s="297"/>
      <c r="T489" s="297"/>
      <c r="U489" s="297"/>
      <c r="V489" s="297"/>
      <c r="W489" s="297"/>
      <c r="X489" s="297"/>
      <c r="Y489" s="297"/>
      <c r="Z489" s="297"/>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5"/>
      <c r="BM489" s="310"/>
      <c r="BN489" s="313"/>
    </row>
    <row r="490" s="118" customFormat="1" ht="33.95" hidden="1" customHeight="1" outlineLevel="5" spans="2:66">
      <c r="B490" s="119" t="s">
        <v>747</v>
      </c>
      <c r="C490" s="120" t="s">
        <v>1876</v>
      </c>
      <c r="D490" s="118" t="s">
        <v>1877</v>
      </c>
      <c r="E490" s="119" t="s">
        <v>1878</v>
      </c>
      <c r="F490" s="119" t="s">
        <v>1572</v>
      </c>
      <c r="G490" s="119" t="s">
        <v>891</v>
      </c>
      <c r="H490" s="119">
        <f t="shared" si="876"/>
        <v>0</v>
      </c>
      <c r="I490" s="119" t="s">
        <v>1190</v>
      </c>
      <c r="J490" s="297"/>
      <c r="K490" s="119" t="s">
        <v>1580</v>
      </c>
      <c r="L490" s="119">
        <v>1262</v>
      </c>
      <c r="M490" s="119" t="s">
        <v>1581</v>
      </c>
      <c r="N490" s="119">
        <f t="shared" si="877"/>
        <v>0</v>
      </c>
      <c r="O490" s="297"/>
      <c r="P490" s="297"/>
      <c r="Q490" s="297"/>
      <c r="R490" s="297"/>
      <c r="S490" s="297"/>
      <c r="T490" s="297"/>
      <c r="U490" s="297"/>
      <c r="V490" s="297"/>
      <c r="W490" s="297"/>
      <c r="X490" s="297"/>
      <c r="Y490" s="297"/>
      <c r="Z490" s="297"/>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5"/>
      <c r="BM490" s="310"/>
      <c r="BN490" s="313"/>
    </row>
    <row r="491" s="118" customFormat="1" ht="33.95" hidden="1" customHeight="1" outlineLevel="5" spans="2:66">
      <c r="B491" s="119" t="s">
        <v>747</v>
      </c>
      <c r="C491" s="120" t="s">
        <v>1879</v>
      </c>
      <c r="D491" s="118" t="s">
        <v>1880</v>
      </c>
      <c r="E491" s="119" t="s">
        <v>1881</v>
      </c>
      <c r="F491" s="119" t="s">
        <v>1572</v>
      </c>
      <c r="G491" s="119" t="s">
        <v>891</v>
      </c>
      <c r="H491" s="119">
        <f t="shared" si="876"/>
        <v>0</v>
      </c>
      <c r="I491" s="119" t="s">
        <v>1190</v>
      </c>
      <c r="J491" s="297"/>
      <c r="K491" s="119" t="s">
        <v>1343</v>
      </c>
      <c r="L491" s="119">
        <v>200</v>
      </c>
      <c r="M491" s="119" t="s">
        <v>1623</v>
      </c>
      <c r="N491" s="119">
        <f t="shared" si="877"/>
        <v>0</v>
      </c>
      <c r="O491" s="297"/>
      <c r="P491" s="297"/>
      <c r="Q491" s="297"/>
      <c r="R491" s="297"/>
      <c r="S491" s="297"/>
      <c r="T491" s="297"/>
      <c r="U491" s="297"/>
      <c r="V491" s="297"/>
      <c r="W491" s="297"/>
      <c r="X491" s="297"/>
      <c r="Y491" s="297"/>
      <c r="Z491" s="297"/>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5"/>
      <c r="BM491" s="310"/>
      <c r="BN491" s="313"/>
    </row>
    <row r="492" s="118" customFormat="1" ht="33.95" hidden="1" customHeight="1" outlineLevel="5" spans="2:66">
      <c r="B492" s="119" t="s">
        <v>747</v>
      </c>
      <c r="C492" s="120" t="s">
        <v>1882</v>
      </c>
      <c r="D492" s="118" t="s">
        <v>1883</v>
      </c>
      <c r="E492" s="119"/>
      <c r="F492" s="119" t="s">
        <v>1572</v>
      </c>
      <c r="G492" s="119" t="s">
        <v>891</v>
      </c>
      <c r="H492" s="119">
        <f t="shared" si="876"/>
        <v>0</v>
      </c>
      <c r="I492" s="119" t="s">
        <v>1190</v>
      </c>
      <c r="J492" s="297"/>
      <c r="K492" s="119" t="s">
        <v>1343</v>
      </c>
      <c r="L492" s="119">
        <v>30</v>
      </c>
      <c r="M492" s="119" t="s">
        <v>1623</v>
      </c>
      <c r="N492" s="119">
        <f t="shared" si="877"/>
        <v>0</v>
      </c>
      <c r="O492" s="315"/>
      <c r="P492" s="315"/>
      <c r="Q492" s="315"/>
      <c r="R492" s="315"/>
      <c r="S492" s="315"/>
      <c r="T492" s="315"/>
      <c r="U492" s="315"/>
      <c r="V492" s="315"/>
      <c r="W492" s="315"/>
      <c r="X492" s="315"/>
      <c r="Y492" s="315"/>
      <c r="Z492" s="315"/>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5"/>
      <c r="BM492" s="310"/>
      <c r="BN492" s="313"/>
    </row>
    <row r="493" s="48" customFormat="1" ht="33.95" hidden="1" customHeight="1" outlineLevel="3" collapsed="1" spans="2:66">
      <c r="B493" s="115" t="s">
        <v>742</v>
      </c>
      <c r="C493" s="116" t="s">
        <v>1884</v>
      </c>
      <c r="D493" s="48" t="s">
        <v>1885</v>
      </c>
      <c r="E493" s="115"/>
      <c r="F493" s="115"/>
      <c r="G493" s="115"/>
      <c r="H493" s="115">
        <f>SUM(H494:H501)</f>
        <v>0</v>
      </c>
      <c r="I493" s="115"/>
      <c r="J493" s="115"/>
      <c r="K493" s="115"/>
      <c r="L493" s="115"/>
      <c r="M493" s="115"/>
      <c r="N493" s="304"/>
      <c r="O493" s="287"/>
      <c r="P493" s="287"/>
      <c r="Q493" s="287"/>
      <c r="R493" s="287"/>
      <c r="S493" s="287"/>
      <c r="T493" s="287"/>
      <c r="U493" s="287"/>
      <c r="V493" s="287"/>
      <c r="W493" s="287"/>
      <c r="X493" s="287"/>
      <c r="Y493" s="287"/>
      <c r="Z493" s="287"/>
      <c r="AA493" s="287"/>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4"/>
      <c r="BM493" s="310"/>
      <c r="BN493" s="312"/>
    </row>
    <row r="494" s="118" customFormat="1" ht="33.95" hidden="1" customHeight="1" outlineLevel="5" spans="2:66">
      <c r="B494" s="119" t="s">
        <v>747</v>
      </c>
      <c r="C494" s="120" t="s">
        <v>1886</v>
      </c>
      <c r="D494" s="118" t="s">
        <v>1887</v>
      </c>
      <c r="E494" s="119"/>
      <c r="F494" s="119" t="s">
        <v>1572</v>
      </c>
      <c r="G494" s="119" t="s">
        <v>891</v>
      </c>
      <c r="H494" s="119">
        <f t="shared" ref="H494:H501" si="878">J494*L494</f>
        <v>0</v>
      </c>
      <c r="I494" s="119" t="s">
        <v>1190</v>
      </c>
      <c r="J494" s="297"/>
      <c r="K494" s="119" t="s">
        <v>1343</v>
      </c>
      <c r="L494" s="119">
        <v>22</v>
      </c>
      <c r="M494" s="119" t="s">
        <v>1623</v>
      </c>
      <c r="N494" s="119">
        <f t="shared" ref="N494:N501" si="879">COUNTA(O494:Z494)</f>
        <v>0</v>
      </c>
      <c r="O494" s="316"/>
      <c r="P494" s="316"/>
      <c r="Q494" s="316"/>
      <c r="R494" s="316"/>
      <c r="S494" s="316"/>
      <c r="T494" s="316"/>
      <c r="U494" s="316"/>
      <c r="V494" s="316"/>
      <c r="W494" s="316"/>
      <c r="X494" s="316"/>
      <c r="Y494" s="316"/>
      <c r="Z494" s="316"/>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5"/>
      <c r="BM494" s="310"/>
      <c r="BN494" s="313"/>
    </row>
    <row r="495" s="118" customFormat="1" ht="33.95" hidden="1" customHeight="1" outlineLevel="5" spans="2:66">
      <c r="B495" s="119" t="s">
        <v>747</v>
      </c>
      <c r="C495" s="120" t="s">
        <v>1888</v>
      </c>
      <c r="D495" s="118" t="s">
        <v>1889</v>
      </c>
      <c r="E495" s="119" t="s">
        <v>1890</v>
      </c>
      <c r="F495" s="119" t="s">
        <v>1572</v>
      </c>
      <c r="G495" s="119" t="s">
        <v>891</v>
      </c>
      <c r="H495" s="119">
        <f t="shared" si="878"/>
        <v>0</v>
      </c>
      <c r="I495" s="119" t="s">
        <v>1190</v>
      </c>
      <c r="J495" s="297"/>
      <c r="K495" s="119" t="s">
        <v>1343</v>
      </c>
      <c r="L495" s="119">
        <v>25</v>
      </c>
      <c r="M495" s="119" t="s">
        <v>1623</v>
      </c>
      <c r="N495" s="119">
        <f t="shared" si="879"/>
        <v>0</v>
      </c>
      <c r="O495" s="297"/>
      <c r="P495" s="297"/>
      <c r="Q495" s="297"/>
      <c r="R495" s="297"/>
      <c r="S495" s="297"/>
      <c r="T495" s="297"/>
      <c r="U495" s="297"/>
      <c r="V495" s="297"/>
      <c r="W495" s="297"/>
      <c r="X495" s="297"/>
      <c r="Y495" s="297"/>
      <c r="Z495" s="297"/>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5"/>
      <c r="BM495" s="310"/>
      <c r="BN495" s="313"/>
    </row>
    <row r="496" s="118" customFormat="1" ht="33.95" hidden="1" customHeight="1" outlineLevel="5" spans="2:66">
      <c r="B496" s="119" t="s">
        <v>747</v>
      </c>
      <c r="C496" s="120" t="s">
        <v>1891</v>
      </c>
      <c r="D496" s="118" t="s">
        <v>1892</v>
      </c>
      <c r="E496" s="119"/>
      <c r="F496" s="119" t="s">
        <v>1572</v>
      </c>
      <c r="G496" s="119" t="s">
        <v>891</v>
      </c>
      <c r="H496" s="119">
        <f t="shared" si="878"/>
        <v>0</v>
      </c>
      <c r="I496" s="119" t="s">
        <v>1190</v>
      </c>
      <c r="J496" s="297"/>
      <c r="K496" s="119" t="s">
        <v>1343</v>
      </c>
      <c r="L496" s="119">
        <v>16</v>
      </c>
      <c r="M496" s="119" t="s">
        <v>1623</v>
      </c>
      <c r="N496" s="119">
        <f t="shared" si="879"/>
        <v>0</v>
      </c>
      <c r="O496" s="297"/>
      <c r="P496" s="297"/>
      <c r="Q496" s="297"/>
      <c r="R496" s="297"/>
      <c r="S496" s="297"/>
      <c r="T496" s="297"/>
      <c r="U496" s="297"/>
      <c r="V496" s="297"/>
      <c r="W496" s="297"/>
      <c r="X496" s="297"/>
      <c r="Y496" s="297"/>
      <c r="Z496" s="297"/>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5"/>
      <c r="BM496" s="310"/>
      <c r="BN496" s="313"/>
    </row>
    <row r="497" s="118" customFormat="1" ht="33.95" hidden="1" customHeight="1" outlineLevel="5" spans="2:66">
      <c r="B497" s="119" t="s">
        <v>747</v>
      </c>
      <c r="C497" s="120" t="s">
        <v>1893</v>
      </c>
      <c r="D497" s="118" t="s">
        <v>1894</v>
      </c>
      <c r="E497" s="119"/>
      <c r="F497" s="119" t="s">
        <v>1572</v>
      </c>
      <c r="G497" s="119" t="s">
        <v>891</v>
      </c>
      <c r="H497" s="119">
        <f t="shared" si="878"/>
        <v>0</v>
      </c>
      <c r="I497" s="119" t="s">
        <v>1190</v>
      </c>
      <c r="J497" s="297"/>
      <c r="K497" s="119" t="s">
        <v>1580</v>
      </c>
      <c r="L497" s="119">
        <v>277</v>
      </c>
      <c r="M497" s="119" t="s">
        <v>1581</v>
      </c>
      <c r="N497" s="119">
        <f t="shared" si="879"/>
        <v>0</v>
      </c>
      <c r="O497" s="297"/>
      <c r="P497" s="297"/>
      <c r="Q497" s="297"/>
      <c r="R497" s="297"/>
      <c r="S497" s="297"/>
      <c r="T497" s="297"/>
      <c r="U497" s="297"/>
      <c r="V497" s="297"/>
      <c r="W497" s="297"/>
      <c r="X497" s="297"/>
      <c r="Y497" s="297"/>
      <c r="Z497" s="297"/>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5"/>
      <c r="BM497" s="310"/>
      <c r="BN497" s="313"/>
    </row>
    <row r="498" s="118" customFormat="1" ht="33.95" hidden="1" customHeight="1" outlineLevel="5" spans="2:66">
      <c r="B498" s="119" t="s">
        <v>747</v>
      </c>
      <c r="C498" s="120" t="s">
        <v>1895</v>
      </c>
      <c r="D498" s="118" t="s">
        <v>1896</v>
      </c>
      <c r="E498" s="119"/>
      <c r="F498" s="119" t="s">
        <v>1572</v>
      </c>
      <c r="G498" s="119" t="s">
        <v>891</v>
      </c>
      <c r="H498" s="119">
        <f t="shared" si="878"/>
        <v>0</v>
      </c>
      <c r="I498" s="119" t="s">
        <v>1190</v>
      </c>
      <c r="J498" s="297"/>
      <c r="K498" s="119" t="s">
        <v>1897</v>
      </c>
      <c r="L498" s="119">
        <v>21</v>
      </c>
      <c r="M498" s="119" t="s">
        <v>1898</v>
      </c>
      <c r="N498" s="119">
        <f t="shared" si="879"/>
        <v>0</v>
      </c>
      <c r="O498" s="297"/>
      <c r="P498" s="297"/>
      <c r="Q498" s="297"/>
      <c r="R498" s="297"/>
      <c r="S498" s="297"/>
      <c r="T498" s="297"/>
      <c r="U498" s="297"/>
      <c r="V498" s="297"/>
      <c r="W498" s="297"/>
      <c r="X498" s="297"/>
      <c r="Y498" s="297"/>
      <c r="Z498" s="297"/>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5"/>
      <c r="BM498" s="310"/>
      <c r="BN498" s="313"/>
    </row>
    <row r="499" s="118" customFormat="1" ht="33.95" hidden="1" customHeight="1" outlineLevel="5" spans="2:66">
      <c r="B499" s="119" t="s">
        <v>747</v>
      </c>
      <c r="C499" s="120" t="s">
        <v>1899</v>
      </c>
      <c r="D499" s="118" t="s">
        <v>1900</v>
      </c>
      <c r="E499" s="119" t="s">
        <v>1901</v>
      </c>
      <c r="F499" s="119" t="s">
        <v>1572</v>
      </c>
      <c r="G499" s="119" t="s">
        <v>891</v>
      </c>
      <c r="H499" s="119">
        <f t="shared" si="878"/>
        <v>0</v>
      </c>
      <c r="I499" s="119" t="s">
        <v>1190</v>
      </c>
      <c r="J499" s="297"/>
      <c r="K499" s="119" t="s">
        <v>1702</v>
      </c>
      <c r="L499" s="119">
        <v>375</v>
      </c>
      <c r="M499" s="119" t="s">
        <v>1703</v>
      </c>
      <c r="N499" s="119">
        <f t="shared" si="879"/>
        <v>0</v>
      </c>
      <c r="O499" s="297"/>
      <c r="P499" s="297"/>
      <c r="Q499" s="297"/>
      <c r="R499" s="297"/>
      <c r="S499" s="297"/>
      <c r="T499" s="297"/>
      <c r="U499" s="297"/>
      <c r="V499" s="297"/>
      <c r="W499" s="297"/>
      <c r="X499" s="297"/>
      <c r="Y499" s="297"/>
      <c r="Z499" s="297"/>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5"/>
      <c r="BM499" s="310"/>
      <c r="BN499" s="313"/>
    </row>
    <row r="500" s="118" customFormat="1" ht="33.95" hidden="1" customHeight="1" outlineLevel="5" spans="2:66">
      <c r="B500" s="119" t="s">
        <v>747</v>
      </c>
      <c r="C500" s="120" t="s">
        <v>1902</v>
      </c>
      <c r="D500" s="118" t="s">
        <v>1903</v>
      </c>
      <c r="E500" s="119" t="s">
        <v>1904</v>
      </c>
      <c r="F500" s="119" t="s">
        <v>1572</v>
      </c>
      <c r="G500" s="119" t="s">
        <v>891</v>
      </c>
      <c r="H500" s="119">
        <f t="shared" si="878"/>
        <v>0</v>
      </c>
      <c r="I500" s="119" t="s">
        <v>1190</v>
      </c>
      <c r="J500" s="297"/>
      <c r="K500" s="119" t="s">
        <v>1702</v>
      </c>
      <c r="L500" s="119">
        <v>95</v>
      </c>
      <c r="M500" s="119" t="s">
        <v>1703</v>
      </c>
      <c r="N500" s="119">
        <f t="shared" si="879"/>
        <v>0</v>
      </c>
      <c r="O500" s="297"/>
      <c r="P500" s="297"/>
      <c r="Q500" s="297"/>
      <c r="R500" s="297"/>
      <c r="S500" s="297"/>
      <c r="T500" s="297"/>
      <c r="U500" s="297"/>
      <c r="V500" s="297"/>
      <c r="W500" s="297"/>
      <c r="X500" s="297"/>
      <c r="Y500" s="297"/>
      <c r="Z500" s="297"/>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5"/>
      <c r="BM500" s="310"/>
      <c r="BN500" s="313"/>
    </row>
    <row r="501" s="118" customFormat="1" ht="33.95" hidden="1" customHeight="1" outlineLevel="5" spans="2:66">
      <c r="B501" s="119" t="s">
        <v>747</v>
      </c>
      <c r="C501" s="120" t="s">
        <v>1905</v>
      </c>
      <c r="D501" s="118" t="s">
        <v>1906</v>
      </c>
      <c r="E501" s="119"/>
      <c r="F501" s="119" t="s">
        <v>1572</v>
      </c>
      <c r="G501" s="119" t="s">
        <v>891</v>
      </c>
      <c r="H501" s="119">
        <f t="shared" si="878"/>
        <v>0</v>
      </c>
      <c r="I501" s="119" t="s">
        <v>1190</v>
      </c>
      <c r="J501" s="297"/>
      <c r="K501" s="119" t="s">
        <v>1580</v>
      </c>
      <c r="L501" s="119">
        <v>2350</v>
      </c>
      <c r="M501" s="119" t="s">
        <v>1581</v>
      </c>
      <c r="N501" s="119">
        <f t="shared" si="879"/>
        <v>0</v>
      </c>
      <c r="O501" s="315"/>
      <c r="P501" s="315"/>
      <c r="Q501" s="315"/>
      <c r="R501" s="315"/>
      <c r="S501" s="315"/>
      <c r="T501" s="315"/>
      <c r="U501" s="315"/>
      <c r="V501" s="315"/>
      <c r="W501" s="315"/>
      <c r="X501" s="315"/>
      <c r="Y501" s="315"/>
      <c r="Z501" s="315"/>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5"/>
      <c r="BM501" s="310"/>
      <c r="BN501" s="313"/>
    </row>
    <row r="502" s="22" customFormat="1" ht="33.95" hidden="1" customHeight="1" outlineLevel="2" collapsed="1" spans="2:66">
      <c r="B502" s="112" t="s">
        <v>742</v>
      </c>
      <c r="C502" s="113" t="s">
        <v>1907</v>
      </c>
      <c r="D502" s="22" t="s">
        <v>1908</v>
      </c>
      <c r="E502" s="112"/>
      <c r="F502" s="112"/>
      <c r="G502" s="112"/>
      <c r="H502" s="112">
        <f>H503+H512+H520</f>
        <v>0</v>
      </c>
      <c r="I502" s="112"/>
      <c r="J502" s="112"/>
      <c r="K502" s="112"/>
      <c r="L502" s="112"/>
      <c r="M502" s="112"/>
      <c r="N502" s="303"/>
      <c r="O502" s="286"/>
      <c r="P502" s="286"/>
      <c r="Q502" s="286"/>
      <c r="R502" s="286"/>
      <c r="S502" s="286"/>
      <c r="T502" s="286"/>
      <c r="U502" s="286"/>
      <c r="V502" s="286"/>
      <c r="W502" s="286"/>
      <c r="X502" s="286"/>
      <c r="Y502" s="286"/>
      <c r="Z502" s="286"/>
      <c r="AA502" s="286"/>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3"/>
      <c r="BM502" s="310"/>
      <c r="BN502" s="311"/>
    </row>
    <row r="503" s="48" customFormat="1" ht="33.95" hidden="1" customHeight="1" outlineLevel="3" collapsed="1" spans="2:66">
      <c r="B503" s="115" t="s">
        <v>742</v>
      </c>
      <c r="C503" s="116" t="s">
        <v>1909</v>
      </c>
      <c r="D503" s="48" t="s">
        <v>1910</v>
      </c>
      <c r="E503" s="115"/>
      <c r="F503" s="115"/>
      <c r="G503" s="115"/>
      <c r="H503" s="115">
        <f>SUM(H504:H511)</f>
        <v>0</v>
      </c>
      <c r="I503" s="115"/>
      <c r="J503" s="115"/>
      <c r="K503" s="115"/>
      <c r="L503" s="115"/>
      <c r="M503" s="115"/>
      <c r="N503" s="304"/>
      <c r="O503" s="287"/>
      <c r="P503" s="287"/>
      <c r="Q503" s="287"/>
      <c r="R503" s="287"/>
      <c r="S503" s="287"/>
      <c r="T503" s="287"/>
      <c r="U503" s="287"/>
      <c r="V503" s="287"/>
      <c r="W503" s="287"/>
      <c r="X503" s="287"/>
      <c r="Y503" s="287"/>
      <c r="Z503" s="287"/>
      <c r="AA503" s="287"/>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4"/>
      <c r="BM503" s="310"/>
      <c r="BN503" s="312"/>
    </row>
    <row r="504" s="118" customFormat="1" ht="33.95" hidden="1" customHeight="1" outlineLevel="5" spans="2:66">
      <c r="B504" s="119" t="s">
        <v>747</v>
      </c>
      <c r="C504" s="120" t="s">
        <v>1911</v>
      </c>
      <c r="D504" s="118" t="s">
        <v>1912</v>
      </c>
      <c r="E504" s="119" t="s">
        <v>1913</v>
      </c>
      <c r="F504" s="119" t="s">
        <v>1572</v>
      </c>
      <c r="G504" s="119" t="s">
        <v>891</v>
      </c>
      <c r="H504" s="119">
        <f t="shared" ref="H504:H511" si="894">J504*L504</f>
        <v>0</v>
      </c>
      <c r="I504" s="119" t="s">
        <v>1190</v>
      </c>
      <c r="J504" s="297"/>
      <c r="K504" s="119" t="s">
        <v>1343</v>
      </c>
      <c r="L504" s="119">
        <v>513</v>
      </c>
      <c r="M504" s="119" t="s">
        <v>1623</v>
      </c>
      <c r="N504" s="119">
        <f t="shared" ref="N504:N511" si="895">COUNTA(O504:Z504)</f>
        <v>0</v>
      </c>
      <c r="O504" s="316"/>
      <c r="P504" s="316"/>
      <c r="Q504" s="316"/>
      <c r="R504" s="316"/>
      <c r="S504" s="316"/>
      <c r="T504" s="316"/>
      <c r="U504" s="316"/>
      <c r="V504" s="316"/>
      <c r="W504" s="316"/>
      <c r="X504" s="316"/>
      <c r="Y504" s="316"/>
      <c r="Z504" s="316"/>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5"/>
      <c r="BM504" s="310"/>
      <c r="BN504" s="313"/>
    </row>
    <row r="505" s="118" customFormat="1" ht="33.95" hidden="1" customHeight="1" outlineLevel="5" spans="2:66">
      <c r="B505" s="119" t="s">
        <v>747</v>
      </c>
      <c r="C505" s="120" t="s">
        <v>1914</v>
      </c>
      <c r="D505" s="118" t="s">
        <v>1915</v>
      </c>
      <c r="E505" s="119" t="s">
        <v>1916</v>
      </c>
      <c r="F505" s="119" t="s">
        <v>1572</v>
      </c>
      <c r="G505" s="119" t="s">
        <v>891</v>
      </c>
      <c r="H505" s="119">
        <f t="shared" si="894"/>
        <v>0</v>
      </c>
      <c r="I505" s="119" t="s">
        <v>1190</v>
      </c>
      <c r="J505" s="297"/>
      <c r="K505" s="119" t="s">
        <v>1343</v>
      </c>
      <c r="L505" s="119">
        <v>2500</v>
      </c>
      <c r="M505" s="119" t="s">
        <v>1623</v>
      </c>
      <c r="N505" s="119">
        <f t="shared" si="895"/>
        <v>0</v>
      </c>
      <c r="O505" s="297"/>
      <c r="P505" s="297"/>
      <c r="Q505" s="297"/>
      <c r="R505" s="297"/>
      <c r="S505" s="297"/>
      <c r="T505" s="297"/>
      <c r="U505" s="297"/>
      <c r="V505" s="297"/>
      <c r="W505" s="297"/>
      <c r="X505" s="297"/>
      <c r="Y505" s="297"/>
      <c r="Z505" s="297"/>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5"/>
      <c r="BM505" s="310"/>
      <c r="BN505" s="313"/>
    </row>
    <row r="506" s="118" customFormat="1" ht="33.95" hidden="1" customHeight="1" outlineLevel="5" spans="2:66">
      <c r="B506" s="119" t="s">
        <v>747</v>
      </c>
      <c r="C506" s="120" t="s">
        <v>1917</v>
      </c>
      <c r="D506" s="118" t="s">
        <v>1918</v>
      </c>
      <c r="E506" s="119" t="s">
        <v>1919</v>
      </c>
      <c r="F506" s="119" t="s">
        <v>1572</v>
      </c>
      <c r="G506" s="119" t="s">
        <v>891</v>
      </c>
      <c r="H506" s="119">
        <f t="shared" si="894"/>
        <v>0</v>
      </c>
      <c r="I506" s="119" t="s">
        <v>1190</v>
      </c>
      <c r="J506" s="297"/>
      <c r="K506" s="119" t="s">
        <v>1098</v>
      </c>
      <c r="L506" s="119">
        <v>2315</v>
      </c>
      <c r="M506" s="119" t="s">
        <v>1718</v>
      </c>
      <c r="N506" s="119">
        <f t="shared" si="895"/>
        <v>0</v>
      </c>
      <c r="O506" s="297"/>
      <c r="P506" s="297"/>
      <c r="Q506" s="297"/>
      <c r="R506" s="297"/>
      <c r="S506" s="297"/>
      <c r="T506" s="297"/>
      <c r="U506" s="297"/>
      <c r="V506" s="297"/>
      <c r="W506" s="297"/>
      <c r="X506" s="297"/>
      <c r="Y506" s="297"/>
      <c r="Z506" s="297"/>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5"/>
      <c r="BM506" s="310"/>
      <c r="BN506" s="313"/>
    </row>
    <row r="507" s="118" customFormat="1" ht="33.95" hidden="1" customHeight="1" outlineLevel="5" spans="2:66">
      <c r="B507" s="119" t="s">
        <v>747</v>
      </c>
      <c r="C507" s="120" t="s">
        <v>1920</v>
      </c>
      <c r="D507" s="118" t="s">
        <v>1921</v>
      </c>
      <c r="E507" s="119" t="s">
        <v>1922</v>
      </c>
      <c r="F507" s="119" t="s">
        <v>1572</v>
      </c>
      <c r="G507" s="119" t="s">
        <v>891</v>
      </c>
      <c r="H507" s="119">
        <f t="shared" si="894"/>
        <v>0</v>
      </c>
      <c r="I507" s="119" t="s">
        <v>1190</v>
      </c>
      <c r="J507" s="297"/>
      <c r="K507" s="119" t="s">
        <v>1343</v>
      </c>
      <c r="L507" s="119">
        <v>360</v>
      </c>
      <c r="M507" s="119" t="s">
        <v>1623</v>
      </c>
      <c r="N507" s="119">
        <f t="shared" si="895"/>
        <v>0</v>
      </c>
      <c r="O507" s="297"/>
      <c r="P507" s="297"/>
      <c r="Q507" s="297"/>
      <c r="R507" s="297"/>
      <c r="S507" s="297"/>
      <c r="T507" s="297"/>
      <c r="U507" s="297"/>
      <c r="V507" s="297"/>
      <c r="W507" s="297"/>
      <c r="X507" s="297"/>
      <c r="Y507" s="297"/>
      <c r="Z507" s="297"/>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5"/>
      <c r="BM507" s="310"/>
      <c r="BN507" s="313"/>
    </row>
    <row r="508" s="118" customFormat="1" ht="33.95" hidden="1" customHeight="1" outlineLevel="5" spans="2:66">
      <c r="B508" s="119" t="s">
        <v>747</v>
      </c>
      <c r="C508" s="120" t="s">
        <v>1923</v>
      </c>
      <c r="D508" s="118" t="s">
        <v>1924</v>
      </c>
      <c r="E508" s="119"/>
      <c r="F508" s="119" t="s">
        <v>1572</v>
      </c>
      <c r="G508" s="119" t="s">
        <v>891</v>
      </c>
      <c r="H508" s="119">
        <f t="shared" si="894"/>
        <v>0</v>
      </c>
      <c r="I508" s="119" t="s">
        <v>1190</v>
      </c>
      <c r="J508" s="297"/>
      <c r="K508" s="119" t="s">
        <v>1343</v>
      </c>
      <c r="L508" s="119">
        <v>300</v>
      </c>
      <c r="M508" s="119" t="s">
        <v>1623</v>
      </c>
      <c r="N508" s="119">
        <f t="shared" si="895"/>
        <v>0</v>
      </c>
      <c r="O508" s="297"/>
      <c r="P508" s="297"/>
      <c r="Q508" s="297"/>
      <c r="R508" s="297"/>
      <c r="S508" s="297"/>
      <c r="T508" s="297"/>
      <c r="U508" s="297"/>
      <c r="V508" s="297"/>
      <c r="W508" s="297"/>
      <c r="X508" s="297"/>
      <c r="Y508" s="297"/>
      <c r="Z508" s="297"/>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5"/>
      <c r="BM508" s="310"/>
      <c r="BN508" s="313"/>
    </row>
    <row r="509" s="118" customFormat="1" ht="33.95" hidden="1" customHeight="1" outlineLevel="5" spans="2:66">
      <c r="B509" s="119" t="s">
        <v>747</v>
      </c>
      <c r="C509" s="120" t="s">
        <v>1925</v>
      </c>
      <c r="D509" s="118" t="s">
        <v>1926</v>
      </c>
      <c r="E509" s="119"/>
      <c r="F509" s="119" t="s">
        <v>1572</v>
      </c>
      <c r="G509" s="119" t="s">
        <v>891</v>
      </c>
      <c r="H509" s="119">
        <f t="shared" si="894"/>
        <v>0</v>
      </c>
      <c r="I509" s="119" t="s">
        <v>1190</v>
      </c>
      <c r="J509" s="297"/>
      <c r="K509" s="119" t="s">
        <v>1343</v>
      </c>
      <c r="L509" s="119">
        <v>500</v>
      </c>
      <c r="M509" s="119" t="s">
        <v>1623</v>
      </c>
      <c r="N509" s="119">
        <f t="shared" si="895"/>
        <v>0</v>
      </c>
      <c r="O509" s="297"/>
      <c r="P509" s="297"/>
      <c r="Q509" s="297"/>
      <c r="R509" s="297"/>
      <c r="S509" s="297"/>
      <c r="T509" s="297"/>
      <c r="U509" s="297"/>
      <c r="V509" s="297"/>
      <c r="W509" s="297"/>
      <c r="X509" s="297"/>
      <c r="Y509" s="297"/>
      <c r="Z509" s="297"/>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5"/>
      <c r="BM509" s="310"/>
      <c r="BN509" s="313"/>
    </row>
    <row r="510" s="118" customFormat="1" ht="33.95" hidden="1" customHeight="1" outlineLevel="5" spans="2:66">
      <c r="B510" s="119" t="s">
        <v>747</v>
      </c>
      <c r="C510" s="120" t="s">
        <v>1927</v>
      </c>
      <c r="D510" s="118" t="s">
        <v>1928</v>
      </c>
      <c r="E510" s="119" t="s">
        <v>1929</v>
      </c>
      <c r="F510" s="119" t="s">
        <v>1572</v>
      </c>
      <c r="G510" s="119" t="s">
        <v>891</v>
      </c>
      <c r="H510" s="119">
        <f t="shared" si="894"/>
        <v>0</v>
      </c>
      <c r="I510" s="119" t="s">
        <v>1190</v>
      </c>
      <c r="J510" s="297"/>
      <c r="K510" s="119" t="s">
        <v>1930</v>
      </c>
      <c r="L510" s="119">
        <v>3650</v>
      </c>
      <c r="M510" s="119" t="s">
        <v>1931</v>
      </c>
      <c r="N510" s="119">
        <f t="shared" si="895"/>
        <v>0</v>
      </c>
      <c r="O510" s="297"/>
      <c r="P510" s="297"/>
      <c r="Q510" s="297"/>
      <c r="R510" s="297"/>
      <c r="S510" s="297"/>
      <c r="T510" s="297"/>
      <c r="U510" s="297"/>
      <c r="V510" s="297"/>
      <c r="W510" s="297"/>
      <c r="X510" s="297"/>
      <c r="Y510" s="297"/>
      <c r="Z510" s="297"/>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5"/>
      <c r="BM510" s="310"/>
      <c r="BN510" s="313"/>
    </row>
    <row r="511" s="118" customFormat="1" ht="33.95" hidden="1" customHeight="1" outlineLevel="5" spans="2:66">
      <c r="B511" s="119" t="s">
        <v>747</v>
      </c>
      <c r="C511" s="120" t="s">
        <v>1932</v>
      </c>
      <c r="D511" s="118" t="s">
        <v>1933</v>
      </c>
      <c r="E511" s="119" t="s">
        <v>1934</v>
      </c>
      <c r="F511" s="119" t="s">
        <v>1572</v>
      </c>
      <c r="G511" s="119" t="s">
        <v>891</v>
      </c>
      <c r="H511" s="119">
        <f t="shared" si="894"/>
        <v>0</v>
      </c>
      <c r="I511" s="119" t="s">
        <v>1190</v>
      </c>
      <c r="J511" s="297"/>
      <c r="K511" s="119" t="s">
        <v>1930</v>
      </c>
      <c r="L511" s="119">
        <v>35000</v>
      </c>
      <c r="M511" s="119" t="s">
        <v>1931</v>
      </c>
      <c r="N511" s="119">
        <f t="shared" si="895"/>
        <v>0</v>
      </c>
      <c r="O511" s="315"/>
      <c r="P511" s="315"/>
      <c r="Q511" s="315"/>
      <c r="R511" s="315"/>
      <c r="S511" s="315"/>
      <c r="T511" s="315"/>
      <c r="U511" s="315"/>
      <c r="V511" s="315"/>
      <c r="W511" s="315"/>
      <c r="X511" s="315"/>
      <c r="Y511" s="315"/>
      <c r="Z511" s="315"/>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5"/>
      <c r="BM511" s="310"/>
      <c r="BN511" s="313"/>
    </row>
    <row r="512" s="48" customFormat="1" ht="33.95" hidden="1" customHeight="1" outlineLevel="3" collapsed="1" spans="2:66">
      <c r="B512" s="115" t="s">
        <v>742</v>
      </c>
      <c r="C512" s="116" t="s">
        <v>1935</v>
      </c>
      <c r="D512" s="48" t="s">
        <v>1936</v>
      </c>
      <c r="E512" s="115"/>
      <c r="F512" s="115"/>
      <c r="G512" s="115"/>
      <c r="H512" s="115">
        <f>SUM(H513:H519)</f>
        <v>0</v>
      </c>
      <c r="I512" s="115"/>
      <c r="J512" s="115"/>
      <c r="K512" s="115"/>
      <c r="L512" s="115"/>
      <c r="M512" s="115"/>
      <c r="N512" s="304"/>
      <c r="O512" s="287"/>
      <c r="P512" s="287"/>
      <c r="Q512" s="287"/>
      <c r="R512" s="287"/>
      <c r="S512" s="287"/>
      <c r="T512" s="287"/>
      <c r="U512" s="287"/>
      <c r="V512" s="287"/>
      <c r="W512" s="287"/>
      <c r="X512" s="287"/>
      <c r="Y512" s="287"/>
      <c r="Z512" s="287"/>
      <c r="AA512" s="287"/>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4"/>
      <c r="BM512" s="310"/>
      <c r="BN512" s="312"/>
    </row>
    <row r="513" s="118" customFormat="1" ht="33.95" hidden="1" customHeight="1" outlineLevel="5" spans="2:66">
      <c r="B513" s="119" t="s">
        <v>747</v>
      </c>
      <c r="C513" s="120" t="s">
        <v>1937</v>
      </c>
      <c r="D513" s="118" t="s">
        <v>1938</v>
      </c>
      <c r="E513" s="119" t="s">
        <v>1939</v>
      </c>
      <c r="F513" s="119" t="s">
        <v>1572</v>
      </c>
      <c r="G513" s="119" t="s">
        <v>891</v>
      </c>
      <c r="H513" s="119">
        <f t="shared" ref="H513:H519" si="910">J513*L513</f>
        <v>0</v>
      </c>
      <c r="I513" s="119" t="s">
        <v>1190</v>
      </c>
      <c r="J513" s="297"/>
      <c r="K513" s="119" t="s">
        <v>1940</v>
      </c>
      <c r="L513" s="119">
        <v>15</v>
      </c>
      <c r="M513" s="119" t="s">
        <v>1941</v>
      </c>
      <c r="N513" s="119">
        <f t="shared" ref="N513:N519" si="911">COUNTA(O513:Z513)</f>
        <v>0</v>
      </c>
      <c r="O513" s="316"/>
      <c r="P513" s="316"/>
      <c r="Q513" s="316"/>
      <c r="R513" s="316"/>
      <c r="S513" s="316"/>
      <c r="T513" s="316"/>
      <c r="U513" s="316"/>
      <c r="V513" s="316"/>
      <c r="W513" s="316"/>
      <c r="X513" s="316"/>
      <c r="Y513" s="316"/>
      <c r="Z513" s="316"/>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5"/>
      <c r="BM513" s="310"/>
      <c r="BN513" s="313"/>
    </row>
    <row r="514" s="118" customFormat="1" ht="33.95" hidden="1" customHeight="1" outlineLevel="5" spans="2:66">
      <c r="B514" s="119" t="s">
        <v>747</v>
      </c>
      <c r="C514" s="120" t="s">
        <v>1942</v>
      </c>
      <c r="D514" s="118" t="s">
        <v>1943</v>
      </c>
      <c r="E514" s="119" t="s">
        <v>1944</v>
      </c>
      <c r="F514" s="119" t="s">
        <v>1572</v>
      </c>
      <c r="G514" s="119" t="s">
        <v>891</v>
      </c>
      <c r="H514" s="119">
        <f t="shared" si="910"/>
        <v>0</v>
      </c>
      <c r="I514" s="119" t="s">
        <v>1190</v>
      </c>
      <c r="J514" s="297"/>
      <c r="K514" s="119" t="s">
        <v>1940</v>
      </c>
      <c r="L514" s="119">
        <v>57</v>
      </c>
      <c r="M514" s="119" t="s">
        <v>1941</v>
      </c>
      <c r="N514" s="119">
        <f t="shared" si="911"/>
        <v>0</v>
      </c>
      <c r="O514" s="297"/>
      <c r="P514" s="297"/>
      <c r="Q514" s="297"/>
      <c r="R514" s="297"/>
      <c r="S514" s="297"/>
      <c r="T514" s="297"/>
      <c r="U514" s="297"/>
      <c r="V514" s="297"/>
      <c r="W514" s="297"/>
      <c r="X514" s="297"/>
      <c r="Y514" s="297"/>
      <c r="Z514" s="297"/>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5"/>
      <c r="BM514" s="310"/>
      <c r="BN514" s="313"/>
    </row>
    <row r="515" s="118" customFormat="1" ht="33.95" hidden="1" customHeight="1" outlineLevel="5" spans="2:66">
      <c r="B515" s="119" t="s">
        <v>747</v>
      </c>
      <c r="C515" s="120" t="s">
        <v>1945</v>
      </c>
      <c r="D515" s="118" t="s">
        <v>1946</v>
      </c>
      <c r="E515" s="119" t="s">
        <v>1947</v>
      </c>
      <c r="F515" s="119" t="s">
        <v>1572</v>
      </c>
      <c r="G515" s="119" t="s">
        <v>891</v>
      </c>
      <c r="H515" s="119">
        <f t="shared" si="910"/>
        <v>0</v>
      </c>
      <c r="I515" s="119" t="s">
        <v>1190</v>
      </c>
      <c r="J515" s="297"/>
      <c r="K515" s="119" t="s">
        <v>1702</v>
      </c>
      <c r="L515" s="119">
        <v>3</v>
      </c>
      <c r="M515" s="119" t="s">
        <v>1703</v>
      </c>
      <c r="N515" s="119">
        <f t="shared" si="911"/>
        <v>0</v>
      </c>
      <c r="O515" s="297"/>
      <c r="P515" s="297"/>
      <c r="Q515" s="297"/>
      <c r="R515" s="297"/>
      <c r="S515" s="297"/>
      <c r="T515" s="297"/>
      <c r="U515" s="297"/>
      <c r="V515" s="297"/>
      <c r="W515" s="297"/>
      <c r="X515" s="297"/>
      <c r="Y515" s="297"/>
      <c r="Z515" s="297"/>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5"/>
      <c r="BM515" s="310"/>
      <c r="BN515" s="313"/>
    </row>
    <row r="516" s="118" customFormat="1" ht="33.95" hidden="1" customHeight="1" outlineLevel="5" spans="2:66">
      <c r="B516" s="119" t="s">
        <v>747</v>
      </c>
      <c r="C516" s="120" t="s">
        <v>1948</v>
      </c>
      <c r="D516" s="118" t="s">
        <v>1949</v>
      </c>
      <c r="E516" s="119" t="s">
        <v>1950</v>
      </c>
      <c r="F516" s="119" t="s">
        <v>1572</v>
      </c>
      <c r="G516" s="119" t="s">
        <v>891</v>
      </c>
      <c r="H516" s="119">
        <f t="shared" si="910"/>
        <v>0</v>
      </c>
      <c r="I516" s="119" t="s">
        <v>1190</v>
      </c>
      <c r="J516" s="297"/>
      <c r="K516" s="119" t="s">
        <v>1098</v>
      </c>
      <c r="L516" s="119">
        <v>490</v>
      </c>
      <c r="M516" s="119" t="s">
        <v>1718</v>
      </c>
      <c r="N516" s="119">
        <f t="shared" si="911"/>
        <v>0</v>
      </c>
      <c r="O516" s="297"/>
      <c r="P516" s="297"/>
      <c r="Q516" s="297"/>
      <c r="R516" s="297"/>
      <c r="S516" s="297"/>
      <c r="T516" s="297"/>
      <c r="U516" s="297"/>
      <c r="V516" s="297"/>
      <c r="W516" s="297"/>
      <c r="X516" s="297"/>
      <c r="Y516" s="297"/>
      <c r="Z516" s="297"/>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5"/>
      <c r="BM516" s="310"/>
      <c r="BN516" s="313"/>
    </row>
    <row r="517" s="118" customFormat="1" ht="33.95" hidden="1" customHeight="1" outlineLevel="5" spans="2:66">
      <c r="B517" s="119" t="s">
        <v>747</v>
      </c>
      <c r="C517" s="120" t="s">
        <v>1951</v>
      </c>
      <c r="D517" s="118" t="s">
        <v>1952</v>
      </c>
      <c r="E517" s="119" t="s">
        <v>1953</v>
      </c>
      <c r="F517" s="119" t="s">
        <v>1572</v>
      </c>
      <c r="G517" s="119" t="s">
        <v>891</v>
      </c>
      <c r="H517" s="119">
        <f t="shared" si="910"/>
        <v>0</v>
      </c>
      <c r="I517" s="119" t="s">
        <v>1190</v>
      </c>
      <c r="J517" s="297"/>
      <c r="K517" s="119" t="s">
        <v>1580</v>
      </c>
      <c r="L517" s="119">
        <v>320</v>
      </c>
      <c r="M517" s="119" t="s">
        <v>1581</v>
      </c>
      <c r="N517" s="119">
        <f t="shared" si="911"/>
        <v>0</v>
      </c>
      <c r="O517" s="297"/>
      <c r="P517" s="297"/>
      <c r="Q517" s="297"/>
      <c r="R517" s="297"/>
      <c r="S517" s="297"/>
      <c r="T517" s="297"/>
      <c r="U517" s="297"/>
      <c r="V517" s="297"/>
      <c r="W517" s="297"/>
      <c r="X517" s="297"/>
      <c r="Y517" s="297"/>
      <c r="Z517" s="297"/>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5"/>
      <c r="BM517" s="310"/>
      <c r="BN517" s="313"/>
    </row>
    <row r="518" s="118" customFormat="1" ht="33.95" hidden="1" customHeight="1" outlineLevel="5" spans="2:66">
      <c r="B518" s="119" t="s">
        <v>747</v>
      </c>
      <c r="C518" s="120" t="s">
        <v>1954</v>
      </c>
      <c r="D518" s="118" t="s">
        <v>1955</v>
      </c>
      <c r="E518" s="119"/>
      <c r="F518" s="119" t="s">
        <v>1572</v>
      </c>
      <c r="G518" s="119" t="s">
        <v>891</v>
      </c>
      <c r="H518" s="119">
        <f t="shared" si="910"/>
        <v>0</v>
      </c>
      <c r="I518" s="119" t="s">
        <v>1190</v>
      </c>
      <c r="J518" s="297"/>
      <c r="K518" s="119" t="s">
        <v>1956</v>
      </c>
      <c r="L518" s="119">
        <v>35</v>
      </c>
      <c r="M518" s="119" t="s">
        <v>1957</v>
      </c>
      <c r="N518" s="119">
        <f t="shared" si="911"/>
        <v>0</v>
      </c>
      <c r="O518" s="297"/>
      <c r="P518" s="297"/>
      <c r="Q518" s="297"/>
      <c r="R518" s="297"/>
      <c r="S518" s="297"/>
      <c r="T518" s="297"/>
      <c r="U518" s="297"/>
      <c r="V518" s="297"/>
      <c r="W518" s="297"/>
      <c r="X518" s="297"/>
      <c r="Y518" s="297"/>
      <c r="Z518" s="297"/>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5"/>
      <c r="BM518" s="310"/>
      <c r="BN518" s="313"/>
    </row>
    <row r="519" s="118" customFormat="1" ht="33.95" hidden="1" customHeight="1" outlineLevel="5" spans="2:66">
      <c r="B519" s="119" t="s">
        <v>747</v>
      </c>
      <c r="C519" s="120" t="s">
        <v>1958</v>
      </c>
      <c r="D519" s="118" t="s">
        <v>1959</v>
      </c>
      <c r="E519" s="119" t="s">
        <v>1960</v>
      </c>
      <c r="F519" s="119" t="s">
        <v>1572</v>
      </c>
      <c r="G519" s="119" t="s">
        <v>891</v>
      </c>
      <c r="H519" s="119">
        <f t="shared" si="910"/>
        <v>0</v>
      </c>
      <c r="I519" s="119" t="s">
        <v>1190</v>
      </c>
      <c r="J519" s="297"/>
      <c r="K519" s="119" t="s">
        <v>1580</v>
      </c>
      <c r="L519" s="119">
        <v>70</v>
      </c>
      <c r="M519" s="119" t="s">
        <v>1581</v>
      </c>
      <c r="N519" s="119">
        <f t="shared" si="911"/>
        <v>0</v>
      </c>
      <c r="O519" s="315"/>
      <c r="P519" s="315"/>
      <c r="Q519" s="315"/>
      <c r="R519" s="315"/>
      <c r="S519" s="315"/>
      <c r="T519" s="315"/>
      <c r="U519" s="315"/>
      <c r="V519" s="315"/>
      <c r="W519" s="315"/>
      <c r="X519" s="315"/>
      <c r="Y519" s="315"/>
      <c r="Z519" s="315"/>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5"/>
      <c r="BM519" s="310"/>
      <c r="BN519" s="313"/>
    </row>
    <row r="520" s="48" customFormat="1" ht="33.95" hidden="1" customHeight="1" outlineLevel="3" collapsed="1" spans="2:66">
      <c r="B520" s="115" t="s">
        <v>742</v>
      </c>
      <c r="C520" s="116" t="s">
        <v>1961</v>
      </c>
      <c r="D520" s="48" t="s">
        <v>1962</v>
      </c>
      <c r="E520" s="115"/>
      <c r="F520" s="115"/>
      <c r="G520" s="115"/>
      <c r="H520" s="115">
        <f>SUM(H521:H539)</f>
        <v>0</v>
      </c>
      <c r="I520" s="115"/>
      <c r="J520" s="115"/>
      <c r="K520" s="115"/>
      <c r="L520" s="115"/>
      <c r="M520" s="115"/>
      <c r="N520" s="304"/>
      <c r="O520" s="287"/>
      <c r="P520" s="287"/>
      <c r="Q520" s="287"/>
      <c r="R520" s="287"/>
      <c r="S520" s="287"/>
      <c r="T520" s="287"/>
      <c r="U520" s="287"/>
      <c r="V520" s="287"/>
      <c r="W520" s="287"/>
      <c r="X520" s="287"/>
      <c r="Y520" s="287"/>
      <c r="Z520" s="287"/>
      <c r="AA520" s="287"/>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4"/>
      <c r="BM520" s="310"/>
      <c r="BN520" s="312"/>
    </row>
    <row r="521" s="118" customFormat="1" ht="33.95" hidden="1" customHeight="1" outlineLevel="5" spans="2:66">
      <c r="B521" s="119" t="s">
        <v>747</v>
      </c>
      <c r="C521" s="120" t="s">
        <v>1963</v>
      </c>
      <c r="D521" s="118" t="s">
        <v>1964</v>
      </c>
      <c r="E521" s="119"/>
      <c r="F521" s="119" t="s">
        <v>1572</v>
      </c>
      <c r="G521" s="119" t="s">
        <v>891</v>
      </c>
      <c r="H521" s="119">
        <f t="shared" ref="H521:H539" si="939">J521*L521</f>
        <v>0</v>
      </c>
      <c r="I521" s="119" t="s">
        <v>1190</v>
      </c>
      <c r="J521" s="297"/>
      <c r="K521" s="119" t="s">
        <v>1343</v>
      </c>
      <c r="L521" s="119">
        <v>50</v>
      </c>
      <c r="M521" s="119" t="s">
        <v>1623</v>
      </c>
      <c r="N521" s="119">
        <f t="shared" ref="N521:N539" si="940">COUNTA(O521:Z521)</f>
        <v>0</v>
      </c>
      <c r="O521" s="316"/>
      <c r="P521" s="316"/>
      <c r="Q521" s="316"/>
      <c r="R521" s="316"/>
      <c r="S521" s="316"/>
      <c r="T521" s="316"/>
      <c r="U521" s="316"/>
      <c r="V521" s="316"/>
      <c r="W521" s="316"/>
      <c r="X521" s="316"/>
      <c r="Y521" s="316"/>
      <c r="Z521" s="316"/>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5"/>
      <c r="BM521" s="310"/>
      <c r="BN521" s="313"/>
    </row>
    <row r="522" s="118" customFormat="1" ht="33.95" hidden="1" customHeight="1" outlineLevel="5" spans="2:66">
      <c r="B522" s="119" t="s">
        <v>747</v>
      </c>
      <c r="C522" s="120" t="s">
        <v>1965</v>
      </c>
      <c r="D522" s="118" t="s">
        <v>1966</v>
      </c>
      <c r="E522" s="119" t="s">
        <v>1967</v>
      </c>
      <c r="F522" s="119" t="s">
        <v>1572</v>
      </c>
      <c r="G522" s="119" t="s">
        <v>891</v>
      </c>
      <c r="H522" s="119">
        <f t="shared" si="939"/>
        <v>0</v>
      </c>
      <c r="I522" s="119" t="s">
        <v>1190</v>
      </c>
      <c r="J522" s="297"/>
      <c r="K522" s="119" t="s">
        <v>1343</v>
      </c>
      <c r="L522" s="119">
        <v>20</v>
      </c>
      <c r="M522" s="119" t="s">
        <v>1623</v>
      </c>
      <c r="N522" s="119">
        <f t="shared" si="940"/>
        <v>0</v>
      </c>
      <c r="O522" s="297"/>
      <c r="P522" s="297"/>
      <c r="Q522" s="297"/>
      <c r="R522" s="297"/>
      <c r="S522" s="297"/>
      <c r="T522" s="297"/>
      <c r="U522" s="297"/>
      <c r="V522" s="297"/>
      <c r="W522" s="297"/>
      <c r="X522" s="297"/>
      <c r="Y522" s="297"/>
      <c r="Z522" s="297"/>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5"/>
      <c r="BM522" s="310"/>
      <c r="BN522" s="313"/>
    </row>
    <row r="523" s="118" customFormat="1" ht="33.95" hidden="1" customHeight="1" outlineLevel="5" spans="2:66">
      <c r="B523" s="119" t="s">
        <v>747</v>
      </c>
      <c r="C523" s="120" t="s">
        <v>1968</v>
      </c>
      <c r="D523" s="118" t="s">
        <v>1969</v>
      </c>
      <c r="E523" s="119" t="s">
        <v>1970</v>
      </c>
      <c r="F523" s="119" t="s">
        <v>1572</v>
      </c>
      <c r="G523" s="119" t="s">
        <v>891</v>
      </c>
      <c r="H523" s="119">
        <f t="shared" si="939"/>
        <v>0</v>
      </c>
      <c r="I523" s="119" t="s">
        <v>1190</v>
      </c>
      <c r="J523" s="297"/>
      <c r="K523" s="119" t="s">
        <v>1343</v>
      </c>
      <c r="L523" s="119">
        <v>66</v>
      </c>
      <c r="M523" s="119" t="s">
        <v>1623</v>
      </c>
      <c r="N523" s="119">
        <f t="shared" si="940"/>
        <v>0</v>
      </c>
      <c r="O523" s="297"/>
      <c r="P523" s="297"/>
      <c r="Q523" s="297"/>
      <c r="R523" s="297"/>
      <c r="S523" s="297"/>
      <c r="T523" s="297"/>
      <c r="U523" s="297"/>
      <c r="V523" s="297"/>
      <c r="W523" s="297"/>
      <c r="X523" s="297"/>
      <c r="Y523" s="297"/>
      <c r="Z523" s="297"/>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5"/>
      <c r="BM523" s="310"/>
      <c r="BN523" s="313"/>
    </row>
    <row r="524" s="118" customFormat="1" ht="33.95" hidden="1" customHeight="1" outlineLevel="5" spans="2:66">
      <c r="B524" s="119" t="s">
        <v>747</v>
      </c>
      <c r="C524" s="120" t="s">
        <v>1971</v>
      </c>
      <c r="D524" s="118" t="s">
        <v>1972</v>
      </c>
      <c r="E524" s="119" t="s">
        <v>1973</v>
      </c>
      <c r="F524" s="119" t="s">
        <v>1572</v>
      </c>
      <c r="G524" s="119" t="s">
        <v>891</v>
      </c>
      <c r="H524" s="119">
        <f t="shared" si="939"/>
        <v>0</v>
      </c>
      <c r="I524" s="119" t="s">
        <v>1190</v>
      </c>
      <c r="J524" s="297"/>
      <c r="K524" s="119" t="s">
        <v>1974</v>
      </c>
      <c r="L524" s="119">
        <v>8.5</v>
      </c>
      <c r="M524" s="119" t="s">
        <v>1753</v>
      </c>
      <c r="N524" s="119">
        <f t="shared" si="940"/>
        <v>0</v>
      </c>
      <c r="O524" s="297"/>
      <c r="P524" s="297"/>
      <c r="Q524" s="297"/>
      <c r="R524" s="297"/>
      <c r="S524" s="297"/>
      <c r="T524" s="297"/>
      <c r="U524" s="297"/>
      <c r="V524" s="297"/>
      <c r="W524" s="297"/>
      <c r="X524" s="297"/>
      <c r="Y524" s="297"/>
      <c r="Z524" s="297"/>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5"/>
      <c r="BM524" s="310"/>
      <c r="BN524" s="313"/>
    </row>
    <row r="525" s="118" customFormat="1" ht="33.95" hidden="1" customHeight="1" outlineLevel="5" spans="2:66">
      <c r="B525" s="119" t="s">
        <v>747</v>
      </c>
      <c r="C525" s="120" t="s">
        <v>1975</v>
      </c>
      <c r="D525" s="118" t="s">
        <v>1976</v>
      </c>
      <c r="E525" s="119" t="s">
        <v>1977</v>
      </c>
      <c r="F525" s="119" t="s">
        <v>1572</v>
      </c>
      <c r="G525" s="119" t="s">
        <v>891</v>
      </c>
      <c r="H525" s="119">
        <f t="shared" si="939"/>
        <v>0</v>
      </c>
      <c r="I525" s="119" t="s">
        <v>1190</v>
      </c>
      <c r="J525" s="297"/>
      <c r="K525" s="119" t="s">
        <v>1343</v>
      </c>
      <c r="L525" s="119">
        <v>8</v>
      </c>
      <c r="M525" s="119" t="s">
        <v>1623</v>
      </c>
      <c r="N525" s="119">
        <f t="shared" si="940"/>
        <v>0</v>
      </c>
      <c r="O525" s="297"/>
      <c r="P525" s="297"/>
      <c r="Q525" s="297"/>
      <c r="R525" s="297"/>
      <c r="S525" s="297"/>
      <c r="T525" s="297"/>
      <c r="U525" s="297"/>
      <c r="V525" s="297"/>
      <c r="W525" s="297"/>
      <c r="X525" s="297"/>
      <c r="Y525" s="297"/>
      <c r="Z525" s="297"/>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5"/>
      <c r="BM525" s="310"/>
      <c r="BN525" s="313"/>
    </row>
    <row r="526" s="118" customFormat="1" ht="33.95" hidden="1" customHeight="1" outlineLevel="5" spans="2:66">
      <c r="B526" s="119" t="s">
        <v>747</v>
      </c>
      <c r="C526" s="120" t="s">
        <v>1978</v>
      </c>
      <c r="D526" s="118" t="s">
        <v>1979</v>
      </c>
      <c r="E526" s="119" t="s">
        <v>1980</v>
      </c>
      <c r="F526" s="119" t="s">
        <v>1572</v>
      </c>
      <c r="G526" s="119" t="s">
        <v>891</v>
      </c>
      <c r="H526" s="119">
        <f t="shared" si="939"/>
        <v>0</v>
      </c>
      <c r="I526" s="119" t="s">
        <v>1190</v>
      </c>
      <c r="J526" s="297"/>
      <c r="K526" s="119" t="s">
        <v>1974</v>
      </c>
      <c r="L526" s="119">
        <v>80</v>
      </c>
      <c r="M526" s="119" t="s">
        <v>1753</v>
      </c>
      <c r="N526" s="119">
        <f t="shared" si="940"/>
        <v>0</v>
      </c>
      <c r="O526" s="297"/>
      <c r="P526" s="297"/>
      <c r="Q526" s="297"/>
      <c r="R526" s="297"/>
      <c r="S526" s="297"/>
      <c r="T526" s="297"/>
      <c r="U526" s="297"/>
      <c r="V526" s="297"/>
      <c r="W526" s="297"/>
      <c r="X526" s="297"/>
      <c r="Y526" s="297"/>
      <c r="Z526" s="297"/>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5"/>
      <c r="BM526" s="310"/>
      <c r="BN526" s="313"/>
    </row>
    <row r="527" s="118" customFormat="1" ht="33.95" hidden="1" customHeight="1" outlineLevel="5" spans="2:66">
      <c r="B527" s="119" t="s">
        <v>747</v>
      </c>
      <c r="C527" s="120" t="s">
        <v>1981</v>
      </c>
      <c r="D527" s="118" t="s">
        <v>1982</v>
      </c>
      <c r="E527" s="119" t="s">
        <v>1983</v>
      </c>
      <c r="F527" s="119" t="s">
        <v>1572</v>
      </c>
      <c r="G527" s="119" t="s">
        <v>891</v>
      </c>
      <c r="H527" s="119">
        <f t="shared" si="939"/>
        <v>0</v>
      </c>
      <c r="I527" s="119" t="s">
        <v>1190</v>
      </c>
      <c r="J527" s="297"/>
      <c r="K527" s="119" t="s">
        <v>1343</v>
      </c>
      <c r="L527" s="119">
        <v>65</v>
      </c>
      <c r="M527" s="119" t="s">
        <v>1623</v>
      </c>
      <c r="N527" s="119">
        <f t="shared" si="940"/>
        <v>0</v>
      </c>
      <c r="O527" s="297"/>
      <c r="P527" s="297"/>
      <c r="Q527" s="297"/>
      <c r="R527" s="297"/>
      <c r="S527" s="297"/>
      <c r="T527" s="297"/>
      <c r="U527" s="297"/>
      <c r="V527" s="297"/>
      <c r="W527" s="297"/>
      <c r="X527" s="297"/>
      <c r="Y527" s="297"/>
      <c r="Z527" s="297"/>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5"/>
      <c r="BM527" s="310"/>
      <c r="BN527" s="313"/>
    </row>
    <row r="528" s="118" customFormat="1" ht="33.95" hidden="1" customHeight="1" outlineLevel="5" spans="2:66">
      <c r="B528" s="119" t="s">
        <v>747</v>
      </c>
      <c r="C528" s="120" t="s">
        <v>1984</v>
      </c>
      <c r="D528" s="118" t="s">
        <v>1985</v>
      </c>
      <c r="E528" s="119" t="s">
        <v>1986</v>
      </c>
      <c r="F528" s="119" t="s">
        <v>1572</v>
      </c>
      <c r="G528" s="119" t="s">
        <v>891</v>
      </c>
      <c r="H528" s="119">
        <f t="shared" si="939"/>
        <v>0</v>
      </c>
      <c r="I528" s="119" t="s">
        <v>1190</v>
      </c>
      <c r="J528" s="297"/>
      <c r="K528" s="119" t="s">
        <v>1580</v>
      </c>
      <c r="L528" s="119">
        <v>135</v>
      </c>
      <c r="M528" s="119" t="s">
        <v>1581</v>
      </c>
      <c r="N528" s="119">
        <f t="shared" si="940"/>
        <v>0</v>
      </c>
      <c r="O528" s="297"/>
      <c r="P528" s="297"/>
      <c r="Q528" s="297"/>
      <c r="R528" s="297"/>
      <c r="S528" s="297"/>
      <c r="T528" s="297"/>
      <c r="U528" s="297"/>
      <c r="V528" s="297"/>
      <c r="W528" s="297"/>
      <c r="X528" s="297"/>
      <c r="Y528" s="297"/>
      <c r="Z528" s="297"/>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5"/>
      <c r="BM528" s="310"/>
      <c r="BN528" s="313"/>
    </row>
    <row r="529" s="118" customFormat="1" ht="33.95" hidden="1" customHeight="1" outlineLevel="5" spans="2:66">
      <c r="B529" s="119" t="s">
        <v>747</v>
      </c>
      <c r="C529" s="120" t="s">
        <v>1987</v>
      </c>
      <c r="D529" s="118" t="s">
        <v>1988</v>
      </c>
      <c r="E529" s="119" t="s">
        <v>1989</v>
      </c>
      <c r="F529" s="119" t="s">
        <v>1572</v>
      </c>
      <c r="G529" s="119" t="s">
        <v>891</v>
      </c>
      <c r="H529" s="119">
        <f t="shared" si="939"/>
        <v>0</v>
      </c>
      <c r="I529" s="119" t="s">
        <v>1190</v>
      </c>
      <c r="J529" s="297"/>
      <c r="K529" s="119" t="s">
        <v>1343</v>
      </c>
      <c r="L529" s="119">
        <v>35</v>
      </c>
      <c r="M529" s="119" t="s">
        <v>1623</v>
      </c>
      <c r="N529" s="119">
        <f t="shared" si="940"/>
        <v>0</v>
      </c>
      <c r="O529" s="297"/>
      <c r="P529" s="297"/>
      <c r="Q529" s="297"/>
      <c r="R529" s="297"/>
      <c r="S529" s="297"/>
      <c r="T529" s="297"/>
      <c r="U529" s="297"/>
      <c r="V529" s="297"/>
      <c r="W529" s="297"/>
      <c r="X529" s="297"/>
      <c r="Y529" s="297"/>
      <c r="Z529" s="297"/>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5"/>
      <c r="BM529" s="310"/>
      <c r="BN529" s="313"/>
    </row>
    <row r="530" s="118" customFormat="1" ht="33.95" hidden="1" customHeight="1" outlineLevel="5" spans="2:66">
      <c r="B530" s="119" t="s">
        <v>747</v>
      </c>
      <c r="C530" s="120" t="s">
        <v>1990</v>
      </c>
      <c r="D530" s="118" t="s">
        <v>1991</v>
      </c>
      <c r="E530" s="119" t="s">
        <v>1992</v>
      </c>
      <c r="F530" s="119" t="s">
        <v>1572</v>
      </c>
      <c r="G530" s="119" t="s">
        <v>891</v>
      </c>
      <c r="H530" s="119">
        <f t="shared" si="939"/>
        <v>0</v>
      </c>
      <c r="I530" s="119" t="s">
        <v>1190</v>
      </c>
      <c r="J530" s="297"/>
      <c r="K530" s="119" t="s">
        <v>1343</v>
      </c>
      <c r="L530" s="119">
        <v>36</v>
      </c>
      <c r="M530" s="119" t="s">
        <v>1623</v>
      </c>
      <c r="N530" s="119">
        <f t="shared" si="940"/>
        <v>0</v>
      </c>
      <c r="O530" s="297"/>
      <c r="P530" s="297"/>
      <c r="Q530" s="297"/>
      <c r="R530" s="297"/>
      <c r="S530" s="297"/>
      <c r="T530" s="297"/>
      <c r="U530" s="297"/>
      <c r="V530" s="297"/>
      <c r="W530" s="297"/>
      <c r="X530" s="297"/>
      <c r="Y530" s="297"/>
      <c r="Z530" s="297"/>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5"/>
      <c r="BM530" s="310"/>
      <c r="BN530" s="313"/>
    </row>
    <row r="531" s="118" customFormat="1" ht="33.95" hidden="1" customHeight="1" outlineLevel="5" spans="2:66">
      <c r="B531" s="119" t="s">
        <v>747</v>
      </c>
      <c r="C531" s="120" t="s">
        <v>1993</v>
      </c>
      <c r="D531" s="118" t="s">
        <v>1994</v>
      </c>
      <c r="E531" s="119" t="s">
        <v>1995</v>
      </c>
      <c r="F531" s="119" t="s">
        <v>1572</v>
      </c>
      <c r="G531" s="119" t="s">
        <v>891</v>
      </c>
      <c r="H531" s="119">
        <f t="shared" si="939"/>
        <v>0</v>
      </c>
      <c r="I531" s="119" t="s">
        <v>1190</v>
      </c>
      <c r="J531" s="297"/>
      <c r="K531" s="119" t="s">
        <v>1974</v>
      </c>
      <c r="L531" s="119">
        <v>4.3</v>
      </c>
      <c r="M531" s="119" t="s">
        <v>1753</v>
      </c>
      <c r="N531" s="119">
        <f t="shared" si="940"/>
        <v>0</v>
      </c>
      <c r="O531" s="297"/>
      <c r="P531" s="297"/>
      <c r="Q531" s="297"/>
      <c r="R531" s="297"/>
      <c r="S531" s="297"/>
      <c r="T531" s="297"/>
      <c r="U531" s="297"/>
      <c r="V531" s="297"/>
      <c r="W531" s="297"/>
      <c r="X531" s="297"/>
      <c r="Y531" s="297"/>
      <c r="Z531" s="297"/>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5"/>
      <c r="BM531" s="310"/>
      <c r="BN531" s="313"/>
    </row>
    <row r="532" s="118" customFormat="1" ht="33.95" hidden="1" customHeight="1" outlineLevel="5" spans="2:66">
      <c r="B532" s="119" t="s">
        <v>747</v>
      </c>
      <c r="C532" s="120" t="s">
        <v>1996</v>
      </c>
      <c r="D532" s="118" t="s">
        <v>1997</v>
      </c>
      <c r="E532" s="119" t="s">
        <v>1998</v>
      </c>
      <c r="F532" s="119" t="s">
        <v>1572</v>
      </c>
      <c r="G532" s="119" t="s">
        <v>891</v>
      </c>
      <c r="H532" s="119">
        <f t="shared" si="939"/>
        <v>0</v>
      </c>
      <c r="I532" s="119" t="s">
        <v>1190</v>
      </c>
      <c r="J532" s="297"/>
      <c r="K532" s="119" t="s">
        <v>1343</v>
      </c>
      <c r="L532" s="119">
        <v>52</v>
      </c>
      <c r="M532" s="119" t="s">
        <v>1623</v>
      </c>
      <c r="N532" s="119">
        <f t="shared" si="940"/>
        <v>0</v>
      </c>
      <c r="O532" s="297"/>
      <c r="P532" s="297"/>
      <c r="Q532" s="297"/>
      <c r="R532" s="297"/>
      <c r="S532" s="297"/>
      <c r="T532" s="297"/>
      <c r="U532" s="297"/>
      <c r="V532" s="297"/>
      <c r="W532" s="297"/>
      <c r="X532" s="297"/>
      <c r="Y532" s="297"/>
      <c r="Z532" s="297"/>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5"/>
      <c r="BM532" s="310"/>
      <c r="BN532" s="313"/>
    </row>
    <row r="533" s="118" customFormat="1" ht="33.95" hidden="1" customHeight="1" outlineLevel="5" spans="2:66">
      <c r="B533" s="119" t="s">
        <v>747</v>
      </c>
      <c r="C533" s="120" t="s">
        <v>1999</v>
      </c>
      <c r="D533" s="118" t="s">
        <v>2000</v>
      </c>
      <c r="E533" s="119"/>
      <c r="F533" s="119" t="s">
        <v>1572</v>
      </c>
      <c r="G533" s="119" t="s">
        <v>891</v>
      </c>
      <c r="H533" s="119">
        <f t="shared" si="939"/>
        <v>0</v>
      </c>
      <c r="I533" s="119" t="s">
        <v>1190</v>
      </c>
      <c r="J533" s="297"/>
      <c r="K533" s="119" t="s">
        <v>1343</v>
      </c>
      <c r="L533" s="119">
        <v>350</v>
      </c>
      <c r="M533" s="119" t="s">
        <v>1623</v>
      </c>
      <c r="N533" s="119">
        <f t="shared" si="940"/>
        <v>0</v>
      </c>
      <c r="O533" s="297"/>
      <c r="P533" s="297"/>
      <c r="Q533" s="297"/>
      <c r="R533" s="297"/>
      <c r="S533" s="297"/>
      <c r="T533" s="297"/>
      <c r="U533" s="297"/>
      <c r="V533" s="297"/>
      <c r="W533" s="297"/>
      <c r="X533" s="297"/>
      <c r="Y533" s="297"/>
      <c r="Z533" s="297"/>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5"/>
      <c r="BM533" s="310"/>
      <c r="BN533" s="313"/>
    </row>
    <row r="534" s="118" customFormat="1" ht="33.95" hidden="1" customHeight="1" outlineLevel="5" spans="2:66">
      <c r="B534" s="119" t="s">
        <v>747</v>
      </c>
      <c r="C534" s="120" t="s">
        <v>2001</v>
      </c>
      <c r="D534" s="118" t="s">
        <v>2002</v>
      </c>
      <c r="E534" s="119" t="s">
        <v>2003</v>
      </c>
      <c r="F534" s="119" t="s">
        <v>1572</v>
      </c>
      <c r="G534" s="119" t="s">
        <v>891</v>
      </c>
      <c r="H534" s="119">
        <f t="shared" si="939"/>
        <v>0</v>
      </c>
      <c r="I534" s="119" t="s">
        <v>1190</v>
      </c>
      <c r="J534" s="297"/>
      <c r="K534" s="119" t="s">
        <v>1343</v>
      </c>
      <c r="L534" s="119">
        <v>75</v>
      </c>
      <c r="M534" s="119" t="s">
        <v>1623</v>
      </c>
      <c r="N534" s="119">
        <f t="shared" si="940"/>
        <v>0</v>
      </c>
      <c r="O534" s="297"/>
      <c r="P534" s="297"/>
      <c r="Q534" s="297"/>
      <c r="R534" s="297"/>
      <c r="S534" s="297"/>
      <c r="T534" s="297"/>
      <c r="U534" s="297"/>
      <c r="V534" s="297"/>
      <c r="W534" s="297"/>
      <c r="X534" s="297"/>
      <c r="Y534" s="297"/>
      <c r="Z534" s="297"/>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5"/>
      <c r="BM534" s="310"/>
      <c r="BN534" s="313"/>
    </row>
    <row r="535" s="118" customFormat="1" ht="33.95" hidden="1" customHeight="1" outlineLevel="5" spans="2:66">
      <c r="B535" s="119" t="s">
        <v>747</v>
      </c>
      <c r="C535" s="120" t="s">
        <v>2004</v>
      </c>
      <c r="D535" s="118" t="s">
        <v>2005</v>
      </c>
      <c r="E535" s="119" t="s">
        <v>2006</v>
      </c>
      <c r="F535" s="119" t="s">
        <v>1572</v>
      </c>
      <c r="G535" s="119" t="s">
        <v>891</v>
      </c>
      <c r="H535" s="119">
        <f t="shared" si="939"/>
        <v>0</v>
      </c>
      <c r="I535" s="119" t="s">
        <v>1190</v>
      </c>
      <c r="J535" s="297"/>
      <c r="K535" s="119" t="s">
        <v>1343</v>
      </c>
      <c r="L535" s="119">
        <v>48</v>
      </c>
      <c r="M535" s="119" t="s">
        <v>1623</v>
      </c>
      <c r="N535" s="119">
        <f t="shared" si="940"/>
        <v>0</v>
      </c>
      <c r="O535" s="297"/>
      <c r="P535" s="297"/>
      <c r="Q535" s="297"/>
      <c r="R535" s="297"/>
      <c r="S535" s="297"/>
      <c r="T535" s="297"/>
      <c r="U535" s="297"/>
      <c r="V535" s="297"/>
      <c r="W535" s="297"/>
      <c r="X535" s="297"/>
      <c r="Y535" s="297"/>
      <c r="Z535" s="297"/>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5"/>
      <c r="BM535" s="310"/>
      <c r="BN535" s="313"/>
    </row>
    <row r="536" s="118" customFormat="1" ht="33.95" hidden="1" customHeight="1" outlineLevel="5" spans="2:66">
      <c r="B536" s="119" t="s">
        <v>747</v>
      </c>
      <c r="C536" s="120" t="s">
        <v>2007</v>
      </c>
      <c r="D536" s="118" t="s">
        <v>2008</v>
      </c>
      <c r="E536" s="119"/>
      <c r="F536" s="119" t="s">
        <v>1572</v>
      </c>
      <c r="G536" s="119" t="s">
        <v>891</v>
      </c>
      <c r="H536" s="119">
        <f t="shared" si="939"/>
        <v>0</v>
      </c>
      <c r="I536" s="119" t="s">
        <v>1190</v>
      </c>
      <c r="J536" s="297"/>
      <c r="K536" s="119" t="s">
        <v>1343</v>
      </c>
      <c r="L536" s="119">
        <v>20</v>
      </c>
      <c r="M536" s="119" t="s">
        <v>1623</v>
      </c>
      <c r="N536" s="119">
        <f t="shared" si="940"/>
        <v>0</v>
      </c>
      <c r="O536" s="297"/>
      <c r="P536" s="297"/>
      <c r="Q536" s="297"/>
      <c r="R536" s="297"/>
      <c r="S536" s="297"/>
      <c r="T536" s="297"/>
      <c r="U536" s="297"/>
      <c r="V536" s="297"/>
      <c r="W536" s="297"/>
      <c r="X536" s="297"/>
      <c r="Y536" s="297"/>
      <c r="Z536" s="297"/>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5"/>
      <c r="BM536" s="310"/>
      <c r="BN536" s="313"/>
    </row>
    <row r="537" s="118" customFormat="1" ht="33.95" hidden="1" customHeight="1" outlineLevel="5" spans="2:66">
      <c r="B537" s="119" t="s">
        <v>747</v>
      </c>
      <c r="C537" s="120" t="s">
        <v>2009</v>
      </c>
      <c r="D537" s="118" t="s">
        <v>2010</v>
      </c>
      <c r="E537" s="119" t="s">
        <v>2011</v>
      </c>
      <c r="F537" s="119" t="s">
        <v>1572</v>
      </c>
      <c r="G537" s="119" t="s">
        <v>891</v>
      </c>
      <c r="H537" s="119">
        <f t="shared" si="939"/>
        <v>0</v>
      </c>
      <c r="I537" s="119" t="s">
        <v>1190</v>
      </c>
      <c r="J537" s="297"/>
      <c r="K537" s="119" t="s">
        <v>1343</v>
      </c>
      <c r="L537" s="119">
        <v>590</v>
      </c>
      <c r="M537" s="119" t="s">
        <v>1623</v>
      </c>
      <c r="N537" s="119">
        <f t="shared" si="940"/>
        <v>0</v>
      </c>
      <c r="O537" s="297"/>
      <c r="P537" s="297"/>
      <c r="Q537" s="297"/>
      <c r="R537" s="297"/>
      <c r="S537" s="297"/>
      <c r="T537" s="297"/>
      <c r="U537" s="297"/>
      <c r="V537" s="297"/>
      <c r="W537" s="297"/>
      <c r="X537" s="297"/>
      <c r="Y537" s="297"/>
      <c r="Z537" s="297"/>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5"/>
      <c r="BM537" s="310"/>
      <c r="BN537" s="313"/>
    </row>
    <row r="538" s="118" customFormat="1" ht="33.95" hidden="1" customHeight="1" outlineLevel="5" spans="2:66">
      <c r="B538" s="119" t="s">
        <v>747</v>
      </c>
      <c r="C538" s="120" t="s">
        <v>2012</v>
      </c>
      <c r="D538" s="118" t="s">
        <v>2013</v>
      </c>
      <c r="E538" s="119" t="s">
        <v>2014</v>
      </c>
      <c r="F538" s="119" t="s">
        <v>1572</v>
      </c>
      <c r="G538" s="119" t="s">
        <v>891</v>
      </c>
      <c r="H538" s="119">
        <f t="shared" si="939"/>
        <v>0</v>
      </c>
      <c r="I538" s="119" t="s">
        <v>1190</v>
      </c>
      <c r="J538" s="297"/>
      <c r="K538" s="119" t="s">
        <v>1343</v>
      </c>
      <c r="L538" s="119">
        <v>7000</v>
      </c>
      <c r="M538" s="119" t="s">
        <v>1623</v>
      </c>
      <c r="N538" s="119">
        <f t="shared" si="940"/>
        <v>0</v>
      </c>
      <c r="O538" s="297"/>
      <c r="P538" s="297"/>
      <c r="Q538" s="297"/>
      <c r="R538" s="297"/>
      <c r="S538" s="297"/>
      <c r="T538" s="297"/>
      <c r="U538" s="297"/>
      <c r="V538" s="297"/>
      <c r="W538" s="297"/>
      <c r="X538" s="297"/>
      <c r="Y538" s="297"/>
      <c r="Z538" s="297"/>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5"/>
      <c r="BM538" s="310"/>
      <c r="BN538" s="313"/>
    </row>
    <row r="539" s="118" customFormat="1" ht="33.95" hidden="1" customHeight="1" outlineLevel="5" spans="2:66">
      <c r="B539" s="119" t="s">
        <v>747</v>
      </c>
      <c r="C539" s="120" t="s">
        <v>2015</v>
      </c>
      <c r="D539" s="118" t="s">
        <v>2016</v>
      </c>
      <c r="E539" s="119" t="s">
        <v>2017</v>
      </c>
      <c r="F539" s="119" t="s">
        <v>1572</v>
      </c>
      <c r="G539" s="119" t="s">
        <v>891</v>
      </c>
      <c r="H539" s="119">
        <f t="shared" si="939"/>
        <v>0</v>
      </c>
      <c r="I539" s="119" t="s">
        <v>1190</v>
      </c>
      <c r="J539" s="297"/>
      <c r="K539" s="119" t="s">
        <v>1897</v>
      </c>
      <c r="L539" s="119">
        <v>783</v>
      </c>
      <c r="M539" s="119" t="s">
        <v>1898</v>
      </c>
      <c r="N539" s="119">
        <f t="shared" si="940"/>
        <v>0</v>
      </c>
      <c r="O539" s="315"/>
      <c r="P539" s="315"/>
      <c r="Q539" s="315"/>
      <c r="R539" s="315"/>
      <c r="S539" s="315"/>
      <c r="T539" s="315"/>
      <c r="U539" s="315"/>
      <c r="V539" s="315"/>
      <c r="W539" s="315"/>
      <c r="X539" s="315"/>
      <c r="Y539" s="315"/>
      <c r="Z539" s="315"/>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5"/>
      <c r="BM539" s="310"/>
      <c r="BN539" s="313"/>
    </row>
    <row r="540" s="22" customFormat="1" ht="33.95" hidden="1" customHeight="1" outlineLevel="2" collapsed="1" spans="2:66">
      <c r="B540" s="112" t="s">
        <v>742</v>
      </c>
      <c r="C540" s="113" t="s">
        <v>2018</v>
      </c>
      <c r="D540" s="22" t="s">
        <v>2019</v>
      </c>
      <c r="E540" s="112"/>
      <c r="F540" s="112"/>
      <c r="G540" s="112"/>
      <c r="H540" s="112">
        <f>H541+H552+H570+H581</f>
        <v>0</v>
      </c>
      <c r="I540" s="112"/>
      <c r="J540" s="112"/>
      <c r="K540" s="112"/>
      <c r="L540" s="112"/>
      <c r="M540" s="112"/>
      <c r="N540" s="303"/>
      <c r="O540" s="286"/>
      <c r="P540" s="286"/>
      <c r="Q540" s="286"/>
      <c r="R540" s="286"/>
      <c r="S540" s="286"/>
      <c r="T540" s="286"/>
      <c r="U540" s="286"/>
      <c r="V540" s="286"/>
      <c r="W540" s="286"/>
      <c r="X540" s="286"/>
      <c r="Y540" s="286"/>
      <c r="Z540" s="286"/>
      <c r="AA540" s="286"/>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3"/>
      <c r="BM540" s="310"/>
      <c r="BN540" s="311"/>
    </row>
    <row r="541" s="48" customFormat="1" ht="33.95" hidden="1" customHeight="1" outlineLevel="3" collapsed="1" spans="2:66">
      <c r="B541" s="115" t="s">
        <v>742</v>
      </c>
      <c r="C541" s="116" t="s">
        <v>2020</v>
      </c>
      <c r="D541" s="48" t="s">
        <v>2021</v>
      </c>
      <c r="E541" s="115"/>
      <c r="F541" s="115"/>
      <c r="G541" s="115"/>
      <c r="H541" s="115">
        <f>SUM(H542:H551)</f>
        <v>0</v>
      </c>
      <c r="I541" s="115"/>
      <c r="J541" s="115"/>
      <c r="K541" s="115"/>
      <c r="L541" s="115"/>
      <c r="M541" s="115"/>
      <c r="N541" s="304"/>
      <c r="O541" s="287"/>
      <c r="P541" s="287"/>
      <c r="Q541" s="287"/>
      <c r="R541" s="287"/>
      <c r="S541" s="287"/>
      <c r="T541" s="287"/>
      <c r="U541" s="287"/>
      <c r="V541" s="287"/>
      <c r="W541" s="287"/>
      <c r="X541" s="287"/>
      <c r="Y541" s="287"/>
      <c r="Z541" s="287"/>
      <c r="AA541" s="287"/>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4"/>
      <c r="BM541" s="310"/>
      <c r="BN541" s="312"/>
    </row>
    <row r="542" s="118" customFormat="1" ht="33.95" hidden="1" customHeight="1" outlineLevel="5" spans="2:66">
      <c r="B542" s="119" t="s">
        <v>747</v>
      </c>
      <c r="C542" s="120" t="s">
        <v>2022</v>
      </c>
      <c r="D542" s="118" t="s">
        <v>2023</v>
      </c>
      <c r="E542" s="119" t="s">
        <v>2024</v>
      </c>
      <c r="F542" s="119" t="s">
        <v>1572</v>
      </c>
      <c r="G542" s="119" t="s">
        <v>891</v>
      </c>
      <c r="H542" s="119">
        <f t="shared" ref="H542:H551" si="956">J542*L542</f>
        <v>0</v>
      </c>
      <c r="I542" s="119" t="s">
        <v>1190</v>
      </c>
      <c r="J542" s="297"/>
      <c r="K542" s="119" t="s">
        <v>1930</v>
      </c>
      <c r="L542" s="119">
        <v>280</v>
      </c>
      <c r="M542" s="119" t="s">
        <v>1931</v>
      </c>
      <c r="N542" s="119">
        <f t="shared" ref="N542:N551" si="957">COUNTA(O542:Z542)</f>
        <v>0</v>
      </c>
      <c r="O542" s="316"/>
      <c r="P542" s="316"/>
      <c r="Q542" s="316"/>
      <c r="R542" s="316"/>
      <c r="S542" s="316"/>
      <c r="T542" s="316"/>
      <c r="U542" s="316"/>
      <c r="V542" s="316"/>
      <c r="W542" s="316"/>
      <c r="X542" s="316"/>
      <c r="Y542" s="316"/>
      <c r="Z542" s="316"/>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5"/>
      <c r="BM542" s="310"/>
      <c r="BN542" s="313"/>
    </row>
    <row r="543" s="118" customFormat="1" ht="33.95" hidden="1" customHeight="1" outlineLevel="5" spans="2:66">
      <c r="B543" s="119" t="s">
        <v>747</v>
      </c>
      <c r="C543" s="120" t="s">
        <v>2025</v>
      </c>
      <c r="D543" s="118" t="s">
        <v>2026</v>
      </c>
      <c r="E543" s="119" t="s">
        <v>2027</v>
      </c>
      <c r="F543" s="119" t="s">
        <v>1572</v>
      </c>
      <c r="G543" s="119" t="s">
        <v>891</v>
      </c>
      <c r="H543" s="119">
        <f t="shared" si="956"/>
        <v>0</v>
      </c>
      <c r="I543" s="119" t="s">
        <v>1190</v>
      </c>
      <c r="J543" s="297"/>
      <c r="K543" s="119" t="s">
        <v>1343</v>
      </c>
      <c r="L543" s="119">
        <v>252</v>
      </c>
      <c r="M543" s="119" t="s">
        <v>1623</v>
      </c>
      <c r="N543" s="119">
        <f t="shared" si="957"/>
        <v>0</v>
      </c>
      <c r="O543" s="297"/>
      <c r="P543" s="297"/>
      <c r="Q543" s="297"/>
      <c r="R543" s="297"/>
      <c r="S543" s="297"/>
      <c r="T543" s="297"/>
      <c r="U543" s="297"/>
      <c r="V543" s="297"/>
      <c r="W543" s="297"/>
      <c r="X543" s="297"/>
      <c r="Y543" s="297"/>
      <c r="Z543" s="297"/>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5"/>
      <c r="BM543" s="310"/>
      <c r="BN543" s="313"/>
    </row>
    <row r="544" s="118" customFormat="1" ht="33.95" hidden="1" customHeight="1" outlineLevel="5" spans="2:66">
      <c r="B544" s="119" t="s">
        <v>747</v>
      </c>
      <c r="C544" s="120" t="s">
        <v>2028</v>
      </c>
      <c r="D544" s="118" t="s">
        <v>1732</v>
      </c>
      <c r="E544" s="119"/>
      <c r="F544" s="119" t="s">
        <v>1572</v>
      </c>
      <c r="G544" s="119" t="s">
        <v>891</v>
      </c>
      <c r="H544" s="119">
        <f t="shared" si="956"/>
        <v>0</v>
      </c>
      <c r="I544" s="119" t="s">
        <v>1190</v>
      </c>
      <c r="J544" s="297"/>
      <c r="K544" s="119" t="s">
        <v>1930</v>
      </c>
      <c r="L544" s="119">
        <v>7000</v>
      </c>
      <c r="M544" s="119" t="s">
        <v>1931</v>
      </c>
      <c r="N544" s="119">
        <f t="shared" si="957"/>
        <v>0</v>
      </c>
      <c r="O544" s="297"/>
      <c r="P544" s="297"/>
      <c r="Q544" s="297"/>
      <c r="R544" s="297"/>
      <c r="S544" s="297"/>
      <c r="T544" s="297"/>
      <c r="U544" s="297"/>
      <c r="V544" s="297"/>
      <c r="W544" s="297"/>
      <c r="X544" s="297"/>
      <c r="Y544" s="297"/>
      <c r="Z544" s="297"/>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5"/>
      <c r="BM544" s="310"/>
      <c r="BN544" s="313"/>
    </row>
    <row r="545" s="118" customFormat="1" ht="33.95" hidden="1" customHeight="1" outlineLevel="5" spans="2:66">
      <c r="B545" s="119" t="s">
        <v>747</v>
      </c>
      <c r="C545" s="120" t="s">
        <v>2029</v>
      </c>
      <c r="D545" s="118" t="s">
        <v>2030</v>
      </c>
      <c r="E545" s="119"/>
      <c r="F545" s="119" t="s">
        <v>1572</v>
      </c>
      <c r="G545" s="119" t="s">
        <v>891</v>
      </c>
      <c r="H545" s="119">
        <f t="shared" si="956"/>
        <v>0</v>
      </c>
      <c r="I545" s="119" t="s">
        <v>1190</v>
      </c>
      <c r="J545" s="297"/>
      <c r="K545" s="119" t="s">
        <v>1098</v>
      </c>
      <c r="L545" s="119">
        <v>36500</v>
      </c>
      <c r="M545" s="119" t="s">
        <v>1718</v>
      </c>
      <c r="N545" s="119">
        <f t="shared" si="957"/>
        <v>0</v>
      </c>
      <c r="O545" s="297"/>
      <c r="P545" s="297"/>
      <c r="Q545" s="297"/>
      <c r="R545" s="297"/>
      <c r="S545" s="297"/>
      <c r="T545" s="297"/>
      <c r="U545" s="297"/>
      <c r="V545" s="297"/>
      <c r="W545" s="297"/>
      <c r="X545" s="297"/>
      <c r="Y545" s="297"/>
      <c r="Z545" s="297"/>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5"/>
      <c r="BM545" s="310"/>
      <c r="BN545" s="313"/>
    </row>
    <row r="546" s="118" customFormat="1" ht="33.95" hidden="1" customHeight="1" outlineLevel="5" spans="2:66">
      <c r="B546" s="119" t="s">
        <v>747</v>
      </c>
      <c r="C546" s="120" t="s">
        <v>2031</v>
      </c>
      <c r="D546" s="118" t="s">
        <v>2032</v>
      </c>
      <c r="E546" s="119"/>
      <c r="F546" s="119" t="s">
        <v>1572</v>
      </c>
      <c r="G546" s="119" t="s">
        <v>891</v>
      </c>
      <c r="H546" s="119">
        <f t="shared" si="956"/>
        <v>0</v>
      </c>
      <c r="I546" s="119" t="s">
        <v>1190</v>
      </c>
      <c r="J546" s="297"/>
      <c r="K546" s="119" t="s">
        <v>1098</v>
      </c>
      <c r="L546" s="119">
        <v>1400</v>
      </c>
      <c r="M546" s="119" t="s">
        <v>1718</v>
      </c>
      <c r="N546" s="119">
        <f t="shared" si="957"/>
        <v>0</v>
      </c>
      <c r="O546" s="297"/>
      <c r="P546" s="297"/>
      <c r="Q546" s="297"/>
      <c r="R546" s="297"/>
      <c r="S546" s="297"/>
      <c r="T546" s="297"/>
      <c r="U546" s="297"/>
      <c r="V546" s="297"/>
      <c r="W546" s="297"/>
      <c r="X546" s="297"/>
      <c r="Y546" s="297"/>
      <c r="Z546" s="297"/>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5"/>
      <c r="BM546" s="310"/>
      <c r="BN546" s="313"/>
    </row>
    <row r="547" s="118" customFormat="1" ht="33.95" hidden="1" customHeight="1" outlineLevel="5" spans="2:66">
      <c r="B547" s="119" t="s">
        <v>747</v>
      </c>
      <c r="C547" s="120" t="s">
        <v>2033</v>
      </c>
      <c r="D547" s="118" t="s">
        <v>2034</v>
      </c>
      <c r="E547" s="119"/>
      <c r="F547" s="119" t="s">
        <v>1572</v>
      </c>
      <c r="G547" s="119" t="s">
        <v>891</v>
      </c>
      <c r="H547" s="119">
        <f t="shared" si="956"/>
        <v>0</v>
      </c>
      <c r="I547" s="119" t="s">
        <v>1190</v>
      </c>
      <c r="J547" s="297"/>
      <c r="K547" s="119" t="s">
        <v>1098</v>
      </c>
      <c r="L547" s="119">
        <v>2277.92857142857</v>
      </c>
      <c r="M547" s="119" t="s">
        <v>1718</v>
      </c>
      <c r="N547" s="119">
        <f t="shared" si="957"/>
        <v>0</v>
      </c>
      <c r="O547" s="297"/>
      <c r="P547" s="297"/>
      <c r="Q547" s="297"/>
      <c r="R547" s="297"/>
      <c r="S547" s="297"/>
      <c r="T547" s="297"/>
      <c r="U547" s="297"/>
      <c r="V547" s="297"/>
      <c r="W547" s="297"/>
      <c r="X547" s="297"/>
      <c r="Y547" s="297"/>
      <c r="Z547" s="297"/>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5"/>
      <c r="BM547" s="310"/>
      <c r="BN547" s="313"/>
    </row>
    <row r="548" s="118" customFormat="1" ht="33.95" hidden="1" customHeight="1" outlineLevel="5" spans="2:66">
      <c r="B548" s="119" t="s">
        <v>747</v>
      </c>
      <c r="C548" s="120" t="s">
        <v>2035</v>
      </c>
      <c r="D548" s="118" t="s">
        <v>2036</v>
      </c>
      <c r="E548" s="119"/>
      <c r="F548" s="119" t="s">
        <v>1572</v>
      </c>
      <c r="G548" s="119" t="s">
        <v>891</v>
      </c>
      <c r="H548" s="119">
        <f t="shared" si="956"/>
        <v>0</v>
      </c>
      <c r="I548" s="119" t="s">
        <v>1190</v>
      </c>
      <c r="J548" s="297"/>
      <c r="K548" s="119" t="s">
        <v>1098</v>
      </c>
      <c r="L548" s="119">
        <v>2634.13508090615</v>
      </c>
      <c r="M548" s="119" t="s">
        <v>1718</v>
      </c>
      <c r="N548" s="119">
        <f t="shared" si="957"/>
        <v>0</v>
      </c>
      <c r="O548" s="297"/>
      <c r="P548" s="297"/>
      <c r="Q548" s="297"/>
      <c r="R548" s="297"/>
      <c r="S548" s="297"/>
      <c r="T548" s="297"/>
      <c r="U548" s="297"/>
      <c r="V548" s="297"/>
      <c r="W548" s="297"/>
      <c r="X548" s="297"/>
      <c r="Y548" s="297"/>
      <c r="Z548" s="297"/>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5"/>
      <c r="BM548" s="310"/>
      <c r="BN548" s="313"/>
    </row>
    <row r="549" s="118" customFormat="1" ht="33.95" hidden="1" customHeight="1" outlineLevel="5" spans="2:66">
      <c r="B549" s="119" t="s">
        <v>747</v>
      </c>
      <c r="C549" s="120" t="s">
        <v>2037</v>
      </c>
      <c r="D549" s="118" t="s">
        <v>2038</v>
      </c>
      <c r="E549" s="119"/>
      <c r="F549" s="119" t="s">
        <v>1572</v>
      </c>
      <c r="G549" s="119" t="s">
        <v>891</v>
      </c>
      <c r="H549" s="119">
        <f t="shared" si="956"/>
        <v>0</v>
      </c>
      <c r="I549" s="119" t="s">
        <v>1190</v>
      </c>
      <c r="J549" s="297"/>
      <c r="K549" s="119" t="s">
        <v>1098</v>
      </c>
      <c r="L549" s="119">
        <v>88.4446601941746</v>
      </c>
      <c r="M549" s="119" t="s">
        <v>1718</v>
      </c>
      <c r="N549" s="119">
        <f t="shared" si="957"/>
        <v>0</v>
      </c>
      <c r="O549" s="297"/>
      <c r="P549" s="297"/>
      <c r="Q549" s="297"/>
      <c r="R549" s="297"/>
      <c r="S549" s="297"/>
      <c r="T549" s="297"/>
      <c r="U549" s="297"/>
      <c r="V549" s="297"/>
      <c r="W549" s="297"/>
      <c r="X549" s="297"/>
      <c r="Y549" s="297"/>
      <c r="Z549" s="297"/>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5"/>
      <c r="BM549" s="310"/>
      <c r="BN549" s="313"/>
    </row>
    <row r="550" s="118" customFormat="1" ht="33.95" hidden="1" customHeight="1" outlineLevel="5" spans="2:66">
      <c r="B550" s="119" t="s">
        <v>747</v>
      </c>
      <c r="C550" s="120" t="s">
        <v>2039</v>
      </c>
      <c r="D550" s="118" t="s">
        <v>2040</v>
      </c>
      <c r="E550" s="119"/>
      <c r="F550" s="119" t="s">
        <v>1572</v>
      </c>
      <c r="G550" s="119" t="s">
        <v>891</v>
      </c>
      <c r="H550" s="119">
        <f t="shared" si="956"/>
        <v>0</v>
      </c>
      <c r="I550" s="119" t="s">
        <v>1190</v>
      </c>
      <c r="J550" s="297"/>
      <c r="K550" s="119" t="s">
        <v>1098</v>
      </c>
      <c r="L550" s="119">
        <v>4754.2</v>
      </c>
      <c r="M550" s="119" t="s">
        <v>1718</v>
      </c>
      <c r="N550" s="119">
        <f t="shared" si="957"/>
        <v>0</v>
      </c>
      <c r="O550" s="297"/>
      <c r="P550" s="297"/>
      <c r="Q550" s="297"/>
      <c r="R550" s="297"/>
      <c r="S550" s="297"/>
      <c r="T550" s="297"/>
      <c r="U550" s="297"/>
      <c r="V550" s="297"/>
      <c r="W550" s="297"/>
      <c r="X550" s="297"/>
      <c r="Y550" s="297"/>
      <c r="Z550" s="297"/>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5"/>
      <c r="BM550" s="310"/>
      <c r="BN550" s="313"/>
    </row>
    <row r="551" s="118" customFormat="1" ht="33.95" hidden="1" customHeight="1" outlineLevel="5" spans="2:66">
      <c r="B551" s="119" t="s">
        <v>747</v>
      </c>
      <c r="C551" s="120" t="s">
        <v>2041</v>
      </c>
      <c r="D551" s="118" t="s">
        <v>2042</v>
      </c>
      <c r="E551" s="119"/>
      <c r="F551" s="119" t="s">
        <v>1572</v>
      </c>
      <c r="G551" s="119" t="s">
        <v>891</v>
      </c>
      <c r="H551" s="119">
        <f t="shared" si="956"/>
        <v>0</v>
      </c>
      <c r="I551" s="119" t="s">
        <v>1190</v>
      </c>
      <c r="J551" s="297"/>
      <c r="K551" s="119" t="s">
        <v>1098</v>
      </c>
      <c r="L551" s="119">
        <v>6363.33333333333</v>
      </c>
      <c r="M551" s="119" t="s">
        <v>1718</v>
      </c>
      <c r="N551" s="119">
        <f t="shared" si="957"/>
        <v>0</v>
      </c>
      <c r="O551" s="315"/>
      <c r="P551" s="315"/>
      <c r="Q551" s="315"/>
      <c r="R551" s="315"/>
      <c r="S551" s="315"/>
      <c r="T551" s="315"/>
      <c r="U551" s="315"/>
      <c r="V551" s="315"/>
      <c r="W551" s="315"/>
      <c r="X551" s="315"/>
      <c r="Y551" s="315"/>
      <c r="Z551" s="315"/>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5"/>
      <c r="BM551" s="310"/>
      <c r="BN551" s="313"/>
    </row>
    <row r="552" s="48" customFormat="1" ht="33.95" hidden="1" customHeight="1" outlineLevel="3" collapsed="1" spans="2:66">
      <c r="B552" s="115" t="s">
        <v>742</v>
      </c>
      <c r="C552" s="116" t="s">
        <v>2043</v>
      </c>
      <c r="D552" s="48" t="s">
        <v>2044</v>
      </c>
      <c r="E552" s="115"/>
      <c r="F552" s="115"/>
      <c r="G552" s="115"/>
      <c r="H552" s="115">
        <f>SUM(H553:H569)</f>
        <v>0</v>
      </c>
      <c r="I552" s="115"/>
      <c r="J552" s="115"/>
      <c r="K552" s="115"/>
      <c r="L552" s="115"/>
      <c r="M552" s="115"/>
      <c r="N552" s="304"/>
      <c r="O552" s="287"/>
      <c r="P552" s="287"/>
      <c r="Q552" s="287"/>
      <c r="R552" s="287"/>
      <c r="S552" s="287"/>
      <c r="T552" s="287"/>
      <c r="U552" s="287"/>
      <c r="V552" s="287"/>
      <c r="W552" s="287"/>
      <c r="X552" s="287"/>
      <c r="Y552" s="287"/>
      <c r="Z552" s="287"/>
      <c r="AA552" s="287"/>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4"/>
      <c r="BM552" s="310"/>
      <c r="BN552" s="312"/>
    </row>
    <row r="553" s="118" customFormat="1" ht="33.95" hidden="1" customHeight="1" outlineLevel="5" spans="2:66">
      <c r="B553" s="119" t="s">
        <v>747</v>
      </c>
      <c r="C553" s="120" t="s">
        <v>2045</v>
      </c>
      <c r="D553" s="118" t="s">
        <v>2046</v>
      </c>
      <c r="E553" s="119"/>
      <c r="F553" s="119" t="s">
        <v>1572</v>
      </c>
      <c r="G553" s="119" t="s">
        <v>891</v>
      </c>
      <c r="H553" s="119">
        <f t="shared" ref="H553:H569" si="972">J553*L553</f>
        <v>0</v>
      </c>
      <c r="I553" s="119" t="s">
        <v>1190</v>
      </c>
      <c r="J553" s="297"/>
      <c r="K553" s="119" t="s">
        <v>1098</v>
      </c>
      <c r="L553" s="119">
        <v>750</v>
      </c>
      <c r="M553" s="119" t="s">
        <v>1718</v>
      </c>
      <c r="N553" s="119">
        <f t="shared" ref="N553:N569" si="973">COUNTA(O553:Z553)</f>
        <v>0</v>
      </c>
      <c r="O553" s="316"/>
      <c r="P553" s="316"/>
      <c r="Q553" s="316"/>
      <c r="R553" s="316"/>
      <c r="S553" s="316"/>
      <c r="T553" s="316"/>
      <c r="U553" s="316"/>
      <c r="V553" s="316"/>
      <c r="W553" s="316"/>
      <c r="X553" s="316"/>
      <c r="Y553" s="316"/>
      <c r="Z553" s="316"/>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5"/>
      <c r="BM553" s="310"/>
      <c r="BN553" s="313"/>
    </row>
    <row r="554" s="118" customFormat="1" ht="33.95" hidden="1" customHeight="1" outlineLevel="5" spans="2:66">
      <c r="B554" s="119" t="s">
        <v>747</v>
      </c>
      <c r="C554" s="120" t="s">
        <v>2047</v>
      </c>
      <c r="D554" s="118" t="s">
        <v>2048</v>
      </c>
      <c r="E554" s="119"/>
      <c r="F554" s="119" t="s">
        <v>1572</v>
      </c>
      <c r="G554" s="119" t="s">
        <v>891</v>
      </c>
      <c r="H554" s="119">
        <f t="shared" si="972"/>
        <v>0</v>
      </c>
      <c r="I554" s="119" t="s">
        <v>1190</v>
      </c>
      <c r="J554" s="297"/>
      <c r="K554" s="119" t="s">
        <v>1098</v>
      </c>
      <c r="L554" s="119">
        <v>500</v>
      </c>
      <c r="M554" s="119" t="s">
        <v>1718</v>
      </c>
      <c r="N554" s="119">
        <f t="shared" si="973"/>
        <v>0</v>
      </c>
      <c r="O554" s="297"/>
      <c r="P554" s="297"/>
      <c r="Q554" s="297"/>
      <c r="R554" s="297"/>
      <c r="S554" s="297"/>
      <c r="T554" s="297"/>
      <c r="U554" s="297"/>
      <c r="V554" s="297"/>
      <c r="W554" s="297"/>
      <c r="X554" s="297"/>
      <c r="Y554" s="297"/>
      <c r="Z554" s="297"/>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5"/>
      <c r="BM554" s="310"/>
      <c r="BN554" s="313"/>
    </row>
    <row r="555" s="118" customFormat="1" ht="33.95" hidden="1" customHeight="1" outlineLevel="5" spans="2:66">
      <c r="B555" s="119" t="s">
        <v>747</v>
      </c>
      <c r="C555" s="120" t="s">
        <v>2049</v>
      </c>
      <c r="D555" s="118" t="s">
        <v>2050</v>
      </c>
      <c r="E555" s="119"/>
      <c r="F555" s="119" t="s">
        <v>1572</v>
      </c>
      <c r="G555" s="119" t="s">
        <v>891</v>
      </c>
      <c r="H555" s="119">
        <f t="shared" si="972"/>
        <v>0</v>
      </c>
      <c r="I555" s="119" t="s">
        <v>1190</v>
      </c>
      <c r="J555" s="297"/>
      <c r="K555" s="119" t="s">
        <v>2051</v>
      </c>
      <c r="L555" s="119">
        <v>6.3</v>
      </c>
      <c r="M555" s="119" t="s">
        <v>2052</v>
      </c>
      <c r="N555" s="119">
        <f t="shared" si="973"/>
        <v>0</v>
      </c>
      <c r="O555" s="297"/>
      <c r="P555" s="297"/>
      <c r="Q555" s="297"/>
      <c r="R555" s="297"/>
      <c r="S555" s="297"/>
      <c r="T555" s="297"/>
      <c r="U555" s="297"/>
      <c r="V555" s="297"/>
      <c r="W555" s="297"/>
      <c r="X555" s="297"/>
      <c r="Y555" s="297"/>
      <c r="Z555" s="297"/>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5"/>
      <c r="BM555" s="310"/>
      <c r="BN555" s="313"/>
    </row>
    <row r="556" s="118" customFormat="1" ht="33.95" hidden="1" customHeight="1" outlineLevel="5" spans="2:66">
      <c r="B556" s="119" t="s">
        <v>747</v>
      </c>
      <c r="C556" s="120" t="s">
        <v>2053</v>
      </c>
      <c r="D556" s="118" t="s">
        <v>2054</v>
      </c>
      <c r="E556" s="119"/>
      <c r="F556" s="119" t="s">
        <v>1572</v>
      </c>
      <c r="G556" s="119" t="s">
        <v>891</v>
      </c>
      <c r="H556" s="119">
        <f t="shared" si="972"/>
        <v>0</v>
      </c>
      <c r="I556" s="119" t="s">
        <v>1190</v>
      </c>
      <c r="J556" s="297"/>
      <c r="K556" s="119" t="s">
        <v>1098</v>
      </c>
      <c r="L556" s="119">
        <v>500</v>
      </c>
      <c r="M556" s="119" t="s">
        <v>1718</v>
      </c>
      <c r="N556" s="119">
        <f t="shared" si="973"/>
        <v>0</v>
      </c>
      <c r="O556" s="297"/>
      <c r="P556" s="297"/>
      <c r="Q556" s="297"/>
      <c r="R556" s="297"/>
      <c r="S556" s="297"/>
      <c r="T556" s="297"/>
      <c r="U556" s="297"/>
      <c r="V556" s="297"/>
      <c r="W556" s="297"/>
      <c r="X556" s="297"/>
      <c r="Y556" s="297"/>
      <c r="Z556" s="297"/>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5"/>
      <c r="BM556" s="310"/>
      <c r="BN556" s="313"/>
    </row>
    <row r="557" s="118" customFormat="1" ht="33.95" hidden="1" customHeight="1" outlineLevel="5" spans="2:66">
      <c r="B557" s="119" t="s">
        <v>747</v>
      </c>
      <c r="C557" s="120" t="s">
        <v>2055</v>
      </c>
      <c r="D557" s="118" t="s">
        <v>2056</v>
      </c>
      <c r="E557" s="119"/>
      <c r="F557" s="119" t="s">
        <v>1572</v>
      </c>
      <c r="G557" s="119" t="s">
        <v>891</v>
      </c>
      <c r="H557" s="119">
        <f t="shared" si="972"/>
        <v>0</v>
      </c>
      <c r="I557" s="119" t="s">
        <v>1190</v>
      </c>
      <c r="J557" s="297"/>
      <c r="K557" s="119" t="s">
        <v>1098</v>
      </c>
      <c r="L557" s="119">
        <v>1400</v>
      </c>
      <c r="M557" s="119" t="s">
        <v>1718</v>
      </c>
      <c r="N557" s="119">
        <f t="shared" si="973"/>
        <v>0</v>
      </c>
      <c r="O557" s="297"/>
      <c r="P557" s="297"/>
      <c r="Q557" s="297"/>
      <c r="R557" s="297"/>
      <c r="S557" s="297"/>
      <c r="T557" s="297"/>
      <c r="U557" s="297"/>
      <c r="V557" s="297"/>
      <c r="W557" s="297"/>
      <c r="X557" s="297"/>
      <c r="Y557" s="297"/>
      <c r="Z557" s="297"/>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5"/>
      <c r="BM557" s="310"/>
      <c r="BN557" s="313"/>
    </row>
    <row r="558" s="118" customFormat="1" ht="33.95" hidden="1" customHeight="1" outlineLevel="5" spans="2:66">
      <c r="B558" s="119" t="s">
        <v>747</v>
      </c>
      <c r="C558" s="120" t="s">
        <v>2057</v>
      </c>
      <c r="D558" s="118" t="s">
        <v>2058</v>
      </c>
      <c r="E558" s="119"/>
      <c r="F558" s="119" t="s">
        <v>1572</v>
      </c>
      <c r="G558" s="119" t="s">
        <v>891</v>
      </c>
      <c r="H558" s="119">
        <f t="shared" si="972"/>
        <v>0</v>
      </c>
      <c r="I558" s="119" t="s">
        <v>1190</v>
      </c>
      <c r="J558" s="297"/>
      <c r="K558" s="119" t="s">
        <v>1098</v>
      </c>
      <c r="L558" s="119">
        <v>640</v>
      </c>
      <c r="M558" s="119" t="s">
        <v>1718</v>
      </c>
      <c r="N558" s="119">
        <f t="shared" si="973"/>
        <v>0</v>
      </c>
      <c r="O558" s="297"/>
      <c r="P558" s="297"/>
      <c r="Q558" s="297"/>
      <c r="R558" s="297"/>
      <c r="S558" s="297"/>
      <c r="T558" s="297"/>
      <c r="U558" s="297"/>
      <c r="V558" s="297"/>
      <c r="W558" s="297"/>
      <c r="X558" s="297"/>
      <c r="Y558" s="297"/>
      <c r="Z558" s="297"/>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5"/>
      <c r="BM558" s="310"/>
      <c r="BN558" s="313"/>
    </row>
    <row r="559" s="118" customFormat="1" ht="33.95" hidden="1" customHeight="1" outlineLevel="5" spans="2:66">
      <c r="B559" s="119" t="s">
        <v>747</v>
      </c>
      <c r="C559" s="120" t="s">
        <v>2059</v>
      </c>
      <c r="D559" s="118" t="s">
        <v>2060</v>
      </c>
      <c r="E559" s="119"/>
      <c r="F559" s="119" t="s">
        <v>1572</v>
      </c>
      <c r="G559" s="119" t="s">
        <v>891</v>
      </c>
      <c r="H559" s="119">
        <f t="shared" si="972"/>
        <v>0</v>
      </c>
      <c r="I559" s="119" t="s">
        <v>1190</v>
      </c>
      <c r="J559" s="297"/>
      <c r="K559" s="119" t="s">
        <v>1897</v>
      </c>
      <c r="L559" s="119">
        <v>35</v>
      </c>
      <c r="M559" s="119" t="s">
        <v>1898</v>
      </c>
      <c r="N559" s="119">
        <f t="shared" si="973"/>
        <v>0</v>
      </c>
      <c r="O559" s="297"/>
      <c r="P559" s="297"/>
      <c r="Q559" s="297"/>
      <c r="R559" s="297"/>
      <c r="S559" s="297"/>
      <c r="T559" s="297"/>
      <c r="U559" s="297"/>
      <c r="V559" s="297"/>
      <c r="W559" s="297"/>
      <c r="X559" s="297"/>
      <c r="Y559" s="297"/>
      <c r="Z559" s="297"/>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5"/>
      <c r="BM559" s="310"/>
      <c r="BN559" s="313"/>
    </row>
    <row r="560" s="118" customFormat="1" ht="33.95" hidden="1" customHeight="1" outlineLevel="5" spans="2:66">
      <c r="B560" s="119" t="s">
        <v>747</v>
      </c>
      <c r="C560" s="120" t="s">
        <v>2061</v>
      </c>
      <c r="D560" s="118" t="s">
        <v>2062</v>
      </c>
      <c r="E560" s="119"/>
      <c r="F560" s="119" t="s">
        <v>1572</v>
      </c>
      <c r="G560" s="119" t="s">
        <v>891</v>
      </c>
      <c r="H560" s="119">
        <f t="shared" si="972"/>
        <v>0</v>
      </c>
      <c r="I560" s="119" t="s">
        <v>1190</v>
      </c>
      <c r="J560" s="297"/>
      <c r="K560" s="119" t="s">
        <v>1098</v>
      </c>
      <c r="L560" s="119">
        <v>450</v>
      </c>
      <c r="M560" s="119" t="s">
        <v>1718</v>
      </c>
      <c r="N560" s="119">
        <f t="shared" si="973"/>
        <v>0</v>
      </c>
      <c r="O560" s="297"/>
      <c r="P560" s="297"/>
      <c r="Q560" s="297"/>
      <c r="R560" s="297"/>
      <c r="S560" s="297"/>
      <c r="T560" s="297"/>
      <c r="U560" s="297"/>
      <c r="V560" s="297"/>
      <c r="W560" s="297"/>
      <c r="X560" s="297"/>
      <c r="Y560" s="297"/>
      <c r="Z560" s="297"/>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5"/>
      <c r="BM560" s="310"/>
      <c r="BN560" s="313"/>
    </row>
    <row r="561" s="118" customFormat="1" ht="33.95" hidden="1" customHeight="1" outlineLevel="5" spans="2:66">
      <c r="B561" s="119" t="s">
        <v>747</v>
      </c>
      <c r="C561" s="120" t="s">
        <v>2063</v>
      </c>
      <c r="D561" s="118" t="s">
        <v>2064</v>
      </c>
      <c r="E561" s="119"/>
      <c r="F561" s="119" t="s">
        <v>1572</v>
      </c>
      <c r="G561" s="119" t="s">
        <v>891</v>
      </c>
      <c r="H561" s="119">
        <f t="shared" si="972"/>
        <v>0</v>
      </c>
      <c r="I561" s="119" t="s">
        <v>1190</v>
      </c>
      <c r="J561" s="297"/>
      <c r="K561" s="119" t="s">
        <v>1098</v>
      </c>
      <c r="L561" s="119">
        <v>300</v>
      </c>
      <c r="M561" s="119" t="s">
        <v>1718</v>
      </c>
      <c r="N561" s="119">
        <f t="shared" si="973"/>
        <v>0</v>
      </c>
      <c r="O561" s="297"/>
      <c r="P561" s="297"/>
      <c r="Q561" s="297"/>
      <c r="R561" s="297"/>
      <c r="S561" s="297"/>
      <c r="T561" s="297"/>
      <c r="U561" s="297"/>
      <c r="V561" s="297"/>
      <c r="W561" s="297"/>
      <c r="X561" s="297"/>
      <c r="Y561" s="297"/>
      <c r="Z561" s="297"/>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5"/>
      <c r="BM561" s="310"/>
      <c r="BN561" s="313"/>
    </row>
    <row r="562" s="118" customFormat="1" ht="33.95" hidden="1" customHeight="1" outlineLevel="5" spans="2:66">
      <c r="B562" s="119" t="s">
        <v>747</v>
      </c>
      <c r="C562" s="120" t="s">
        <v>2065</v>
      </c>
      <c r="D562" s="118" t="s">
        <v>2066</v>
      </c>
      <c r="E562" s="119"/>
      <c r="F562" s="119" t="s">
        <v>1572</v>
      </c>
      <c r="G562" s="119" t="s">
        <v>891</v>
      </c>
      <c r="H562" s="119">
        <f t="shared" si="972"/>
        <v>0</v>
      </c>
      <c r="I562" s="119" t="s">
        <v>1190</v>
      </c>
      <c r="J562" s="297"/>
      <c r="K562" s="119" t="s">
        <v>1098</v>
      </c>
      <c r="L562" s="119">
        <v>550</v>
      </c>
      <c r="M562" s="119" t="s">
        <v>1718</v>
      </c>
      <c r="N562" s="119">
        <f t="shared" si="973"/>
        <v>0</v>
      </c>
      <c r="O562" s="297"/>
      <c r="P562" s="297"/>
      <c r="Q562" s="297"/>
      <c r="R562" s="297"/>
      <c r="S562" s="297"/>
      <c r="T562" s="297"/>
      <c r="U562" s="297"/>
      <c r="V562" s="297"/>
      <c r="W562" s="297"/>
      <c r="X562" s="297"/>
      <c r="Y562" s="297"/>
      <c r="Z562" s="297"/>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5"/>
      <c r="BM562" s="310"/>
      <c r="BN562" s="313"/>
    </row>
    <row r="563" s="118" customFormat="1" ht="33.95" hidden="1" customHeight="1" outlineLevel="5" spans="2:66">
      <c r="B563" s="119" t="s">
        <v>747</v>
      </c>
      <c r="C563" s="120" t="s">
        <v>2067</v>
      </c>
      <c r="D563" s="118" t="s">
        <v>2068</v>
      </c>
      <c r="E563" s="119"/>
      <c r="F563" s="119" t="s">
        <v>1572</v>
      </c>
      <c r="G563" s="119" t="s">
        <v>891</v>
      </c>
      <c r="H563" s="119">
        <f t="shared" si="972"/>
        <v>0</v>
      </c>
      <c r="I563" s="119" t="s">
        <v>1190</v>
      </c>
      <c r="J563" s="297"/>
      <c r="K563" s="119" t="s">
        <v>1098</v>
      </c>
      <c r="L563" s="119">
        <v>610</v>
      </c>
      <c r="M563" s="119" t="s">
        <v>1718</v>
      </c>
      <c r="N563" s="119">
        <f t="shared" si="973"/>
        <v>0</v>
      </c>
      <c r="O563" s="297"/>
      <c r="P563" s="297"/>
      <c r="Q563" s="297"/>
      <c r="R563" s="297"/>
      <c r="S563" s="297"/>
      <c r="T563" s="297"/>
      <c r="U563" s="297"/>
      <c r="V563" s="297"/>
      <c r="W563" s="297"/>
      <c r="X563" s="297"/>
      <c r="Y563" s="297"/>
      <c r="Z563" s="297"/>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5"/>
      <c r="BM563" s="310"/>
      <c r="BN563" s="313"/>
    </row>
    <row r="564" s="118" customFormat="1" ht="33.95" hidden="1" customHeight="1" outlineLevel="5" spans="2:66">
      <c r="B564" s="119" t="s">
        <v>747</v>
      </c>
      <c r="C564" s="120" t="s">
        <v>2069</v>
      </c>
      <c r="D564" s="118" t="s">
        <v>2070</v>
      </c>
      <c r="E564" s="119"/>
      <c r="F564" s="119" t="s">
        <v>1572</v>
      </c>
      <c r="G564" s="119" t="s">
        <v>891</v>
      </c>
      <c r="H564" s="119">
        <f t="shared" si="972"/>
        <v>0</v>
      </c>
      <c r="I564" s="119" t="s">
        <v>1190</v>
      </c>
      <c r="J564" s="297"/>
      <c r="K564" s="119" t="s">
        <v>1098</v>
      </c>
      <c r="L564" s="119">
        <v>500</v>
      </c>
      <c r="M564" s="119" t="s">
        <v>1718</v>
      </c>
      <c r="N564" s="119">
        <f t="shared" si="973"/>
        <v>0</v>
      </c>
      <c r="O564" s="297"/>
      <c r="P564" s="297"/>
      <c r="Q564" s="297"/>
      <c r="R564" s="297"/>
      <c r="S564" s="297"/>
      <c r="T564" s="297"/>
      <c r="U564" s="297"/>
      <c r="V564" s="297"/>
      <c r="W564" s="297"/>
      <c r="X564" s="297"/>
      <c r="Y564" s="297"/>
      <c r="Z564" s="297"/>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5"/>
      <c r="BM564" s="310"/>
      <c r="BN564" s="313"/>
    </row>
    <row r="565" s="118" customFormat="1" ht="33.95" hidden="1" customHeight="1" outlineLevel="5" spans="2:66">
      <c r="B565" s="119" t="s">
        <v>747</v>
      </c>
      <c r="C565" s="120" t="s">
        <v>2071</v>
      </c>
      <c r="D565" s="118" t="s">
        <v>2072</v>
      </c>
      <c r="E565" s="119"/>
      <c r="F565" s="119" t="s">
        <v>1572</v>
      </c>
      <c r="G565" s="119" t="s">
        <v>891</v>
      </c>
      <c r="H565" s="119">
        <f t="shared" si="972"/>
        <v>0</v>
      </c>
      <c r="I565" s="119" t="s">
        <v>1190</v>
      </c>
      <c r="J565" s="297"/>
      <c r="K565" s="119" t="s">
        <v>2073</v>
      </c>
      <c r="L565" s="119">
        <v>570</v>
      </c>
      <c r="M565" s="119" t="s">
        <v>2074</v>
      </c>
      <c r="N565" s="119">
        <f t="shared" si="973"/>
        <v>0</v>
      </c>
      <c r="O565" s="297"/>
      <c r="P565" s="297"/>
      <c r="Q565" s="297"/>
      <c r="R565" s="297"/>
      <c r="S565" s="297"/>
      <c r="T565" s="297"/>
      <c r="U565" s="297"/>
      <c r="V565" s="297"/>
      <c r="W565" s="297"/>
      <c r="X565" s="297"/>
      <c r="Y565" s="297"/>
      <c r="Z565" s="297"/>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5"/>
      <c r="BM565" s="310"/>
      <c r="BN565" s="313"/>
    </row>
    <row r="566" s="118" customFormat="1" ht="33.95" hidden="1" customHeight="1" outlineLevel="5" spans="2:66">
      <c r="B566" s="119" t="s">
        <v>747</v>
      </c>
      <c r="C566" s="120" t="s">
        <v>2075</v>
      </c>
      <c r="D566" s="118" t="s">
        <v>2076</v>
      </c>
      <c r="E566" s="119"/>
      <c r="F566" s="119" t="s">
        <v>1572</v>
      </c>
      <c r="G566" s="119" t="s">
        <v>891</v>
      </c>
      <c r="H566" s="119">
        <f t="shared" si="972"/>
        <v>0</v>
      </c>
      <c r="I566" s="119" t="s">
        <v>1190</v>
      </c>
      <c r="J566" s="297"/>
      <c r="K566" s="119" t="s">
        <v>1580</v>
      </c>
      <c r="L566" s="119">
        <v>115</v>
      </c>
      <c r="M566" s="119" t="s">
        <v>1581</v>
      </c>
      <c r="N566" s="119">
        <f t="shared" si="973"/>
        <v>0</v>
      </c>
      <c r="O566" s="297"/>
      <c r="P566" s="297"/>
      <c r="Q566" s="297"/>
      <c r="R566" s="297"/>
      <c r="S566" s="297"/>
      <c r="T566" s="297"/>
      <c r="U566" s="297"/>
      <c r="V566" s="297"/>
      <c r="W566" s="297"/>
      <c r="X566" s="297"/>
      <c r="Y566" s="297"/>
      <c r="Z566" s="297"/>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5"/>
      <c r="BM566" s="310"/>
      <c r="BN566" s="313"/>
    </row>
    <row r="567" s="118" customFormat="1" ht="33.95" hidden="1" customHeight="1" outlineLevel="5" spans="2:66">
      <c r="B567" s="119" t="s">
        <v>747</v>
      </c>
      <c r="C567" s="120" t="s">
        <v>2077</v>
      </c>
      <c r="D567" s="118" t="s">
        <v>2078</v>
      </c>
      <c r="E567" s="119"/>
      <c r="F567" s="119" t="s">
        <v>1572</v>
      </c>
      <c r="G567" s="119" t="s">
        <v>891</v>
      </c>
      <c r="H567" s="119">
        <f t="shared" si="972"/>
        <v>0</v>
      </c>
      <c r="I567" s="119" t="s">
        <v>1190</v>
      </c>
      <c r="J567" s="297"/>
      <c r="K567" s="119" t="s">
        <v>1098</v>
      </c>
      <c r="L567" s="119">
        <v>150</v>
      </c>
      <c r="M567" s="119" t="s">
        <v>1718</v>
      </c>
      <c r="N567" s="119">
        <f t="shared" si="973"/>
        <v>0</v>
      </c>
      <c r="O567" s="297"/>
      <c r="P567" s="297"/>
      <c r="Q567" s="297"/>
      <c r="R567" s="297"/>
      <c r="S567" s="297"/>
      <c r="T567" s="297"/>
      <c r="U567" s="297"/>
      <c r="V567" s="297"/>
      <c r="W567" s="297"/>
      <c r="X567" s="297"/>
      <c r="Y567" s="297"/>
      <c r="Z567" s="297"/>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5"/>
      <c r="BM567" s="310"/>
      <c r="BN567" s="313"/>
    </row>
    <row r="568" s="118" customFormat="1" ht="33.95" hidden="1" customHeight="1" outlineLevel="5" spans="2:66">
      <c r="B568" s="119" t="s">
        <v>747</v>
      </c>
      <c r="C568" s="120" t="s">
        <v>2079</v>
      </c>
      <c r="D568" s="118" t="s">
        <v>2080</v>
      </c>
      <c r="E568" s="119"/>
      <c r="F568" s="119" t="s">
        <v>1572</v>
      </c>
      <c r="G568" s="119" t="s">
        <v>891</v>
      </c>
      <c r="H568" s="119">
        <f t="shared" si="972"/>
        <v>0</v>
      </c>
      <c r="I568" s="119" t="s">
        <v>1190</v>
      </c>
      <c r="J568" s="297"/>
      <c r="K568" s="119" t="s">
        <v>1098</v>
      </c>
      <c r="L568" s="119">
        <v>91</v>
      </c>
      <c r="M568" s="119" t="s">
        <v>1718</v>
      </c>
      <c r="N568" s="119">
        <f t="shared" si="973"/>
        <v>0</v>
      </c>
      <c r="O568" s="297"/>
      <c r="P568" s="297"/>
      <c r="Q568" s="297"/>
      <c r="R568" s="297"/>
      <c r="S568" s="297"/>
      <c r="T568" s="297"/>
      <c r="U568" s="297"/>
      <c r="V568" s="297"/>
      <c r="W568" s="297"/>
      <c r="X568" s="297"/>
      <c r="Y568" s="297"/>
      <c r="Z568" s="297"/>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5"/>
      <c r="BM568" s="310"/>
      <c r="BN568" s="313"/>
    </row>
    <row r="569" s="118" customFormat="1" ht="33.95" hidden="1" customHeight="1" outlineLevel="5" spans="2:66">
      <c r="B569" s="119" t="s">
        <v>747</v>
      </c>
      <c r="C569" s="120" t="s">
        <v>2081</v>
      </c>
      <c r="D569" s="118" t="s">
        <v>2082</v>
      </c>
      <c r="E569" s="119"/>
      <c r="F569" s="119" t="s">
        <v>1572</v>
      </c>
      <c r="G569" s="119" t="s">
        <v>891</v>
      </c>
      <c r="H569" s="119">
        <f t="shared" si="972"/>
        <v>0</v>
      </c>
      <c r="I569" s="119" t="s">
        <v>1190</v>
      </c>
      <c r="J569" s="297"/>
      <c r="K569" s="119" t="s">
        <v>1098</v>
      </c>
      <c r="L569" s="119">
        <v>165</v>
      </c>
      <c r="M569" s="119" t="s">
        <v>1718</v>
      </c>
      <c r="N569" s="119">
        <f t="shared" si="973"/>
        <v>0</v>
      </c>
      <c r="O569" s="315"/>
      <c r="P569" s="315"/>
      <c r="Q569" s="315"/>
      <c r="R569" s="315"/>
      <c r="S569" s="315"/>
      <c r="T569" s="315"/>
      <c r="U569" s="315"/>
      <c r="V569" s="315"/>
      <c r="W569" s="315"/>
      <c r="X569" s="315"/>
      <c r="Y569" s="315"/>
      <c r="Z569" s="315"/>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5"/>
      <c r="BM569" s="310"/>
      <c r="BN569" s="313"/>
    </row>
    <row r="570" s="48" customFormat="1" ht="33.95" hidden="1" customHeight="1" outlineLevel="3" collapsed="1" spans="2:66">
      <c r="B570" s="115" t="s">
        <v>742</v>
      </c>
      <c r="C570" s="116" t="s">
        <v>2083</v>
      </c>
      <c r="D570" s="48" t="s">
        <v>2084</v>
      </c>
      <c r="E570" s="115"/>
      <c r="F570" s="115"/>
      <c r="G570" s="115"/>
      <c r="H570" s="115">
        <f>SUM(H571:H580)</f>
        <v>0</v>
      </c>
      <c r="I570" s="115"/>
      <c r="J570" s="115"/>
      <c r="K570" s="115"/>
      <c r="L570" s="115"/>
      <c r="M570" s="115"/>
      <c r="N570" s="304"/>
      <c r="O570" s="287"/>
      <c r="P570" s="287"/>
      <c r="Q570" s="287"/>
      <c r="R570" s="287"/>
      <c r="S570" s="287"/>
      <c r="T570" s="287"/>
      <c r="U570" s="287"/>
      <c r="V570" s="287"/>
      <c r="W570" s="287"/>
      <c r="X570" s="287"/>
      <c r="Y570" s="287"/>
      <c r="Z570" s="287"/>
      <c r="AA570" s="287"/>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4"/>
      <c r="BM570" s="310"/>
      <c r="BN570" s="312"/>
    </row>
    <row r="571" s="118" customFormat="1" ht="33.95" hidden="1" customHeight="1" outlineLevel="4" spans="2:66">
      <c r="B571" s="119" t="s">
        <v>747</v>
      </c>
      <c r="C571" s="120" t="s">
        <v>2085</v>
      </c>
      <c r="D571" s="118" t="s">
        <v>2086</v>
      </c>
      <c r="E571" s="119"/>
      <c r="F571" s="119" t="s">
        <v>2087</v>
      </c>
      <c r="G571" s="119" t="s">
        <v>1799</v>
      </c>
      <c r="H571" s="119">
        <f t="shared" ref="H571:H581" si="988">J571*L571*N571</f>
        <v>0</v>
      </c>
      <c r="I571" s="119" t="s">
        <v>1190</v>
      </c>
      <c r="J571" s="119">
        <v>1</v>
      </c>
      <c r="K571" s="119" t="s">
        <v>1191</v>
      </c>
      <c r="L571" s="297"/>
      <c r="M571" s="119" t="s">
        <v>1192</v>
      </c>
      <c r="N571" s="305">
        <v>12</v>
      </c>
      <c r="O571" s="288"/>
      <c r="P571" s="288"/>
      <c r="Q571" s="288"/>
      <c r="R571" s="288"/>
      <c r="S571" s="288"/>
      <c r="T571" s="288"/>
      <c r="U571" s="288"/>
      <c r="V571" s="288"/>
      <c r="W571" s="288"/>
      <c r="X571" s="288"/>
      <c r="Y571" s="288"/>
      <c r="Z571" s="288"/>
      <c r="AA571" s="288"/>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5"/>
      <c r="BM571" s="310"/>
      <c r="BN571" s="313"/>
    </row>
    <row r="572" s="118" customFormat="1" ht="33.95" hidden="1" customHeight="1" outlineLevel="4" spans="2:66">
      <c r="B572" s="119" t="s">
        <v>747</v>
      </c>
      <c r="C572" s="120" t="s">
        <v>2088</v>
      </c>
      <c r="D572" s="118" t="s">
        <v>2089</v>
      </c>
      <c r="E572" s="119"/>
      <c r="F572" s="119" t="s">
        <v>2087</v>
      </c>
      <c r="G572" s="119" t="s">
        <v>1799</v>
      </c>
      <c r="H572" s="119">
        <f t="shared" si="988"/>
        <v>0</v>
      </c>
      <c r="I572" s="119" t="s">
        <v>1190</v>
      </c>
      <c r="J572" s="119">
        <v>1</v>
      </c>
      <c r="K572" s="119" t="s">
        <v>1191</v>
      </c>
      <c r="L572" s="297"/>
      <c r="M572" s="119" t="s">
        <v>1192</v>
      </c>
      <c r="N572" s="305">
        <v>12</v>
      </c>
      <c r="O572" s="288"/>
      <c r="P572" s="288"/>
      <c r="Q572" s="288"/>
      <c r="R572" s="288"/>
      <c r="S572" s="288"/>
      <c r="T572" s="288"/>
      <c r="U572" s="288"/>
      <c r="V572" s="288"/>
      <c r="W572" s="288"/>
      <c r="X572" s="288"/>
      <c r="Y572" s="288"/>
      <c r="Z572" s="288"/>
      <c r="AA572" s="288"/>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5"/>
      <c r="BM572" s="310"/>
      <c r="BN572" s="313"/>
    </row>
    <row r="573" s="118" customFormat="1" ht="33.95" hidden="1" customHeight="1" outlineLevel="4" spans="2:66">
      <c r="B573" s="119" t="s">
        <v>747</v>
      </c>
      <c r="C573" s="120" t="s">
        <v>2090</v>
      </c>
      <c r="D573" s="118" t="s">
        <v>2091</v>
      </c>
      <c r="E573" s="119"/>
      <c r="F573" s="119" t="s">
        <v>2087</v>
      </c>
      <c r="G573" s="119" t="s">
        <v>1799</v>
      </c>
      <c r="H573" s="119">
        <f t="shared" si="988"/>
        <v>0</v>
      </c>
      <c r="I573" s="119" t="s">
        <v>1190</v>
      </c>
      <c r="J573" s="119">
        <v>1</v>
      </c>
      <c r="K573" s="119" t="s">
        <v>1191</v>
      </c>
      <c r="L573" s="297"/>
      <c r="M573" s="119" t="s">
        <v>1192</v>
      </c>
      <c r="N573" s="305">
        <v>12</v>
      </c>
      <c r="O573" s="288"/>
      <c r="P573" s="288"/>
      <c r="Q573" s="288"/>
      <c r="R573" s="288"/>
      <c r="S573" s="288"/>
      <c r="T573" s="288"/>
      <c r="U573" s="288"/>
      <c r="V573" s="288"/>
      <c r="W573" s="288"/>
      <c r="X573" s="288"/>
      <c r="Y573" s="288"/>
      <c r="Z573" s="288"/>
      <c r="AA573" s="288"/>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5"/>
      <c r="BM573" s="310"/>
      <c r="BN573" s="313"/>
    </row>
    <row r="574" s="118" customFormat="1" ht="33.95" hidden="1" customHeight="1" outlineLevel="4" spans="2:66">
      <c r="B574" s="119" t="s">
        <v>747</v>
      </c>
      <c r="C574" s="120" t="s">
        <v>2092</v>
      </c>
      <c r="D574" s="118" t="s">
        <v>2093</v>
      </c>
      <c r="E574" s="119"/>
      <c r="F574" s="119" t="s">
        <v>2087</v>
      </c>
      <c r="G574" s="119" t="s">
        <v>1799</v>
      </c>
      <c r="H574" s="119">
        <f t="shared" si="988"/>
        <v>0</v>
      </c>
      <c r="I574" s="119" t="s">
        <v>1190</v>
      </c>
      <c r="J574" s="119">
        <v>1</v>
      </c>
      <c r="K574" s="119" t="s">
        <v>1191</v>
      </c>
      <c r="L574" s="297"/>
      <c r="M574" s="119" t="s">
        <v>1192</v>
      </c>
      <c r="N574" s="305">
        <v>12</v>
      </c>
      <c r="O574" s="288"/>
      <c r="P574" s="288"/>
      <c r="Q574" s="288"/>
      <c r="R574" s="288"/>
      <c r="S574" s="288"/>
      <c r="T574" s="288"/>
      <c r="U574" s="288"/>
      <c r="V574" s="288"/>
      <c r="W574" s="288"/>
      <c r="X574" s="288"/>
      <c r="Y574" s="288"/>
      <c r="Z574" s="288"/>
      <c r="AA574" s="288"/>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5"/>
      <c r="BM574" s="310"/>
      <c r="BN574" s="313"/>
    </row>
    <row r="575" s="118" customFormat="1" ht="33.95" hidden="1" customHeight="1" outlineLevel="4" spans="2:66">
      <c r="B575" s="119" t="s">
        <v>747</v>
      </c>
      <c r="C575" s="120" t="s">
        <v>2094</v>
      </c>
      <c r="D575" s="118" t="s">
        <v>2095</v>
      </c>
      <c r="E575" s="119"/>
      <c r="F575" s="119" t="s">
        <v>2087</v>
      </c>
      <c r="G575" s="119" t="s">
        <v>1799</v>
      </c>
      <c r="H575" s="119">
        <f t="shared" si="988"/>
        <v>0</v>
      </c>
      <c r="I575" s="119" t="s">
        <v>1190</v>
      </c>
      <c r="J575" s="119">
        <v>1</v>
      </c>
      <c r="K575" s="119" t="s">
        <v>1191</v>
      </c>
      <c r="L575" s="297"/>
      <c r="M575" s="119" t="s">
        <v>1192</v>
      </c>
      <c r="N575" s="305">
        <v>12</v>
      </c>
      <c r="O575" s="288"/>
      <c r="P575" s="288"/>
      <c r="Q575" s="288"/>
      <c r="R575" s="288"/>
      <c r="S575" s="288"/>
      <c r="T575" s="288"/>
      <c r="U575" s="288"/>
      <c r="V575" s="288"/>
      <c r="W575" s="288"/>
      <c r="X575" s="288"/>
      <c r="Y575" s="288"/>
      <c r="Z575" s="288"/>
      <c r="AA575" s="288"/>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5"/>
      <c r="BM575" s="310"/>
      <c r="BN575" s="313"/>
    </row>
    <row r="576" s="118" customFormat="1" ht="33.95" hidden="1" customHeight="1" outlineLevel="4" spans="2:66">
      <c r="B576" s="119" t="s">
        <v>747</v>
      </c>
      <c r="C576" s="120" t="s">
        <v>2096</v>
      </c>
      <c r="D576" s="118" t="s">
        <v>2097</v>
      </c>
      <c r="E576" s="119"/>
      <c r="F576" s="119" t="s">
        <v>2087</v>
      </c>
      <c r="G576" s="119" t="s">
        <v>1799</v>
      </c>
      <c r="H576" s="119">
        <f t="shared" si="988"/>
        <v>0</v>
      </c>
      <c r="I576" s="119" t="s">
        <v>1190</v>
      </c>
      <c r="J576" s="119">
        <v>1</v>
      </c>
      <c r="K576" s="119" t="s">
        <v>1191</v>
      </c>
      <c r="L576" s="297"/>
      <c r="M576" s="119" t="s">
        <v>1192</v>
      </c>
      <c r="N576" s="305">
        <v>12</v>
      </c>
      <c r="O576" s="288"/>
      <c r="P576" s="288"/>
      <c r="Q576" s="288"/>
      <c r="R576" s="288"/>
      <c r="S576" s="288"/>
      <c r="T576" s="288"/>
      <c r="U576" s="288"/>
      <c r="V576" s="288"/>
      <c r="W576" s="288"/>
      <c r="X576" s="288"/>
      <c r="Y576" s="288"/>
      <c r="Z576" s="288"/>
      <c r="AA576" s="288"/>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5"/>
      <c r="BM576" s="310"/>
      <c r="BN576" s="313"/>
    </row>
    <row r="577" s="118" customFormat="1" ht="33.95" hidden="1" customHeight="1" outlineLevel="4" spans="2:66">
      <c r="B577" s="119" t="s">
        <v>747</v>
      </c>
      <c r="C577" s="120" t="s">
        <v>2098</v>
      </c>
      <c r="D577" s="118" t="s">
        <v>2099</v>
      </c>
      <c r="E577" s="119"/>
      <c r="F577" s="119" t="s">
        <v>2087</v>
      </c>
      <c r="G577" s="119" t="s">
        <v>1799</v>
      </c>
      <c r="H577" s="119">
        <f t="shared" si="988"/>
        <v>0</v>
      </c>
      <c r="I577" s="119" t="s">
        <v>1190</v>
      </c>
      <c r="J577" s="119">
        <v>1</v>
      </c>
      <c r="K577" s="119" t="s">
        <v>1191</v>
      </c>
      <c r="L577" s="297"/>
      <c r="M577" s="119" t="s">
        <v>1192</v>
      </c>
      <c r="N577" s="305">
        <v>12</v>
      </c>
      <c r="O577" s="288"/>
      <c r="P577" s="288"/>
      <c r="Q577" s="288"/>
      <c r="R577" s="288"/>
      <c r="S577" s="288"/>
      <c r="T577" s="288"/>
      <c r="U577" s="288"/>
      <c r="V577" s="288"/>
      <c r="W577" s="288"/>
      <c r="X577" s="288"/>
      <c r="Y577" s="288"/>
      <c r="Z577" s="288"/>
      <c r="AA577" s="288"/>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5"/>
      <c r="BM577" s="310"/>
      <c r="BN577" s="313"/>
    </row>
    <row r="578" s="118" customFormat="1" ht="33.95" hidden="1" customHeight="1" outlineLevel="4" spans="2:66">
      <c r="B578" s="119" t="s">
        <v>747</v>
      </c>
      <c r="C578" s="120" t="s">
        <v>2100</v>
      </c>
      <c r="D578" s="118" t="s">
        <v>2101</v>
      </c>
      <c r="E578" s="119"/>
      <c r="F578" s="119" t="s">
        <v>2087</v>
      </c>
      <c r="G578" s="119" t="s">
        <v>1799</v>
      </c>
      <c r="H578" s="119">
        <f t="shared" si="988"/>
        <v>0</v>
      </c>
      <c r="I578" s="119" t="s">
        <v>1190</v>
      </c>
      <c r="J578" s="119">
        <v>1</v>
      </c>
      <c r="K578" s="119" t="s">
        <v>1191</v>
      </c>
      <c r="L578" s="297"/>
      <c r="M578" s="119" t="s">
        <v>1192</v>
      </c>
      <c r="N578" s="305">
        <v>12</v>
      </c>
      <c r="O578" s="288"/>
      <c r="P578" s="288"/>
      <c r="Q578" s="288"/>
      <c r="R578" s="288"/>
      <c r="S578" s="288"/>
      <c r="T578" s="288"/>
      <c r="U578" s="288"/>
      <c r="V578" s="288"/>
      <c r="W578" s="288"/>
      <c r="X578" s="288"/>
      <c r="Y578" s="288"/>
      <c r="Z578" s="288"/>
      <c r="AA578" s="288"/>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5"/>
      <c r="BM578" s="310"/>
      <c r="BN578" s="313"/>
    </row>
    <row r="579" s="118" customFormat="1" ht="33.95" hidden="1" customHeight="1" outlineLevel="4" spans="2:66">
      <c r="B579" s="119" t="s">
        <v>747</v>
      </c>
      <c r="C579" s="120" t="s">
        <v>2102</v>
      </c>
      <c r="D579" s="118" t="s">
        <v>2103</v>
      </c>
      <c r="E579" s="119"/>
      <c r="F579" s="119" t="s">
        <v>2087</v>
      </c>
      <c r="G579" s="119" t="s">
        <v>1799</v>
      </c>
      <c r="H579" s="119">
        <f t="shared" si="988"/>
        <v>0</v>
      </c>
      <c r="I579" s="119" t="s">
        <v>1190</v>
      </c>
      <c r="J579" s="119">
        <v>1</v>
      </c>
      <c r="K579" s="119" t="s">
        <v>1191</v>
      </c>
      <c r="L579" s="297"/>
      <c r="M579" s="119" t="s">
        <v>1192</v>
      </c>
      <c r="N579" s="305">
        <v>12</v>
      </c>
      <c r="O579" s="288"/>
      <c r="P579" s="288"/>
      <c r="Q579" s="288"/>
      <c r="R579" s="288"/>
      <c r="S579" s="288"/>
      <c r="T579" s="288"/>
      <c r="U579" s="288"/>
      <c r="V579" s="288"/>
      <c r="W579" s="288"/>
      <c r="X579" s="288"/>
      <c r="Y579" s="288"/>
      <c r="Z579" s="288"/>
      <c r="AA579" s="288"/>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5"/>
      <c r="BM579" s="310"/>
      <c r="BN579" s="313"/>
    </row>
    <row r="580" s="118" customFormat="1" ht="33.95" hidden="1" customHeight="1" outlineLevel="4" spans="2:66">
      <c r="B580" s="119" t="s">
        <v>747</v>
      </c>
      <c r="C580" s="120" t="s">
        <v>2104</v>
      </c>
      <c r="D580" s="118" t="s">
        <v>2105</v>
      </c>
      <c r="E580" s="119" t="s">
        <v>2106</v>
      </c>
      <c r="F580" s="119" t="s">
        <v>2087</v>
      </c>
      <c r="G580" s="119" t="s">
        <v>1799</v>
      </c>
      <c r="H580" s="119">
        <f t="shared" si="988"/>
        <v>0</v>
      </c>
      <c r="I580" s="119" t="s">
        <v>1190</v>
      </c>
      <c r="J580" s="119">
        <v>1</v>
      </c>
      <c r="K580" s="119" t="s">
        <v>1191</v>
      </c>
      <c r="L580" s="297"/>
      <c r="M580" s="119" t="s">
        <v>1192</v>
      </c>
      <c r="N580" s="305">
        <v>12</v>
      </c>
      <c r="O580" s="288"/>
      <c r="P580" s="288"/>
      <c r="Q580" s="288"/>
      <c r="R580" s="288"/>
      <c r="S580" s="288"/>
      <c r="T580" s="288"/>
      <c r="U580" s="288"/>
      <c r="V580" s="288"/>
      <c r="W580" s="288"/>
      <c r="X580" s="288"/>
      <c r="Y580" s="288"/>
      <c r="Z580" s="288"/>
      <c r="AA580" s="288"/>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5"/>
      <c r="BM580" s="310"/>
      <c r="BN580" s="313"/>
    </row>
    <row r="581" s="48" customFormat="1" ht="33.95" hidden="1" customHeight="1" outlineLevel="3" spans="2:66">
      <c r="B581" s="115" t="s">
        <v>747</v>
      </c>
      <c r="C581" s="116" t="s">
        <v>2107</v>
      </c>
      <c r="D581" s="48" t="s">
        <v>2108</v>
      </c>
      <c r="E581" s="115"/>
      <c r="F581" s="115" t="s">
        <v>2087</v>
      </c>
      <c r="G581" s="115" t="s">
        <v>1799</v>
      </c>
      <c r="H581" s="115">
        <f t="shared" si="988"/>
        <v>0</v>
      </c>
      <c r="I581" s="115" t="s">
        <v>1190</v>
      </c>
      <c r="J581" s="115">
        <v>1</v>
      </c>
      <c r="K581" s="115" t="s">
        <v>1191</v>
      </c>
      <c r="L581" s="297"/>
      <c r="M581" s="115" t="s">
        <v>1192</v>
      </c>
      <c r="N581" s="304">
        <v>12</v>
      </c>
      <c r="O581" s="287"/>
      <c r="P581" s="287"/>
      <c r="Q581" s="287"/>
      <c r="R581" s="287"/>
      <c r="S581" s="287"/>
      <c r="T581" s="287"/>
      <c r="U581" s="287"/>
      <c r="V581" s="287"/>
      <c r="W581" s="287"/>
      <c r="X581" s="287"/>
      <c r="Y581" s="287"/>
      <c r="Z581" s="287"/>
      <c r="AA581" s="287"/>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4"/>
      <c r="BM581" s="310"/>
      <c r="BN581" s="312"/>
    </row>
    <row r="582" s="108" customFormat="1" ht="33.95" customHeight="1" outlineLevel="1" collapsed="1" spans="2:66">
      <c r="B582" s="109" t="s">
        <v>742</v>
      </c>
      <c r="C582" s="110">
        <v>1.3</v>
      </c>
      <c r="D582" s="108" t="s">
        <v>64</v>
      </c>
      <c r="E582" s="109"/>
      <c r="F582" s="109"/>
      <c r="G582" s="109"/>
      <c r="H582" s="109">
        <f>H583+H601+H605+H614+H624+H627+H634+H643+H646+H651</f>
        <v>0</v>
      </c>
      <c r="N582" s="302"/>
      <c r="O582" s="285"/>
      <c r="P582" s="285"/>
      <c r="Q582" s="285"/>
      <c r="R582" s="285"/>
      <c r="S582" s="285"/>
      <c r="T582" s="285"/>
      <c r="U582" s="285"/>
      <c r="V582" s="285"/>
      <c r="W582" s="285"/>
      <c r="X582" s="285"/>
      <c r="Y582" s="285"/>
      <c r="Z582" s="285"/>
      <c r="AA582" s="285"/>
      <c r="AB582" s="109">
        <f t="shared" ref="AB582:AF582" si="1002">AB583+AB601+AB605+AB614+AB624+AB627+AB634+AB643+AB646+AB651</f>
        <v>0</v>
      </c>
      <c r="AC582" s="109">
        <f t="shared" si="1002"/>
        <v>0</v>
      </c>
      <c r="AF582" s="109">
        <f t="shared" si="1002"/>
        <v>0</v>
      </c>
      <c r="AI582" s="109">
        <f>AI583+AI601+AI605+AI614+AI624+AI627+AI634+AI643+AI646+AI651</f>
        <v>0</v>
      </c>
      <c r="AL582" s="109">
        <f>AL583+AL601+AL605+AL614+AL624+AL627+AL634+AL643+AL646+AL651</f>
        <v>0</v>
      </c>
      <c r="AO582" s="109">
        <f>AO583+AO601+AO605+AO614+AO624+AO627+AO634+AO643+AO646+AO651</f>
        <v>0</v>
      </c>
      <c r="AR582" s="109">
        <f>AR583+AR601+AR605+AR614+AR624+AR627+AR634+AR643+AR646+AR651</f>
        <v>0</v>
      </c>
      <c r="AU582" s="109">
        <f>AU583+AU601+AU605+AU614+AU624+AU627+AU634+AU643+AU646+AU651</f>
        <v>0</v>
      </c>
      <c r="AX582" s="109">
        <f>AX583+AX601+AX605+AX614+AX624+AX627+AX634+AX643+AX646+AX651</f>
        <v>0</v>
      </c>
      <c r="BA582" s="109">
        <f>BA583+BA601+BA605+BA614+BA624+BA627+BA634+BA643+BA646+BA651</f>
        <v>0</v>
      </c>
      <c r="BD582" s="109">
        <f>BD583+BD601+BD605+BD614+BD624+BD627+BD634+BD643+BD646+BD651</f>
        <v>0</v>
      </c>
      <c r="BG582" s="109">
        <f>BG583+BG601+BG605+BG614+BG624+BG627+BG634+BG643+BG646+BG651</f>
        <v>0</v>
      </c>
      <c r="BJ582" s="109">
        <f>BJ583+BJ601+BJ605+BJ614+BJ624+BJ627+BJ634+BJ643+BJ646+BJ651</f>
        <v>0</v>
      </c>
      <c r="BL582" s="302"/>
      <c r="BM582" s="310"/>
      <c r="BN582" s="285"/>
    </row>
    <row r="583" s="22" customFormat="1" ht="33.95" hidden="1" customHeight="1" outlineLevel="2" collapsed="1" spans="2:66">
      <c r="B583" s="112" t="s">
        <v>742</v>
      </c>
      <c r="C583" s="113" t="s">
        <v>2109</v>
      </c>
      <c r="D583" s="22" t="s">
        <v>2110</v>
      </c>
      <c r="E583" s="112"/>
      <c r="F583" s="112"/>
      <c r="G583" s="112"/>
      <c r="H583" s="112">
        <f>SUM(H584:H600)</f>
        <v>0</v>
      </c>
      <c r="I583" s="112"/>
      <c r="J583" s="112"/>
      <c r="K583" s="112"/>
      <c r="L583" s="112"/>
      <c r="M583" s="112"/>
      <c r="N583" s="303"/>
      <c r="O583" s="286"/>
      <c r="P583" s="286"/>
      <c r="Q583" s="286"/>
      <c r="R583" s="286"/>
      <c r="S583" s="286"/>
      <c r="T583" s="286"/>
      <c r="U583" s="286"/>
      <c r="V583" s="286"/>
      <c r="W583" s="286"/>
      <c r="X583" s="286"/>
      <c r="Y583" s="286"/>
      <c r="Z583" s="286"/>
      <c r="AA583" s="286"/>
      <c r="AB583" s="112">
        <f t="shared" ref="AB583:AF583" si="1003">SUM(AB584:AB600)</f>
        <v>0</v>
      </c>
      <c r="AC583" s="112">
        <f t="shared" si="1003"/>
        <v>0</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3"/>
      <c r="BM583" s="310"/>
      <c r="BN583" s="311"/>
    </row>
    <row r="584" s="48" customFormat="1" ht="33.95" hidden="1" customHeight="1" outlineLevel="3" spans="2:66">
      <c r="B584" s="115" t="s">
        <v>747</v>
      </c>
      <c r="C584" s="116" t="s">
        <v>2111</v>
      </c>
      <c r="D584" s="48" t="s">
        <v>2112</v>
      </c>
      <c r="E584" s="115"/>
      <c r="F584" s="115" t="s">
        <v>1572</v>
      </c>
      <c r="G584" s="115" t="s">
        <v>891</v>
      </c>
      <c r="H584" s="115">
        <f t="shared" ref="H584:H600" si="1004">J584*L584</f>
        <v>0</v>
      </c>
      <c r="I584" s="115" t="s">
        <v>1190</v>
      </c>
      <c r="J584" s="115">
        <v>1</v>
      </c>
      <c r="K584" s="115" t="s">
        <v>1191</v>
      </c>
      <c r="L584" s="297"/>
      <c r="M584" s="115" t="s">
        <v>1324</v>
      </c>
      <c r="N584" s="115">
        <f t="shared" ref="N584:N600" si="1005">COUNTA(O584:Z584)</f>
        <v>0</v>
      </c>
      <c r="O584" s="316"/>
      <c r="P584" s="316"/>
      <c r="Q584" s="316"/>
      <c r="R584" s="316"/>
      <c r="S584" s="316"/>
      <c r="T584" s="316"/>
      <c r="U584" s="316"/>
      <c r="V584" s="316"/>
      <c r="W584" s="316"/>
      <c r="X584" s="316"/>
      <c r="Y584" s="316"/>
      <c r="Z584" s="316"/>
      <c r="AA584" s="115"/>
      <c r="AB584" s="115">
        <f t="shared" ref="AB584:AB600" si="1006">SUM(AC584,AF584,AI584,AL584,AO584,AR584,AU584,AX584,BA584,BD584,BG584,BJ584)</f>
        <v>0</v>
      </c>
      <c r="AC584" s="115">
        <f t="shared" ref="AC584:AC600" si="1007">IF(O584="√",$J584*$L584/$N584,0)</f>
        <v>0</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4"/>
      <c r="BM584" s="310"/>
      <c r="BN584" s="312"/>
    </row>
    <row r="585" s="48" customFormat="1" ht="33.95" hidden="1" customHeight="1" outlineLevel="3" spans="2:66">
      <c r="B585" s="115" t="s">
        <v>747</v>
      </c>
      <c r="C585" s="116" t="s">
        <v>2113</v>
      </c>
      <c r="D585" s="48" t="s">
        <v>2114</v>
      </c>
      <c r="E585" s="115"/>
      <c r="F585" s="115" t="s">
        <v>1572</v>
      </c>
      <c r="G585" s="115" t="s">
        <v>891</v>
      </c>
      <c r="H585" s="115">
        <f t="shared" si="1004"/>
        <v>0</v>
      </c>
      <c r="I585" s="115" t="s">
        <v>1190</v>
      </c>
      <c r="J585" s="115">
        <v>1</v>
      </c>
      <c r="K585" s="115" t="s">
        <v>1191</v>
      </c>
      <c r="L585" s="297"/>
      <c r="M585" s="115" t="s">
        <v>1324</v>
      </c>
      <c r="N585" s="115">
        <f t="shared" si="1005"/>
        <v>0</v>
      </c>
      <c r="O585" s="297"/>
      <c r="P585" s="297"/>
      <c r="Q585" s="297"/>
      <c r="R585" s="297"/>
      <c r="S585" s="297"/>
      <c r="T585" s="297"/>
      <c r="U585" s="297"/>
      <c r="V585" s="297"/>
      <c r="W585" s="297"/>
      <c r="X585" s="297"/>
      <c r="Y585" s="297"/>
      <c r="Z585" s="297"/>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4"/>
      <c r="BM585" s="310"/>
      <c r="BN585" s="312"/>
    </row>
    <row r="586" s="48" customFormat="1" ht="33.95" hidden="1" customHeight="1" outlineLevel="3" spans="2:66">
      <c r="B586" s="115" t="s">
        <v>747</v>
      </c>
      <c r="C586" s="116" t="s">
        <v>2115</v>
      </c>
      <c r="D586" s="48" t="s">
        <v>2116</v>
      </c>
      <c r="E586" s="115"/>
      <c r="F586" s="115" t="s">
        <v>1572</v>
      </c>
      <c r="G586" s="115" t="s">
        <v>891</v>
      </c>
      <c r="H586" s="115">
        <f t="shared" si="1004"/>
        <v>0</v>
      </c>
      <c r="I586" s="115" t="s">
        <v>1190</v>
      </c>
      <c r="J586" s="115">
        <v>1</v>
      </c>
      <c r="K586" s="115" t="s">
        <v>1191</v>
      </c>
      <c r="L586" s="297"/>
      <c r="M586" s="115" t="s">
        <v>1324</v>
      </c>
      <c r="N586" s="115">
        <f t="shared" si="1005"/>
        <v>0</v>
      </c>
      <c r="O586" s="297"/>
      <c r="P586" s="297"/>
      <c r="Q586" s="297"/>
      <c r="R586" s="297"/>
      <c r="S586" s="297"/>
      <c r="T586" s="297"/>
      <c r="U586" s="297"/>
      <c r="V586" s="297"/>
      <c r="W586" s="297"/>
      <c r="X586" s="297"/>
      <c r="Y586" s="297"/>
      <c r="Z586" s="297"/>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4"/>
      <c r="BM586" s="310"/>
      <c r="BN586" s="312"/>
    </row>
    <row r="587" s="48" customFormat="1" ht="33.95" hidden="1" customHeight="1" outlineLevel="3" spans="2:66">
      <c r="B587" s="115" t="s">
        <v>747</v>
      </c>
      <c r="C587" s="116" t="s">
        <v>2117</v>
      </c>
      <c r="D587" s="48" t="s">
        <v>2118</v>
      </c>
      <c r="E587" s="115"/>
      <c r="F587" s="115" t="s">
        <v>1572</v>
      </c>
      <c r="G587" s="115" t="s">
        <v>891</v>
      </c>
      <c r="H587" s="115">
        <f t="shared" si="1004"/>
        <v>0</v>
      </c>
      <c r="I587" s="115" t="s">
        <v>1190</v>
      </c>
      <c r="J587" s="115">
        <v>1</v>
      </c>
      <c r="K587" s="115" t="s">
        <v>1191</v>
      </c>
      <c r="L587" s="297"/>
      <c r="M587" s="115" t="s">
        <v>1324</v>
      </c>
      <c r="N587" s="115">
        <f t="shared" si="1005"/>
        <v>0</v>
      </c>
      <c r="O587" s="297"/>
      <c r="P587" s="297"/>
      <c r="Q587" s="297"/>
      <c r="R587" s="297"/>
      <c r="S587" s="297"/>
      <c r="T587" s="297"/>
      <c r="U587" s="297"/>
      <c r="V587" s="297"/>
      <c r="W587" s="297"/>
      <c r="X587" s="297"/>
      <c r="Y587" s="297"/>
      <c r="Z587" s="297"/>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4"/>
      <c r="BM587" s="310"/>
      <c r="BN587" s="312"/>
    </row>
    <row r="588" s="48" customFormat="1" ht="33.95" hidden="1" customHeight="1" outlineLevel="3" spans="2:66">
      <c r="B588" s="115" t="s">
        <v>747</v>
      </c>
      <c r="C588" s="116" t="s">
        <v>2119</v>
      </c>
      <c r="D588" s="48" t="s">
        <v>2120</v>
      </c>
      <c r="E588" s="115"/>
      <c r="F588" s="115" t="s">
        <v>1572</v>
      </c>
      <c r="G588" s="115" t="s">
        <v>891</v>
      </c>
      <c r="H588" s="115">
        <f t="shared" si="1004"/>
        <v>0</v>
      </c>
      <c r="I588" s="115" t="s">
        <v>1190</v>
      </c>
      <c r="J588" s="115">
        <v>1</v>
      </c>
      <c r="K588" s="115" t="s">
        <v>1191</v>
      </c>
      <c r="L588" s="297"/>
      <c r="M588" s="115" t="s">
        <v>1324</v>
      </c>
      <c r="N588" s="115">
        <f t="shared" si="1005"/>
        <v>0</v>
      </c>
      <c r="O588" s="297"/>
      <c r="P588" s="297"/>
      <c r="Q588" s="297"/>
      <c r="R588" s="297"/>
      <c r="S588" s="297"/>
      <c r="T588" s="297"/>
      <c r="U588" s="297"/>
      <c r="V588" s="297"/>
      <c r="W588" s="297"/>
      <c r="X588" s="297"/>
      <c r="Y588" s="297"/>
      <c r="Z588" s="297"/>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4"/>
      <c r="BM588" s="310"/>
      <c r="BN588" s="312"/>
    </row>
    <row r="589" s="48" customFormat="1" ht="33.95" hidden="1" customHeight="1" outlineLevel="3" spans="2:66">
      <c r="B589" s="115" t="s">
        <v>747</v>
      </c>
      <c r="C589" s="116" t="s">
        <v>2121</v>
      </c>
      <c r="D589" s="48" t="s">
        <v>2122</v>
      </c>
      <c r="E589" s="115"/>
      <c r="F589" s="115" t="s">
        <v>1572</v>
      </c>
      <c r="G589" s="115" t="s">
        <v>891</v>
      </c>
      <c r="H589" s="115">
        <f t="shared" si="1004"/>
        <v>0</v>
      </c>
      <c r="I589" s="115" t="s">
        <v>1190</v>
      </c>
      <c r="J589" s="115">
        <v>1</v>
      </c>
      <c r="K589" s="115" t="s">
        <v>1191</v>
      </c>
      <c r="L589" s="297"/>
      <c r="M589" s="115" t="s">
        <v>1324</v>
      </c>
      <c r="N589" s="115">
        <f t="shared" si="1005"/>
        <v>0</v>
      </c>
      <c r="O589" s="297"/>
      <c r="P589" s="297"/>
      <c r="Q589" s="297"/>
      <c r="R589" s="297"/>
      <c r="S589" s="297"/>
      <c r="T589" s="297"/>
      <c r="U589" s="297"/>
      <c r="V589" s="297"/>
      <c r="W589" s="297"/>
      <c r="X589" s="297"/>
      <c r="Y589" s="297"/>
      <c r="Z589" s="297"/>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4"/>
      <c r="BM589" s="310"/>
      <c r="BN589" s="312"/>
    </row>
    <row r="590" s="48" customFormat="1" ht="33.95" hidden="1" customHeight="1" outlineLevel="3" spans="2:66">
      <c r="B590" s="115" t="s">
        <v>747</v>
      </c>
      <c r="C590" s="116" t="s">
        <v>2123</v>
      </c>
      <c r="D590" s="48" t="s">
        <v>2124</v>
      </c>
      <c r="E590" s="115"/>
      <c r="F590" s="115" t="s">
        <v>1572</v>
      </c>
      <c r="G590" s="115" t="s">
        <v>891</v>
      </c>
      <c r="H590" s="115">
        <f t="shared" si="1004"/>
        <v>0</v>
      </c>
      <c r="I590" s="115" t="s">
        <v>1190</v>
      </c>
      <c r="J590" s="115">
        <v>1</v>
      </c>
      <c r="K590" s="115" t="s">
        <v>1191</v>
      </c>
      <c r="L590" s="297"/>
      <c r="M590" s="115" t="s">
        <v>1324</v>
      </c>
      <c r="N590" s="115">
        <f t="shared" si="1005"/>
        <v>0</v>
      </c>
      <c r="O590" s="297"/>
      <c r="P590" s="297"/>
      <c r="Q590" s="297"/>
      <c r="R590" s="297"/>
      <c r="S590" s="297"/>
      <c r="T590" s="297"/>
      <c r="U590" s="297"/>
      <c r="V590" s="297"/>
      <c r="W590" s="297"/>
      <c r="X590" s="297"/>
      <c r="Y590" s="297"/>
      <c r="Z590" s="297"/>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4"/>
      <c r="BM590" s="310"/>
      <c r="BN590" s="312"/>
    </row>
    <row r="591" s="48" customFormat="1" ht="33.95" hidden="1" customHeight="1" outlineLevel="3" spans="2:66">
      <c r="B591" s="115" t="s">
        <v>747</v>
      </c>
      <c r="C591" s="116" t="s">
        <v>2125</v>
      </c>
      <c r="D591" s="48" t="s">
        <v>2126</v>
      </c>
      <c r="E591" s="115"/>
      <c r="F591" s="115" t="s">
        <v>1572</v>
      </c>
      <c r="G591" s="115" t="s">
        <v>891</v>
      </c>
      <c r="H591" s="115">
        <f t="shared" si="1004"/>
        <v>0</v>
      </c>
      <c r="I591" s="115" t="s">
        <v>1190</v>
      </c>
      <c r="J591" s="115">
        <v>1</v>
      </c>
      <c r="K591" s="115" t="s">
        <v>1191</v>
      </c>
      <c r="L591" s="297"/>
      <c r="M591" s="115" t="s">
        <v>1324</v>
      </c>
      <c r="N591" s="115">
        <f t="shared" si="1005"/>
        <v>0</v>
      </c>
      <c r="O591" s="297"/>
      <c r="P591" s="297"/>
      <c r="Q591" s="297"/>
      <c r="R591" s="297"/>
      <c r="S591" s="297"/>
      <c r="T591" s="297"/>
      <c r="U591" s="297"/>
      <c r="V591" s="297"/>
      <c r="W591" s="297"/>
      <c r="X591" s="297"/>
      <c r="Y591" s="297"/>
      <c r="Z591" s="297"/>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4"/>
      <c r="BM591" s="310"/>
      <c r="BN591" s="312"/>
    </row>
    <row r="592" s="48" customFormat="1" ht="33.95" hidden="1" customHeight="1" outlineLevel="3" spans="2:66">
      <c r="B592" s="115" t="s">
        <v>747</v>
      </c>
      <c r="C592" s="116" t="s">
        <v>2127</v>
      </c>
      <c r="D592" s="48" t="s">
        <v>2128</v>
      </c>
      <c r="E592" s="115"/>
      <c r="F592" s="115" t="s">
        <v>1572</v>
      </c>
      <c r="G592" s="115" t="s">
        <v>891</v>
      </c>
      <c r="H592" s="115">
        <f t="shared" si="1004"/>
        <v>0</v>
      </c>
      <c r="I592" s="115" t="s">
        <v>1190</v>
      </c>
      <c r="J592" s="115">
        <v>1</v>
      </c>
      <c r="K592" s="115" t="s">
        <v>1191</v>
      </c>
      <c r="L592" s="297"/>
      <c r="M592" s="115" t="s">
        <v>1324</v>
      </c>
      <c r="N592" s="115">
        <f t="shared" si="1005"/>
        <v>0</v>
      </c>
      <c r="O592" s="297"/>
      <c r="P592" s="297"/>
      <c r="Q592" s="297"/>
      <c r="R592" s="297"/>
      <c r="S592" s="297"/>
      <c r="T592" s="297"/>
      <c r="U592" s="297"/>
      <c r="V592" s="297"/>
      <c r="W592" s="297"/>
      <c r="X592" s="297"/>
      <c r="Y592" s="297"/>
      <c r="Z592" s="297"/>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4"/>
      <c r="BM592" s="310"/>
      <c r="BN592" s="312"/>
    </row>
    <row r="593" s="48" customFormat="1" ht="33.95" hidden="1" customHeight="1" outlineLevel="3" spans="2:66">
      <c r="B593" s="115" t="s">
        <v>747</v>
      </c>
      <c r="C593" s="116" t="s">
        <v>2129</v>
      </c>
      <c r="D593" s="48" t="s">
        <v>2130</v>
      </c>
      <c r="E593" s="115"/>
      <c r="F593" s="115" t="s">
        <v>1572</v>
      </c>
      <c r="G593" s="115" t="s">
        <v>891</v>
      </c>
      <c r="H593" s="115">
        <f t="shared" si="1004"/>
        <v>0</v>
      </c>
      <c r="I593" s="115" t="s">
        <v>1190</v>
      </c>
      <c r="J593" s="115">
        <v>1</v>
      </c>
      <c r="K593" s="115" t="s">
        <v>1191</v>
      </c>
      <c r="L593" s="297"/>
      <c r="M593" s="115" t="s">
        <v>1324</v>
      </c>
      <c r="N593" s="115">
        <f t="shared" si="1005"/>
        <v>0</v>
      </c>
      <c r="O593" s="297"/>
      <c r="P593" s="297"/>
      <c r="Q593" s="297"/>
      <c r="R593" s="297"/>
      <c r="S593" s="297"/>
      <c r="T593" s="297"/>
      <c r="U593" s="297"/>
      <c r="V593" s="297"/>
      <c r="W593" s="297"/>
      <c r="X593" s="297"/>
      <c r="Y593" s="297"/>
      <c r="Z593" s="297"/>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4"/>
      <c r="BM593" s="310"/>
      <c r="BN593" s="312"/>
    </row>
    <row r="594" s="48" customFormat="1" ht="33.95" hidden="1" customHeight="1" outlineLevel="3" spans="2:66">
      <c r="B594" s="115" t="s">
        <v>747</v>
      </c>
      <c r="C594" s="116" t="s">
        <v>2131</v>
      </c>
      <c r="D594" s="48" t="s">
        <v>2132</v>
      </c>
      <c r="E594" s="115"/>
      <c r="F594" s="115" t="s">
        <v>1572</v>
      </c>
      <c r="G594" s="115" t="s">
        <v>891</v>
      </c>
      <c r="H594" s="115">
        <f t="shared" si="1004"/>
        <v>0</v>
      </c>
      <c r="I594" s="115" t="s">
        <v>1190</v>
      </c>
      <c r="J594" s="115">
        <v>1</v>
      </c>
      <c r="K594" s="115" t="s">
        <v>1191</v>
      </c>
      <c r="L594" s="297"/>
      <c r="M594" s="115" t="s">
        <v>1324</v>
      </c>
      <c r="N594" s="115">
        <f t="shared" si="1005"/>
        <v>0</v>
      </c>
      <c r="O594" s="297"/>
      <c r="P594" s="297"/>
      <c r="Q594" s="297"/>
      <c r="R594" s="297"/>
      <c r="S594" s="297"/>
      <c r="T594" s="297"/>
      <c r="U594" s="297"/>
      <c r="V594" s="297"/>
      <c r="W594" s="297"/>
      <c r="X594" s="297"/>
      <c r="Y594" s="297"/>
      <c r="Z594" s="297"/>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4"/>
      <c r="BM594" s="310"/>
      <c r="BN594" s="312"/>
    </row>
    <row r="595" s="48" customFormat="1" ht="33.95" hidden="1" customHeight="1" outlineLevel="3" spans="2:66">
      <c r="B595" s="115" t="s">
        <v>747</v>
      </c>
      <c r="C595" s="116" t="s">
        <v>2133</v>
      </c>
      <c r="D595" s="48" t="s">
        <v>2134</v>
      </c>
      <c r="E595" s="115"/>
      <c r="F595" s="115" t="s">
        <v>1572</v>
      </c>
      <c r="G595" s="115" t="s">
        <v>891</v>
      </c>
      <c r="H595" s="115">
        <f t="shared" si="1004"/>
        <v>0</v>
      </c>
      <c r="I595" s="115" t="s">
        <v>1190</v>
      </c>
      <c r="J595" s="115">
        <v>1</v>
      </c>
      <c r="K595" s="115" t="s">
        <v>1191</v>
      </c>
      <c r="L595" s="297"/>
      <c r="M595" s="115" t="s">
        <v>1324</v>
      </c>
      <c r="N595" s="115">
        <f t="shared" si="1005"/>
        <v>0</v>
      </c>
      <c r="O595" s="297"/>
      <c r="P595" s="297"/>
      <c r="Q595" s="297"/>
      <c r="R595" s="297"/>
      <c r="S595" s="297"/>
      <c r="T595" s="297"/>
      <c r="U595" s="297"/>
      <c r="V595" s="297"/>
      <c r="W595" s="297"/>
      <c r="X595" s="297"/>
      <c r="Y595" s="297"/>
      <c r="Z595" s="297"/>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4"/>
      <c r="BM595" s="310"/>
      <c r="BN595" s="312"/>
    </row>
    <row r="596" s="48" customFormat="1" ht="33.95" hidden="1" customHeight="1" outlineLevel="3" spans="2:66">
      <c r="B596" s="115" t="s">
        <v>747</v>
      </c>
      <c r="C596" s="116" t="s">
        <v>2135</v>
      </c>
      <c r="D596" s="48" t="s">
        <v>2136</v>
      </c>
      <c r="E596" s="115"/>
      <c r="F596" s="115" t="s">
        <v>1572</v>
      </c>
      <c r="G596" s="115" t="s">
        <v>891</v>
      </c>
      <c r="H596" s="115">
        <f t="shared" si="1004"/>
        <v>0</v>
      </c>
      <c r="I596" s="115" t="s">
        <v>1190</v>
      </c>
      <c r="J596" s="115">
        <v>1</v>
      </c>
      <c r="K596" s="115" t="s">
        <v>1191</v>
      </c>
      <c r="L596" s="297"/>
      <c r="M596" s="115" t="s">
        <v>1324</v>
      </c>
      <c r="N596" s="115">
        <f t="shared" si="1005"/>
        <v>0</v>
      </c>
      <c r="O596" s="297"/>
      <c r="P596" s="297"/>
      <c r="Q596" s="297"/>
      <c r="R596" s="297"/>
      <c r="S596" s="297"/>
      <c r="T596" s="297"/>
      <c r="U596" s="297"/>
      <c r="V596" s="297"/>
      <c r="W596" s="297"/>
      <c r="X596" s="297"/>
      <c r="Y596" s="297"/>
      <c r="Z596" s="297"/>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4"/>
      <c r="BM596" s="310"/>
      <c r="BN596" s="312"/>
    </row>
    <row r="597" s="48" customFormat="1" ht="33.95" hidden="1" customHeight="1" outlineLevel="3" spans="2:66">
      <c r="B597" s="115" t="s">
        <v>747</v>
      </c>
      <c r="C597" s="116" t="s">
        <v>2137</v>
      </c>
      <c r="D597" s="48" t="s">
        <v>2138</v>
      </c>
      <c r="E597" s="115"/>
      <c r="F597" s="115" t="s">
        <v>1572</v>
      </c>
      <c r="G597" s="115" t="s">
        <v>891</v>
      </c>
      <c r="H597" s="115">
        <f t="shared" si="1004"/>
        <v>0</v>
      </c>
      <c r="I597" s="115" t="s">
        <v>1190</v>
      </c>
      <c r="J597" s="115">
        <v>1</v>
      </c>
      <c r="K597" s="115" t="s">
        <v>1191</v>
      </c>
      <c r="L597" s="297"/>
      <c r="M597" s="115" t="s">
        <v>1324</v>
      </c>
      <c r="N597" s="115">
        <f t="shared" si="1005"/>
        <v>0</v>
      </c>
      <c r="O597" s="297"/>
      <c r="P597" s="297"/>
      <c r="Q597" s="297"/>
      <c r="R597" s="297"/>
      <c r="S597" s="297"/>
      <c r="T597" s="297"/>
      <c r="U597" s="297"/>
      <c r="V597" s="297"/>
      <c r="W597" s="297"/>
      <c r="X597" s="297"/>
      <c r="Y597" s="297"/>
      <c r="Z597" s="297"/>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4"/>
      <c r="BM597" s="310"/>
      <c r="BN597" s="312"/>
    </row>
    <row r="598" s="48" customFormat="1" ht="33.95" hidden="1" customHeight="1" outlineLevel="3" spans="2:66">
      <c r="B598" s="115" t="s">
        <v>747</v>
      </c>
      <c r="C598" s="116" t="s">
        <v>2139</v>
      </c>
      <c r="D598" s="48" t="s">
        <v>2140</v>
      </c>
      <c r="E598" s="115"/>
      <c r="F598" s="115" t="s">
        <v>1572</v>
      </c>
      <c r="G598" s="115" t="s">
        <v>891</v>
      </c>
      <c r="H598" s="115">
        <f t="shared" si="1004"/>
        <v>0</v>
      </c>
      <c r="I598" s="115" t="s">
        <v>1190</v>
      </c>
      <c r="J598" s="115">
        <v>1</v>
      </c>
      <c r="K598" s="115" t="s">
        <v>1191</v>
      </c>
      <c r="L598" s="297"/>
      <c r="M598" s="115" t="s">
        <v>1324</v>
      </c>
      <c r="N598" s="115">
        <f t="shared" si="1005"/>
        <v>0</v>
      </c>
      <c r="O598" s="297"/>
      <c r="P598" s="297"/>
      <c r="Q598" s="297"/>
      <c r="R598" s="297"/>
      <c r="S598" s="297"/>
      <c r="T598" s="297"/>
      <c r="U598" s="297"/>
      <c r="V598" s="297"/>
      <c r="W598" s="297"/>
      <c r="X598" s="297"/>
      <c r="Y598" s="297"/>
      <c r="Z598" s="297"/>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4"/>
      <c r="BM598" s="310"/>
      <c r="BN598" s="312"/>
    </row>
    <row r="599" s="48" customFormat="1" ht="33.95" hidden="1" customHeight="1" outlineLevel="3" spans="2:66">
      <c r="B599" s="115" t="s">
        <v>747</v>
      </c>
      <c r="C599" s="116" t="s">
        <v>2141</v>
      </c>
      <c r="D599" s="48" t="s">
        <v>2142</v>
      </c>
      <c r="E599" s="115"/>
      <c r="F599" s="115" t="s">
        <v>1572</v>
      </c>
      <c r="G599" s="115" t="s">
        <v>891</v>
      </c>
      <c r="H599" s="115">
        <f t="shared" si="1004"/>
        <v>0</v>
      </c>
      <c r="I599" s="115" t="s">
        <v>1190</v>
      </c>
      <c r="J599" s="115">
        <v>1</v>
      </c>
      <c r="K599" s="115" t="s">
        <v>1191</v>
      </c>
      <c r="L599" s="297"/>
      <c r="M599" s="115" t="s">
        <v>1324</v>
      </c>
      <c r="N599" s="115">
        <f t="shared" si="1005"/>
        <v>0</v>
      </c>
      <c r="O599" s="297"/>
      <c r="P599" s="297"/>
      <c r="Q599" s="297"/>
      <c r="R599" s="297"/>
      <c r="S599" s="297"/>
      <c r="T599" s="297"/>
      <c r="U599" s="297"/>
      <c r="V599" s="297"/>
      <c r="W599" s="297"/>
      <c r="X599" s="297"/>
      <c r="Y599" s="297"/>
      <c r="Z599" s="297"/>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4"/>
      <c r="BM599" s="310"/>
      <c r="BN599" s="312"/>
    </row>
    <row r="600" s="48" customFormat="1" ht="33.95" hidden="1" customHeight="1" outlineLevel="3" spans="2:66">
      <c r="B600" s="115" t="s">
        <v>747</v>
      </c>
      <c r="C600" s="116" t="s">
        <v>2143</v>
      </c>
      <c r="D600" s="48" t="s">
        <v>2144</v>
      </c>
      <c r="E600" s="115"/>
      <c r="F600" s="115" t="s">
        <v>1572</v>
      </c>
      <c r="G600" s="115" t="s">
        <v>891</v>
      </c>
      <c r="H600" s="115">
        <f t="shared" si="1004"/>
        <v>0</v>
      </c>
      <c r="I600" s="115" t="s">
        <v>1190</v>
      </c>
      <c r="J600" s="115">
        <v>1</v>
      </c>
      <c r="K600" s="115" t="s">
        <v>1191</v>
      </c>
      <c r="L600" s="297"/>
      <c r="M600" s="115" t="s">
        <v>1324</v>
      </c>
      <c r="N600" s="115">
        <f t="shared" si="1005"/>
        <v>0</v>
      </c>
      <c r="O600" s="315"/>
      <c r="P600" s="315"/>
      <c r="Q600" s="315"/>
      <c r="R600" s="315"/>
      <c r="S600" s="315"/>
      <c r="T600" s="315"/>
      <c r="U600" s="315"/>
      <c r="V600" s="315"/>
      <c r="W600" s="315"/>
      <c r="X600" s="315"/>
      <c r="Y600" s="315"/>
      <c r="Z600" s="315"/>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4"/>
      <c r="BM600" s="310"/>
      <c r="BN600" s="312"/>
    </row>
    <row r="601" s="22" customFormat="1" ht="33.95" hidden="1" customHeight="1" outlineLevel="2" collapsed="1" spans="2:66">
      <c r="B601" s="112" t="s">
        <v>742</v>
      </c>
      <c r="C601" s="113" t="s">
        <v>2145</v>
      </c>
      <c r="D601" s="22" t="s">
        <v>2146</v>
      </c>
      <c r="E601" s="112"/>
      <c r="F601" s="112"/>
      <c r="G601" s="112"/>
      <c r="H601" s="112">
        <f>SUM(H602:H604)</f>
        <v>0</v>
      </c>
      <c r="I601" s="112"/>
      <c r="J601" s="112"/>
      <c r="K601" s="112"/>
      <c r="L601" s="112"/>
      <c r="M601" s="112"/>
      <c r="N601" s="303"/>
      <c r="O601" s="286"/>
      <c r="P601" s="286"/>
      <c r="Q601" s="286"/>
      <c r="R601" s="286"/>
      <c r="S601" s="286"/>
      <c r="T601" s="286"/>
      <c r="U601" s="286"/>
      <c r="V601" s="286"/>
      <c r="W601" s="286"/>
      <c r="X601" s="286"/>
      <c r="Y601" s="286"/>
      <c r="Z601" s="286"/>
      <c r="AA601" s="286"/>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3"/>
      <c r="BM601" s="310"/>
      <c r="BN601" s="311"/>
    </row>
    <row r="602" s="48" customFormat="1" ht="33.95" hidden="1" customHeight="1" outlineLevel="3" spans="2:66">
      <c r="B602" s="115" t="s">
        <v>747</v>
      </c>
      <c r="C602" s="116" t="s">
        <v>2147</v>
      </c>
      <c r="D602" s="48" t="s">
        <v>2148</v>
      </c>
      <c r="E602" s="115"/>
      <c r="F602" s="115" t="s">
        <v>1572</v>
      </c>
      <c r="G602" s="115" t="s">
        <v>891</v>
      </c>
      <c r="H602" s="115">
        <f t="shared" ref="H602:H604" si="1020">J602*L602</f>
        <v>0</v>
      </c>
      <c r="I602" s="115" t="s">
        <v>1190</v>
      </c>
      <c r="J602" s="115">
        <v>1</v>
      </c>
      <c r="K602" s="115" t="s">
        <v>1191</v>
      </c>
      <c r="L602" s="297"/>
      <c r="M602" s="115" t="s">
        <v>1324</v>
      </c>
      <c r="N602" s="115">
        <f t="shared" ref="N602:N604" si="1021">COUNTA(O602:Z602)</f>
        <v>0</v>
      </c>
      <c r="O602" s="316"/>
      <c r="P602" s="316"/>
      <c r="Q602" s="316"/>
      <c r="R602" s="316"/>
      <c r="S602" s="316"/>
      <c r="T602" s="316"/>
      <c r="U602" s="316"/>
      <c r="V602" s="316"/>
      <c r="W602" s="316"/>
      <c r="X602" s="316"/>
      <c r="Y602" s="316"/>
      <c r="Z602" s="316"/>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4"/>
      <c r="BM602" s="310"/>
      <c r="BN602" s="312"/>
    </row>
    <row r="603" s="48" customFormat="1" ht="33.95" hidden="1" customHeight="1" outlineLevel="3" spans="2:66">
      <c r="B603" s="115" t="s">
        <v>747</v>
      </c>
      <c r="C603" s="116" t="s">
        <v>2149</v>
      </c>
      <c r="D603" s="48" t="s">
        <v>2150</v>
      </c>
      <c r="E603" s="115"/>
      <c r="F603" s="115" t="s">
        <v>1572</v>
      </c>
      <c r="G603" s="115" t="s">
        <v>891</v>
      </c>
      <c r="H603" s="115">
        <f t="shared" si="1020"/>
        <v>0</v>
      </c>
      <c r="I603" s="115" t="s">
        <v>1190</v>
      </c>
      <c r="J603" s="115">
        <v>1</v>
      </c>
      <c r="K603" s="115" t="s">
        <v>1191</v>
      </c>
      <c r="L603" s="297"/>
      <c r="M603" s="115" t="s">
        <v>1324</v>
      </c>
      <c r="N603" s="115">
        <f t="shared" si="1021"/>
        <v>0</v>
      </c>
      <c r="O603" s="297"/>
      <c r="P603" s="297"/>
      <c r="Q603" s="297"/>
      <c r="R603" s="297"/>
      <c r="S603" s="297"/>
      <c r="T603" s="297"/>
      <c r="U603" s="297"/>
      <c r="V603" s="297"/>
      <c r="W603" s="297"/>
      <c r="X603" s="297"/>
      <c r="Y603" s="297"/>
      <c r="Z603" s="297"/>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4"/>
      <c r="BM603" s="310"/>
      <c r="BN603" s="312"/>
    </row>
    <row r="604" s="48" customFormat="1" ht="33.95" hidden="1" customHeight="1" outlineLevel="3" spans="2:66">
      <c r="B604" s="115" t="s">
        <v>747</v>
      </c>
      <c r="C604" s="116" t="s">
        <v>2151</v>
      </c>
      <c r="D604" s="48" t="s">
        <v>2152</v>
      </c>
      <c r="E604" s="115"/>
      <c r="F604" s="115" t="s">
        <v>1572</v>
      </c>
      <c r="G604" s="115" t="s">
        <v>891</v>
      </c>
      <c r="H604" s="115">
        <f t="shared" si="1020"/>
        <v>0</v>
      </c>
      <c r="I604" s="115" t="s">
        <v>1190</v>
      </c>
      <c r="J604" s="115">
        <v>1</v>
      </c>
      <c r="K604" s="115" t="s">
        <v>1191</v>
      </c>
      <c r="L604" s="297"/>
      <c r="M604" s="115" t="s">
        <v>1324</v>
      </c>
      <c r="N604" s="115">
        <f t="shared" si="1021"/>
        <v>0</v>
      </c>
      <c r="O604" s="315"/>
      <c r="P604" s="315"/>
      <c r="Q604" s="315"/>
      <c r="R604" s="315"/>
      <c r="S604" s="315"/>
      <c r="T604" s="315"/>
      <c r="U604" s="315"/>
      <c r="V604" s="315"/>
      <c r="W604" s="315"/>
      <c r="X604" s="315"/>
      <c r="Y604" s="315"/>
      <c r="Z604" s="315"/>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4"/>
      <c r="BM604" s="310"/>
      <c r="BN604" s="312"/>
    </row>
    <row r="605" s="22" customFormat="1" ht="33.95" hidden="1" customHeight="1" outlineLevel="2" collapsed="1" spans="2:66">
      <c r="B605" s="112" t="s">
        <v>742</v>
      </c>
      <c r="C605" s="113" t="s">
        <v>2153</v>
      </c>
      <c r="D605" s="22" t="s">
        <v>2154</v>
      </c>
      <c r="E605" s="112"/>
      <c r="F605" s="112"/>
      <c r="G605" s="112"/>
      <c r="H605" s="112">
        <f>SUM(H606:H613)</f>
        <v>0</v>
      </c>
      <c r="I605" s="112"/>
      <c r="J605" s="112"/>
      <c r="K605" s="112"/>
      <c r="L605" s="112"/>
      <c r="M605" s="112"/>
      <c r="N605" s="303"/>
      <c r="O605" s="286"/>
      <c r="P605" s="286"/>
      <c r="Q605" s="286"/>
      <c r="R605" s="286"/>
      <c r="S605" s="286"/>
      <c r="T605" s="286"/>
      <c r="U605" s="286"/>
      <c r="V605" s="286"/>
      <c r="W605" s="286"/>
      <c r="X605" s="286"/>
      <c r="Y605" s="286"/>
      <c r="Z605" s="286"/>
      <c r="AA605" s="286"/>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3"/>
      <c r="BM605" s="310"/>
      <c r="BN605" s="311"/>
    </row>
    <row r="606" s="48" customFormat="1" ht="33.95" hidden="1" customHeight="1" outlineLevel="3" spans="2:66">
      <c r="B606" s="115" t="s">
        <v>747</v>
      </c>
      <c r="C606" s="116" t="s">
        <v>2155</v>
      </c>
      <c r="D606" s="48" t="s">
        <v>2156</v>
      </c>
      <c r="E606" s="115"/>
      <c r="F606" s="115" t="s">
        <v>1572</v>
      </c>
      <c r="G606" s="115" t="s">
        <v>891</v>
      </c>
      <c r="H606" s="115">
        <f t="shared" ref="H606:H613" si="1036">J606*L606</f>
        <v>0</v>
      </c>
      <c r="I606" s="115" t="s">
        <v>1190</v>
      </c>
      <c r="J606" s="115">
        <v>1</v>
      </c>
      <c r="K606" s="115" t="s">
        <v>1191</v>
      </c>
      <c r="L606" s="297"/>
      <c r="M606" s="115" t="s">
        <v>1324</v>
      </c>
      <c r="N606" s="115">
        <f t="shared" ref="N606:N613" si="1037">COUNTA(O606:Z606)</f>
        <v>0</v>
      </c>
      <c r="O606" s="316"/>
      <c r="P606" s="316"/>
      <c r="Q606" s="316"/>
      <c r="R606" s="316"/>
      <c r="S606" s="316"/>
      <c r="T606" s="316"/>
      <c r="U606" s="316"/>
      <c r="V606" s="316"/>
      <c r="W606" s="316"/>
      <c r="X606" s="316"/>
      <c r="Y606" s="316"/>
      <c r="Z606" s="316"/>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4"/>
      <c r="BM606" s="310"/>
      <c r="BN606" s="312"/>
    </row>
    <row r="607" s="48" customFormat="1" ht="33.95" hidden="1" customHeight="1" outlineLevel="3" spans="2:66">
      <c r="B607" s="115" t="s">
        <v>747</v>
      </c>
      <c r="C607" s="116" t="s">
        <v>2157</v>
      </c>
      <c r="D607" s="48" t="s">
        <v>2158</v>
      </c>
      <c r="E607" s="115"/>
      <c r="F607" s="115" t="s">
        <v>1572</v>
      </c>
      <c r="G607" s="115" t="s">
        <v>891</v>
      </c>
      <c r="H607" s="115">
        <f t="shared" si="1036"/>
        <v>0</v>
      </c>
      <c r="I607" s="115" t="s">
        <v>1190</v>
      </c>
      <c r="J607" s="115">
        <v>1</v>
      </c>
      <c r="K607" s="115" t="s">
        <v>1191</v>
      </c>
      <c r="L607" s="297"/>
      <c r="M607" s="115" t="s">
        <v>1324</v>
      </c>
      <c r="N607" s="115">
        <f t="shared" si="1037"/>
        <v>0</v>
      </c>
      <c r="O607" s="297"/>
      <c r="P607" s="297"/>
      <c r="Q607" s="297"/>
      <c r="R607" s="297"/>
      <c r="S607" s="297"/>
      <c r="T607" s="297"/>
      <c r="U607" s="297"/>
      <c r="V607" s="297"/>
      <c r="W607" s="297"/>
      <c r="X607" s="297"/>
      <c r="Y607" s="297"/>
      <c r="Z607" s="297"/>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4"/>
      <c r="BM607" s="310"/>
      <c r="BN607" s="312"/>
    </row>
    <row r="608" s="48" customFormat="1" ht="33.95" hidden="1" customHeight="1" outlineLevel="3" spans="2:66">
      <c r="B608" s="115" t="s">
        <v>747</v>
      </c>
      <c r="C608" s="116" t="s">
        <v>2159</v>
      </c>
      <c r="D608" s="48" t="s">
        <v>2160</v>
      </c>
      <c r="E608" s="115"/>
      <c r="F608" s="115" t="s">
        <v>1572</v>
      </c>
      <c r="G608" s="115" t="s">
        <v>891</v>
      </c>
      <c r="H608" s="115">
        <f t="shared" si="1036"/>
        <v>0</v>
      </c>
      <c r="I608" s="115" t="s">
        <v>1190</v>
      </c>
      <c r="J608" s="115">
        <v>1</v>
      </c>
      <c r="K608" s="115" t="s">
        <v>1191</v>
      </c>
      <c r="L608" s="297"/>
      <c r="M608" s="115" t="s">
        <v>1324</v>
      </c>
      <c r="N608" s="115">
        <f t="shared" si="1037"/>
        <v>0</v>
      </c>
      <c r="O608" s="297"/>
      <c r="P608" s="297"/>
      <c r="Q608" s="297"/>
      <c r="R608" s="297"/>
      <c r="S608" s="297"/>
      <c r="T608" s="297"/>
      <c r="U608" s="297"/>
      <c r="V608" s="297"/>
      <c r="W608" s="297"/>
      <c r="X608" s="297"/>
      <c r="Y608" s="297"/>
      <c r="Z608" s="297"/>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4"/>
      <c r="BM608" s="310"/>
      <c r="BN608" s="312"/>
    </row>
    <row r="609" s="48" customFormat="1" ht="33.95" hidden="1" customHeight="1" outlineLevel="3" spans="2:66">
      <c r="B609" s="115" t="s">
        <v>747</v>
      </c>
      <c r="C609" s="116" t="s">
        <v>2161</v>
      </c>
      <c r="D609" s="48" t="s">
        <v>2162</v>
      </c>
      <c r="E609" s="115"/>
      <c r="F609" s="115" t="s">
        <v>1572</v>
      </c>
      <c r="G609" s="115" t="s">
        <v>891</v>
      </c>
      <c r="H609" s="115">
        <f t="shared" si="1036"/>
        <v>0</v>
      </c>
      <c r="I609" s="115" t="s">
        <v>1190</v>
      </c>
      <c r="J609" s="115">
        <v>1</v>
      </c>
      <c r="K609" s="115" t="s">
        <v>1191</v>
      </c>
      <c r="L609" s="297"/>
      <c r="M609" s="115" t="s">
        <v>1324</v>
      </c>
      <c r="N609" s="115">
        <f t="shared" si="1037"/>
        <v>0</v>
      </c>
      <c r="O609" s="297"/>
      <c r="P609" s="297"/>
      <c r="Q609" s="297"/>
      <c r="R609" s="297"/>
      <c r="S609" s="297"/>
      <c r="T609" s="297"/>
      <c r="U609" s="297"/>
      <c r="V609" s="297"/>
      <c r="W609" s="297"/>
      <c r="X609" s="297"/>
      <c r="Y609" s="297"/>
      <c r="Z609" s="297"/>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4"/>
      <c r="BM609" s="310"/>
      <c r="BN609" s="312"/>
    </row>
    <row r="610" s="48" customFormat="1" ht="33.95" hidden="1" customHeight="1" outlineLevel="3" spans="2:66">
      <c r="B610" s="115" t="s">
        <v>747</v>
      </c>
      <c r="C610" s="116" t="s">
        <v>2163</v>
      </c>
      <c r="D610" s="48" t="s">
        <v>2164</v>
      </c>
      <c r="E610" s="115"/>
      <c r="F610" s="115" t="s">
        <v>1572</v>
      </c>
      <c r="G610" s="115" t="s">
        <v>891</v>
      </c>
      <c r="H610" s="115">
        <f t="shared" si="1036"/>
        <v>0</v>
      </c>
      <c r="I610" s="115" t="s">
        <v>1190</v>
      </c>
      <c r="J610" s="115">
        <v>1</v>
      </c>
      <c r="K610" s="115" t="s">
        <v>1191</v>
      </c>
      <c r="L610" s="297"/>
      <c r="M610" s="115" t="s">
        <v>1324</v>
      </c>
      <c r="N610" s="115">
        <f t="shared" si="1037"/>
        <v>0</v>
      </c>
      <c r="O610" s="297"/>
      <c r="P610" s="297"/>
      <c r="Q610" s="297"/>
      <c r="R610" s="297"/>
      <c r="S610" s="297"/>
      <c r="T610" s="297"/>
      <c r="U610" s="297"/>
      <c r="V610" s="297"/>
      <c r="W610" s="297"/>
      <c r="X610" s="297"/>
      <c r="Y610" s="297"/>
      <c r="Z610" s="297"/>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4"/>
      <c r="BM610" s="310"/>
      <c r="BN610" s="312"/>
    </row>
    <row r="611" s="48" customFormat="1" ht="33.95" hidden="1" customHeight="1" outlineLevel="3" spans="2:66">
      <c r="B611" s="115" t="s">
        <v>747</v>
      </c>
      <c r="C611" s="116" t="s">
        <v>2165</v>
      </c>
      <c r="D611" s="48" t="s">
        <v>2166</v>
      </c>
      <c r="E611" s="115"/>
      <c r="F611" s="115" t="s">
        <v>1572</v>
      </c>
      <c r="G611" s="115" t="s">
        <v>891</v>
      </c>
      <c r="H611" s="115">
        <f t="shared" si="1036"/>
        <v>0</v>
      </c>
      <c r="I611" s="115" t="s">
        <v>1190</v>
      </c>
      <c r="J611" s="115">
        <v>1</v>
      </c>
      <c r="K611" s="115" t="s">
        <v>1191</v>
      </c>
      <c r="L611" s="297"/>
      <c r="M611" s="115" t="s">
        <v>1324</v>
      </c>
      <c r="N611" s="115">
        <f t="shared" si="1037"/>
        <v>0</v>
      </c>
      <c r="O611" s="297"/>
      <c r="P611" s="297"/>
      <c r="Q611" s="297"/>
      <c r="R611" s="297"/>
      <c r="S611" s="297"/>
      <c r="T611" s="297"/>
      <c r="U611" s="297"/>
      <c r="V611" s="297"/>
      <c r="W611" s="297"/>
      <c r="X611" s="297"/>
      <c r="Y611" s="297"/>
      <c r="Z611" s="297"/>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4"/>
      <c r="BM611" s="310"/>
      <c r="BN611" s="312"/>
    </row>
    <row r="612" s="48" customFormat="1" ht="33.95" hidden="1" customHeight="1" outlineLevel="3" spans="2:66">
      <c r="B612" s="115" t="s">
        <v>747</v>
      </c>
      <c r="C612" s="116" t="s">
        <v>2167</v>
      </c>
      <c r="D612" s="48" t="s">
        <v>2168</v>
      </c>
      <c r="E612" s="115"/>
      <c r="F612" s="115" t="s">
        <v>1572</v>
      </c>
      <c r="G612" s="115" t="s">
        <v>891</v>
      </c>
      <c r="H612" s="115">
        <f t="shared" si="1036"/>
        <v>0</v>
      </c>
      <c r="I612" s="115" t="s">
        <v>1190</v>
      </c>
      <c r="J612" s="115">
        <v>1</v>
      </c>
      <c r="K612" s="115" t="s">
        <v>1191</v>
      </c>
      <c r="L612" s="297"/>
      <c r="M612" s="115" t="s">
        <v>1324</v>
      </c>
      <c r="N612" s="115">
        <f t="shared" si="1037"/>
        <v>0</v>
      </c>
      <c r="O612" s="297"/>
      <c r="P612" s="297"/>
      <c r="Q612" s="297"/>
      <c r="R612" s="297"/>
      <c r="S612" s="297"/>
      <c r="T612" s="297"/>
      <c r="U612" s="297"/>
      <c r="V612" s="297"/>
      <c r="W612" s="297"/>
      <c r="X612" s="297"/>
      <c r="Y612" s="297"/>
      <c r="Z612" s="297"/>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4"/>
      <c r="BM612" s="310"/>
      <c r="BN612" s="312"/>
    </row>
    <row r="613" s="48" customFormat="1" ht="33.95" hidden="1" customHeight="1" outlineLevel="3" spans="2:66">
      <c r="B613" s="115" t="s">
        <v>747</v>
      </c>
      <c r="C613" s="116" t="s">
        <v>2169</v>
      </c>
      <c r="D613" s="48" t="s">
        <v>2170</v>
      </c>
      <c r="E613" s="115"/>
      <c r="F613" s="115" t="s">
        <v>1572</v>
      </c>
      <c r="G613" s="115" t="s">
        <v>891</v>
      </c>
      <c r="H613" s="115">
        <f t="shared" si="1036"/>
        <v>0</v>
      </c>
      <c r="I613" s="115" t="s">
        <v>1190</v>
      </c>
      <c r="J613" s="115">
        <v>1</v>
      </c>
      <c r="K613" s="115" t="s">
        <v>1191</v>
      </c>
      <c r="L613" s="297"/>
      <c r="M613" s="115" t="s">
        <v>1324</v>
      </c>
      <c r="N613" s="115">
        <f t="shared" si="1037"/>
        <v>0</v>
      </c>
      <c r="O613" s="315"/>
      <c r="P613" s="315"/>
      <c r="Q613" s="315"/>
      <c r="R613" s="315"/>
      <c r="S613" s="315"/>
      <c r="T613" s="315"/>
      <c r="U613" s="315"/>
      <c r="V613" s="315"/>
      <c r="W613" s="315"/>
      <c r="X613" s="315"/>
      <c r="Y613" s="315"/>
      <c r="Z613" s="315"/>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4"/>
      <c r="BM613" s="310"/>
      <c r="BN613" s="312"/>
    </row>
    <row r="614" s="22" customFormat="1" ht="33.95" hidden="1" customHeight="1" outlineLevel="2" collapsed="1" spans="2:66">
      <c r="B614" s="112" t="s">
        <v>742</v>
      </c>
      <c r="C614" s="113" t="s">
        <v>2171</v>
      </c>
      <c r="D614" s="22" t="s">
        <v>2172</v>
      </c>
      <c r="E614" s="112"/>
      <c r="F614" s="112"/>
      <c r="G614" s="112"/>
      <c r="H614" s="112">
        <f>SUM(H615:H623)</f>
        <v>0</v>
      </c>
      <c r="I614" s="112"/>
      <c r="J614" s="112"/>
      <c r="K614" s="112"/>
      <c r="L614" s="112"/>
      <c r="M614" s="112"/>
      <c r="N614" s="303"/>
      <c r="O614" s="286"/>
      <c r="P614" s="286"/>
      <c r="Q614" s="286"/>
      <c r="R614" s="286"/>
      <c r="S614" s="286"/>
      <c r="T614" s="286"/>
      <c r="U614" s="286"/>
      <c r="V614" s="286"/>
      <c r="W614" s="286"/>
      <c r="X614" s="286"/>
      <c r="Y614" s="286"/>
      <c r="Z614" s="286"/>
      <c r="AA614" s="286"/>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3"/>
      <c r="BM614" s="310"/>
      <c r="BN614" s="311"/>
    </row>
    <row r="615" s="48" customFormat="1" ht="33.95" hidden="1" customHeight="1" outlineLevel="3" spans="2:66">
      <c r="B615" s="115" t="s">
        <v>747</v>
      </c>
      <c r="C615" s="116" t="s">
        <v>2173</v>
      </c>
      <c r="D615" s="48" t="s">
        <v>2174</v>
      </c>
      <c r="E615" s="115"/>
      <c r="F615" s="115" t="s">
        <v>1572</v>
      </c>
      <c r="G615" s="115" t="s">
        <v>891</v>
      </c>
      <c r="H615" s="115">
        <f t="shared" ref="H615:H623" si="1052">J615*L615</f>
        <v>0</v>
      </c>
      <c r="I615" s="115" t="s">
        <v>1190</v>
      </c>
      <c r="J615" s="115">
        <v>1</v>
      </c>
      <c r="K615" s="115" t="s">
        <v>1191</v>
      </c>
      <c r="L615" s="297"/>
      <c r="M615" s="115" t="s">
        <v>1324</v>
      </c>
      <c r="N615" s="115">
        <f t="shared" ref="N615:N623" si="1053">COUNTA(O615:Z615)</f>
        <v>0</v>
      </c>
      <c r="O615" s="316"/>
      <c r="P615" s="316"/>
      <c r="Q615" s="316"/>
      <c r="R615" s="316"/>
      <c r="S615" s="316"/>
      <c r="T615" s="316"/>
      <c r="U615" s="316"/>
      <c r="V615" s="316"/>
      <c r="W615" s="316"/>
      <c r="X615" s="316"/>
      <c r="Y615" s="316"/>
      <c r="Z615" s="316"/>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4"/>
      <c r="BM615" s="310"/>
      <c r="BN615" s="312"/>
    </row>
    <row r="616" s="48" customFormat="1" ht="33.95" hidden="1" customHeight="1" outlineLevel="3" spans="2:66">
      <c r="B616" s="115" t="s">
        <v>747</v>
      </c>
      <c r="C616" s="116" t="s">
        <v>2175</v>
      </c>
      <c r="D616" s="48" t="s">
        <v>2176</v>
      </c>
      <c r="E616" s="115"/>
      <c r="F616" s="115" t="s">
        <v>1572</v>
      </c>
      <c r="G616" s="115" t="s">
        <v>891</v>
      </c>
      <c r="H616" s="115">
        <f t="shared" si="1052"/>
        <v>0</v>
      </c>
      <c r="I616" s="115" t="s">
        <v>1190</v>
      </c>
      <c r="J616" s="115">
        <v>1</v>
      </c>
      <c r="K616" s="115" t="s">
        <v>1191</v>
      </c>
      <c r="L616" s="297"/>
      <c r="M616" s="115" t="s">
        <v>1324</v>
      </c>
      <c r="N616" s="115">
        <f t="shared" si="1053"/>
        <v>0</v>
      </c>
      <c r="O616" s="297"/>
      <c r="P616" s="297"/>
      <c r="Q616" s="297"/>
      <c r="R616" s="297"/>
      <c r="S616" s="297"/>
      <c r="T616" s="297"/>
      <c r="U616" s="297"/>
      <c r="V616" s="297"/>
      <c r="W616" s="297"/>
      <c r="X616" s="297"/>
      <c r="Y616" s="297"/>
      <c r="Z616" s="297"/>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4"/>
      <c r="BM616" s="310"/>
      <c r="BN616" s="312"/>
    </row>
    <row r="617" s="48" customFormat="1" ht="33.95" hidden="1" customHeight="1" outlineLevel="3" spans="2:66">
      <c r="B617" s="115" t="s">
        <v>747</v>
      </c>
      <c r="C617" s="116" t="s">
        <v>2177</v>
      </c>
      <c r="D617" s="48" t="s">
        <v>2178</v>
      </c>
      <c r="E617" s="115"/>
      <c r="F617" s="115" t="s">
        <v>1572</v>
      </c>
      <c r="G617" s="115" t="s">
        <v>891</v>
      </c>
      <c r="H617" s="115">
        <f t="shared" si="1052"/>
        <v>0</v>
      </c>
      <c r="I617" s="115" t="s">
        <v>1190</v>
      </c>
      <c r="J617" s="115">
        <v>1</v>
      </c>
      <c r="K617" s="115" t="s">
        <v>1191</v>
      </c>
      <c r="L617" s="297"/>
      <c r="M617" s="115" t="s">
        <v>1324</v>
      </c>
      <c r="N617" s="115">
        <f t="shared" si="1053"/>
        <v>0</v>
      </c>
      <c r="O617" s="297"/>
      <c r="P617" s="297"/>
      <c r="Q617" s="297"/>
      <c r="R617" s="297"/>
      <c r="S617" s="297"/>
      <c r="T617" s="297"/>
      <c r="U617" s="297"/>
      <c r="V617" s="297"/>
      <c r="W617" s="297"/>
      <c r="X617" s="297"/>
      <c r="Y617" s="297"/>
      <c r="Z617" s="297"/>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4"/>
      <c r="BM617" s="310"/>
      <c r="BN617" s="312"/>
    </row>
    <row r="618" s="48" customFormat="1" ht="33.95" hidden="1" customHeight="1" outlineLevel="3" spans="2:66">
      <c r="B618" s="115" t="s">
        <v>747</v>
      </c>
      <c r="C618" s="116" t="s">
        <v>2179</v>
      </c>
      <c r="D618" s="48" t="s">
        <v>2180</v>
      </c>
      <c r="E618" s="115"/>
      <c r="F618" s="115" t="s">
        <v>1572</v>
      </c>
      <c r="G618" s="115" t="s">
        <v>891</v>
      </c>
      <c r="H618" s="115">
        <f t="shared" si="1052"/>
        <v>0</v>
      </c>
      <c r="I618" s="115" t="s">
        <v>1190</v>
      </c>
      <c r="J618" s="115">
        <v>1</v>
      </c>
      <c r="K618" s="115" t="s">
        <v>1191</v>
      </c>
      <c r="L618" s="297"/>
      <c r="M618" s="115" t="s">
        <v>1324</v>
      </c>
      <c r="N618" s="115">
        <f t="shared" si="1053"/>
        <v>0</v>
      </c>
      <c r="O618" s="297"/>
      <c r="P618" s="297"/>
      <c r="Q618" s="297"/>
      <c r="R618" s="297"/>
      <c r="S618" s="297"/>
      <c r="T618" s="297"/>
      <c r="U618" s="297"/>
      <c r="V618" s="297"/>
      <c r="W618" s="297"/>
      <c r="X618" s="297"/>
      <c r="Y618" s="297"/>
      <c r="Z618" s="297"/>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4"/>
      <c r="BM618" s="310"/>
      <c r="BN618" s="312"/>
    </row>
    <row r="619" s="48" customFormat="1" ht="33.95" hidden="1" customHeight="1" outlineLevel="3" spans="2:66">
      <c r="B619" s="115" t="s">
        <v>747</v>
      </c>
      <c r="C619" s="116" t="s">
        <v>2181</v>
      </c>
      <c r="D619" s="48" t="s">
        <v>2182</v>
      </c>
      <c r="E619" s="115"/>
      <c r="F619" s="115" t="s">
        <v>1572</v>
      </c>
      <c r="G619" s="115" t="s">
        <v>891</v>
      </c>
      <c r="H619" s="115">
        <f t="shared" si="1052"/>
        <v>0</v>
      </c>
      <c r="I619" s="115" t="s">
        <v>1190</v>
      </c>
      <c r="J619" s="115">
        <v>1</v>
      </c>
      <c r="K619" s="115" t="s">
        <v>1191</v>
      </c>
      <c r="L619" s="297"/>
      <c r="M619" s="115" t="s">
        <v>1324</v>
      </c>
      <c r="N619" s="115">
        <f t="shared" si="1053"/>
        <v>0</v>
      </c>
      <c r="O619" s="297"/>
      <c r="P619" s="297"/>
      <c r="Q619" s="297"/>
      <c r="R619" s="297"/>
      <c r="S619" s="297"/>
      <c r="T619" s="297"/>
      <c r="U619" s="297"/>
      <c r="V619" s="297"/>
      <c r="W619" s="297"/>
      <c r="X619" s="297"/>
      <c r="Y619" s="297"/>
      <c r="Z619" s="297"/>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4"/>
      <c r="BM619" s="310"/>
      <c r="BN619" s="312"/>
    </row>
    <row r="620" s="48" customFormat="1" ht="33.95" hidden="1" customHeight="1" outlineLevel="3" spans="2:66">
      <c r="B620" s="115" t="s">
        <v>747</v>
      </c>
      <c r="C620" s="116" t="s">
        <v>2183</v>
      </c>
      <c r="D620" s="48" t="s">
        <v>2184</v>
      </c>
      <c r="E620" s="115"/>
      <c r="F620" s="115" t="s">
        <v>1572</v>
      </c>
      <c r="G620" s="115" t="s">
        <v>891</v>
      </c>
      <c r="H620" s="115">
        <f t="shared" si="1052"/>
        <v>0</v>
      </c>
      <c r="I620" s="115" t="s">
        <v>1190</v>
      </c>
      <c r="J620" s="115">
        <v>1</v>
      </c>
      <c r="K620" s="115" t="s">
        <v>1191</v>
      </c>
      <c r="L620" s="297"/>
      <c r="M620" s="115" t="s">
        <v>1324</v>
      </c>
      <c r="N620" s="115">
        <f t="shared" si="1053"/>
        <v>0</v>
      </c>
      <c r="O620" s="297"/>
      <c r="P620" s="297"/>
      <c r="Q620" s="297"/>
      <c r="R620" s="297"/>
      <c r="S620" s="297"/>
      <c r="T620" s="297"/>
      <c r="U620" s="297"/>
      <c r="V620" s="297"/>
      <c r="W620" s="297"/>
      <c r="X620" s="297"/>
      <c r="Y620" s="297"/>
      <c r="Z620" s="297"/>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4"/>
      <c r="BM620" s="310"/>
      <c r="BN620" s="312"/>
    </row>
    <row r="621" s="48" customFormat="1" ht="33.95" hidden="1" customHeight="1" outlineLevel="3" spans="2:66">
      <c r="B621" s="115" t="s">
        <v>747</v>
      </c>
      <c r="C621" s="116" t="s">
        <v>2185</v>
      </c>
      <c r="D621" s="48" t="s">
        <v>2186</v>
      </c>
      <c r="E621" s="115"/>
      <c r="F621" s="115" t="s">
        <v>1572</v>
      </c>
      <c r="G621" s="115" t="s">
        <v>891</v>
      </c>
      <c r="H621" s="115">
        <f t="shared" si="1052"/>
        <v>0</v>
      </c>
      <c r="I621" s="115" t="s">
        <v>1190</v>
      </c>
      <c r="J621" s="115">
        <v>1</v>
      </c>
      <c r="K621" s="115" t="s">
        <v>1191</v>
      </c>
      <c r="L621" s="297"/>
      <c r="M621" s="115" t="s">
        <v>1324</v>
      </c>
      <c r="N621" s="115">
        <f t="shared" si="1053"/>
        <v>0</v>
      </c>
      <c r="O621" s="297"/>
      <c r="P621" s="297"/>
      <c r="Q621" s="297"/>
      <c r="R621" s="297"/>
      <c r="S621" s="297"/>
      <c r="T621" s="297"/>
      <c r="U621" s="297"/>
      <c r="V621" s="297"/>
      <c r="W621" s="297"/>
      <c r="X621" s="297"/>
      <c r="Y621" s="297"/>
      <c r="Z621" s="297"/>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4"/>
      <c r="BM621" s="310"/>
      <c r="BN621" s="312"/>
    </row>
    <row r="622" s="48" customFormat="1" ht="33.95" hidden="1" customHeight="1" outlineLevel="3" spans="2:66">
      <c r="B622" s="115" t="s">
        <v>747</v>
      </c>
      <c r="C622" s="116" t="s">
        <v>2187</v>
      </c>
      <c r="D622" s="48" t="s">
        <v>2188</v>
      </c>
      <c r="E622" s="115"/>
      <c r="F622" s="115" t="s">
        <v>1572</v>
      </c>
      <c r="G622" s="115" t="s">
        <v>891</v>
      </c>
      <c r="H622" s="115">
        <f t="shared" si="1052"/>
        <v>0</v>
      </c>
      <c r="I622" s="115" t="s">
        <v>1190</v>
      </c>
      <c r="J622" s="115">
        <v>1</v>
      </c>
      <c r="K622" s="115" t="s">
        <v>1191</v>
      </c>
      <c r="L622" s="297"/>
      <c r="M622" s="115" t="s">
        <v>1324</v>
      </c>
      <c r="N622" s="115">
        <f t="shared" si="1053"/>
        <v>0</v>
      </c>
      <c r="O622" s="297"/>
      <c r="P622" s="297"/>
      <c r="Q622" s="297"/>
      <c r="R622" s="297"/>
      <c r="S622" s="297"/>
      <c r="T622" s="297"/>
      <c r="U622" s="297"/>
      <c r="V622" s="297"/>
      <c r="W622" s="297"/>
      <c r="X622" s="297"/>
      <c r="Y622" s="297"/>
      <c r="Z622" s="297"/>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4"/>
      <c r="BM622" s="310"/>
      <c r="BN622" s="312"/>
    </row>
    <row r="623" s="48" customFormat="1" ht="33.95" hidden="1" customHeight="1" outlineLevel="3" spans="2:66">
      <c r="B623" s="115" t="s">
        <v>747</v>
      </c>
      <c r="C623" s="116" t="s">
        <v>2189</v>
      </c>
      <c r="D623" s="48" t="s">
        <v>2190</v>
      </c>
      <c r="E623" s="115"/>
      <c r="F623" s="115" t="s">
        <v>1572</v>
      </c>
      <c r="G623" s="115" t="s">
        <v>891</v>
      </c>
      <c r="H623" s="115">
        <f t="shared" si="1052"/>
        <v>0</v>
      </c>
      <c r="I623" s="115" t="s">
        <v>1190</v>
      </c>
      <c r="J623" s="115">
        <v>1</v>
      </c>
      <c r="K623" s="115" t="s">
        <v>1191</v>
      </c>
      <c r="L623" s="297"/>
      <c r="M623" s="115" t="s">
        <v>1324</v>
      </c>
      <c r="N623" s="115">
        <f t="shared" si="1053"/>
        <v>0</v>
      </c>
      <c r="O623" s="315"/>
      <c r="P623" s="315"/>
      <c r="Q623" s="315"/>
      <c r="R623" s="315"/>
      <c r="S623" s="315"/>
      <c r="T623" s="315"/>
      <c r="U623" s="315"/>
      <c r="V623" s="315"/>
      <c r="W623" s="315"/>
      <c r="X623" s="315"/>
      <c r="Y623" s="315"/>
      <c r="Z623" s="315"/>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4"/>
      <c r="BM623" s="310"/>
      <c r="BN623" s="312"/>
    </row>
    <row r="624" s="22" customFormat="1" ht="33.95" hidden="1" customHeight="1" outlineLevel="2" collapsed="1" spans="2:66">
      <c r="B624" s="112" t="s">
        <v>742</v>
      </c>
      <c r="C624" s="113" t="s">
        <v>2191</v>
      </c>
      <c r="D624" s="22" t="s">
        <v>2192</v>
      </c>
      <c r="E624" s="112"/>
      <c r="F624" s="112"/>
      <c r="G624" s="112"/>
      <c r="H624" s="112">
        <f>SUM(H625:H626)</f>
        <v>0</v>
      </c>
      <c r="I624" s="112"/>
      <c r="J624" s="112"/>
      <c r="K624" s="112"/>
      <c r="L624" s="112"/>
      <c r="M624" s="112"/>
      <c r="N624" s="303"/>
      <c r="O624" s="286"/>
      <c r="P624" s="286"/>
      <c r="Q624" s="286"/>
      <c r="R624" s="286"/>
      <c r="S624" s="286"/>
      <c r="T624" s="286"/>
      <c r="U624" s="286"/>
      <c r="V624" s="286"/>
      <c r="W624" s="286"/>
      <c r="X624" s="286"/>
      <c r="Y624" s="286"/>
      <c r="Z624" s="286"/>
      <c r="AA624" s="286"/>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3"/>
      <c r="BM624" s="310"/>
      <c r="BN624" s="311"/>
    </row>
    <row r="625" s="48" customFormat="1" ht="33.95" hidden="1" customHeight="1" outlineLevel="3" spans="2:66">
      <c r="B625" s="115" t="s">
        <v>747</v>
      </c>
      <c r="C625" s="116" t="s">
        <v>2193</v>
      </c>
      <c r="D625" s="48" t="s">
        <v>2194</v>
      </c>
      <c r="E625" s="115"/>
      <c r="F625" s="115" t="s">
        <v>1572</v>
      </c>
      <c r="G625" s="115" t="s">
        <v>891</v>
      </c>
      <c r="H625" s="115">
        <f t="shared" ref="H625:H633" si="1068">J625*L625</f>
        <v>0</v>
      </c>
      <c r="I625" s="115" t="s">
        <v>1190</v>
      </c>
      <c r="J625" s="115">
        <v>1</v>
      </c>
      <c r="K625" s="115" t="s">
        <v>1191</v>
      </c>
      <c r="L625" s="297"/>
      <c r="M625" s="115" t="s">
        <v>1324</v>
      </c>
      <c r="N625" s="115">
        <f t="shared" ref="N625:N633" si="1069">COUNTA(O625:Z625)</f>
        <v>0</v>
      </c>
      <c r="O625" s="316"/>
      <c r="P625" s="316"/>
      <c r="Q625" s="316"/>
      <c r="R625" s="316"/>
      <c r="S625" s="316"/>
      <c r="T625" s="316"/>
      <c r="U625" s="316"/>
      <c r="V625" s="316"/>
      <c r="W625" s="316"/>
      <c r="X625" s="316"/>
      <c r="Y625" s="316"/>
      <c r="Z625" s="316"/>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4"/>
      <c r="BM625" s="310"/>
      <c r="BN625" s="312"/>
    </row>
    <row r="626" s="48" customFormat="1" ht="33.95" hidden="1" customHeight="1" outlineLevel="3" spans="2:66">
      <c r="B626" s="115" t="s">
        <v>747</v>
      </c>
      <c r="C626" s="116" t="s">
        <v>2195</v>
      </c>
      <c r="D626" s="48" t="s">
        <v>2196</v>
      </c>
      <c r="E626" s="115"/>
      <c r="F626" s="115" t="s">
        <v>1572</v>
      </c>
      <c r="G626" s="115" t="s">
        <v>891</v>
      </c>
      <c r="H626" s="115">
        <f t="shared" si="1068"/>
        <v>0</v>
      </c>
      <c r="I626" s="115" t="s">
        <v>1190</v>
      </c>
      <c r="J626" s="115">
        <v>1</v>
      </c>
      <c r="K626" s="115" t="s">
        <v>1191</v>
      </c>
      <c r="L626" s="297"/>
      <c r="M626" s="115" t="s">
        <v>1324</v>
      </c>
      <c r="N626" s="115">
        <f t="shared" si="1069"/>
        <v>0</v>
      </c>
      <c r="O626" s="315"/>
      <c r="P626" s="315"/>
      <c r="Q626" s="315"/>
      <c r="R626" s="315"/>
      <c r="S626" s="315"/>
      <c r="T626" s="315"/>
      <c r="U626" s="315"/>
      <c r="V626" s="315"/>
      <c r="W626" s="315"/>
      <c r="X626" s="315"/>
      <c r="Y626" s="315"/>
      <c r="Z626" s="315"/>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4"/>
      <c r="BM626" s="310"/>
      <c r="BN626" s="312"/>
    </row>
    <row r="627" s="22" customFormat="1" ht="33.95" hidden="1" customHeight="1" outlineLevel="2" collapsed="1" spans="2:66">
      <c r="B627" s="112" t="s">
        <v>742</v>
      </c>
      <c r="C627" s="113" t="s">
        <v>2197</v>
      </c>
      <c r="D627" s="22" t="s">
        <v>2198</v>
      </c>
      <c r="E627" s="112"/>
      <c r="F627" s="112"/>
      <c r="G627" s="112"/>
      <c r="H627" s="112">
        <f>SUM(H628:H633)</f>
        <v>0</v>
      </c>
      <c r="I627" s="112"/>
      <c r="J627" s="112"/>
      <c r="K627" s="112"/>
      <c r="L627" s="112"/>
      <c r="M627" s="112"/>
      <c r="N627" s="303"/>
      <c r="O627" s="286"/>
      <c r="P627" s="286"/>
      <c r="Q627" s="286"/>
      <c r="R627" s="286"/>
      <c r="S627" s="286"/>
      <c r="T627" s="286"/>
      <c r="U627" s="286"/>
      <c r="V627" s="286"/>
      <c r="W627" s="286"/>
      <c r="X627" s="286"/>
      <c r="Y627" s="286"/>
      <c r="Z627" s="286"/>
      <c r="AA627" s="286"/>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3"/>
      <c r="BM627" s="310"/>
      <c r="BN627" s="311"/>
    </row>
    <row r="628" s="48" customFormat="1" ht="33.95" hidden="1" customHeight="1" outlineLevel="3" spans="2:66">
      <c r="B628" s="115" t="s">
        <v>747</v>
      </c>
      <c r="C628" s="116" t="s">
        <v>2199</v>
      </c>
      <c r="D628" s="48" t="s">
        <v>2200</v>
      </c>
      <c r="E628" s="115"/>
      <c r="F628" s="115" t="s">
        <v>1572</v>
      </c>
      <c r="G628" s="115" t="s">
        <v>891</v>
      </c>
      <c r="H628" s="115">
        <f t="shared" si="1068"/>
        <v>0</v>
      </c>
      <c r="I628" s="115" t="s">
        <v>1190</v>
      </c>
      <c r="J628" s="115">
        <v>1</v>
      </c>
      <c r="K628" s="115" t="s">
        <v>1191</v>
      </c>
      <c r="L628" s="297"/>
      <c r="M628" s="115" t="s">
        <v>1324</v>
      </c>
      <c r="N628" s="115">
        <f t="shared" si="1069"/>
        <v>0</v>
      </c>
      <c r="O628" s="316"/>
      <c r="P628" s="316"/>
      <c r="Q628" s="316"/>
      <c r="R628" s="316"/>
      <c r="S628" s="316"/>
      <c r="T628" s="316"/>
      <c r="U628" s="316"/>
      <c r="V628" s="316"/>
      <c r="W628" s="316"/>
      <c r="X628" s="316"/>
      <c r="Y628" s="316"/>
      <c r="Z628" s="316"/>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4"/>
      <c r="BM628" s="310"/>
      <c r="BN628" s="312"/>
    </row>
    <row r="629" s="48" customFormat="1" ht="33.95" hidden="1" customHeight="1" outlineLevel="3" spans="2:66">
      <c r="B629" s="115" t="s">
        <v>747</v>
      </c>
      <c r="C629" s="116" t="s">
        <v>2201</v>
      </c>
      <c r="D629" s="48" t="s">
        <v>2202</v>
      </c>
      <c r="E629" s="115"/>
      <c r="F629" s="115" t="s">
        <v>1572</v>
      </c>
      <c r="G629" s="115" t="s">
        <v>891</v>
      </c>
      <c r="H629" s="115">
        <f t="shared" si="1068"/>
        <v>0</v>
      </c>
      <c r="I629" s="115" t="s">
        <v>1190</v>
      </c>
      <c r="J629" s="115">
        <v>1</v>
      </c>
      <c r="K629" s="115" t="s">
        <v>1191</v>
      </c>
      <c r="L629" s="297"/>
      <c r="M629" s="115" t="s">
        <v>1324</v>
      </c>
      <c r="N629" s="115">
        <f t="shared" si="1069"/>
        <v>0</v>
      </c>
      <c r="O629" s="297"/>
      <c r="P629" s="297"/>
      <c r="Q629" s="297"/>
      <c r="R629" s="297"/>
      <c r="S629" s="297"/>
      <c r="T629" s="297"/>
      <c r="U629" s="297"/>
      <c r="V629" s="297"/>
      <c r="W629" s="297"/>
      <c r="X629" s="297"/>
      <c r="Y629" s="297"/>
      <c r="Z629" s="297"/>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4"/>
      <c r="BM629" s="310"/>
      <c r="BN629" s="312"/>
    </row>
    <row r="630" s="48" customFormat="1" ht="33.95" hidden="1" customHeight="1" outlineLevel="3" spans="2:66">
      <c r="B630" s="115" t="s">
        <v>747</v>
      </c>
      <c r="C630" s="116" t="s">
        <v>2203</v>
      </c>
      <c r="D630" s="48" t="s">
        <v>2204</v>
      </c>
      <c r="E630" s="115"/>
      <c r="F630" s="115" t="s">
        <v>1572</v>
      </c>
      <c r="G630" s="115" t="s">
        <v>891</v>
      </c>
      <c r="H630" s="115">
        <f t="shared" si="1068"/>
        <v>0</v>
      </c>
      <c r="I630" s="115" t="s">
        <v>1190</v>
      </c>
      <c r="J630" s="115">
        <v>1</v>
      </c>
      <c r="K630" s="115" t="s">
        <v>1191</v>
      </c>
      <c r="L630" s="297"/>
      <c r="M630" s="115" t="s">
        <v>1324</v>
      </c>
      <c r="N630" s="115">
        <f t="shared" si="1069"/>
        <v>0</v>
      </c>
      <c r="O630" s="297"/>
      <c r="P630" s="297"/>
      <c r="Q630" s="297"/>
      <c r="R630" s="297"/>
      <c r="S630" s="297"/>
      <c r="T630" s="297"/>
      <c r="U630" s="297"/>
      <c r="V630" s="297"/>
      <c r="W630" s="297"/>
      <c r="X630" s="297"/>
      <c r="Y630" s="297"/>
      <c r="Z630" s="297"/>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4"/>
      <c r="BM630" s="310"/>
      <c r="BN630" s="312"/>
    </row>
    <row r="631" s="48" customFormat="1" ht="33.95" hidden="1" customHeight="1" outlineLevel="3" spans="2:66">
      <c r="B631" s="115" t="s">
        <v>747</v>
      </c>
      <c r="C631" s="116" t="s">
        <v>2205</v>
      </c>
      <c r="D631" s="48" t="s">
        <v>2206</v>
      </c>
      <c r="E631" s="115"/>
      <c r="F631" s="115" t="s">
        <v>1572</v>
      </c>
      <c r="G631" s="115" t="s">
        <v>891</v>
      </c>
      <c r="H631" s="115">
        <f t="shared" si="1068"/>
        <v>0</v>
      </c>
      <c r="I631" s="115" t="s">
        <v>1190</v>
      </c>
      <c r="J631" s="115">
        <v>1</v>
      </c>
      <c r="K631" s="115" t="s">
        <v>1191</v>
      </c>
      <c r="L631" s="297"/>
      <c r="M631" s="115" t="s">
        <v>1324</v>
      </c>
      <c r="N631" s="115">
        <f t="shared" si="1069"/>
        <v>0</v>
      </c>
      <c r="O631" s="297"/>
      <c r="P631" s="297"/>
      <c r="Q631" s="297"/>
      <c r="R631" s="297"/>
      <c r="S631" s="297"/>
      <c r="T631" s="297"/>
      <c r="U631" s="297"/>
      <c r="V631" s="297"/>
      <c r="W631" s="297"/>
      <c r="X631" s="297"/>
      <c r="Y631" s="297"/>
      <c r="Z631" s="297"/>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4"/>
      <c r="BM631" s="310"/>
      <c r="BN631" s="312"/>
    </row>
    <row r="632" s="48" customFormat="1" ht="33.95" hidden="1" customHeight="1" outlineLevel="3" spans="2:66">
      <c r="B632" s="115" t="s">
        <v>747</v>
      </c>
      <c r="C632" s="116" t="s">
        <v>2207</v>
      </c>
      <c r="D632" s="48" t="s">
        <v>2208</v>
      </c>
      <c r="E632" s="115"/>
      <c r="F632" s="115" t="s">
        <v>1572</v>
      </c>
      <c r="G632" s="115" t="s">
        <v>891</v>
      </c>
      <c r="H632" s="115">
        <f t="shared" si="1068"/>
        <v>0</v>
      </c>
      <c r="I632" s="115" t="s">
        <v>1190</v>
      </c>
      <c r="J632" s="115">
        <v>1</v>
      </c>
      <c r="K632" s="115" t="s">
        <v>1191</v>
      </c>
      <c r="L632" s="297"/>
      <c r="M632" s="115" t="s">
        <v>1324</v>
      </c>
      <c r="N632" s="115">
        <f t="shared" si="1069"/>
        <v>0</v>
      </c>
      <c r="O632" s="297"/>
      <c r="P632" s="297"/>
      <c r="Q632" s="297"/>
      <c r="R632" s="297"/>
      <c r="S632" s="297"/>
      <c r="T632" s="297"/>
      <c r="U632" s="297"/>
      <c r="V632" s="297"/>
      <c r="W632" s="297"/>
      <c r="X632" s="297"/>
      <c r="Y632" s="297"/>
      <c r="Z632" s="297"/>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4"/>
      <c r="BM632" s="310"/>
      <c r="BN632" s="312"/>
    </row>
    <row r="633" s="48" customFormat="1" ht="33.95" hidden="1" customHeight="1" outlineLevel="3" spans="2:66">
      <c r="B633" s="115" t="s">
        <v>747</v>
      </c>
      <c r="C633" s="116" t="s">
        <v>2209</v>
      </c>
      <c r="D633" s="48" t="s">
        <v>2210</v>
      </c>
      <c r="E633" s="115"/>
      <c r="F633" s="115" t="s">
        <v>1572</v>
      </c>
      <c r="G633" s="115" t="s">
        <v>891</v>
      </c>
      <c r="H633" s="115">
        <f t="shared" si="1068"/>
        <v>0</v>
      </c>
      <c r="I633" s="115" t="s">
        <v>1190</v>
      </c>
      <c r="J633" s="115">
        <v>1</v>
      </c>
      <c r="K633" s="115" t="s">
        <v>1191</v>
      </c>
      <c r="L633" s="297"/>
      <c r="M633" s="115" t="s">
        <v>1324</v>
      </c>
      <c r="N633" s="115">
        <f t="shared" si="1069"/>
        <v>0</v>
      </c>
      <c r="O633" s="315"/>
      <c r="P633" s="315"/>
      <c r="Q633" s="315"/>
      <c r="R633" s="315"/>
      <c r="S633" s="315"/>
      <c r="T633" s="315"/>
      <c r="U633" s="315"/>
      <c r="V633" s="315"/>
      <c r="W633" s="315"/>
      <c r="X633" s="315"/>
      <c r="Y633" s="315"/>
      <c r="Z633" s="315"/>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4"/>
      <c r="BM633" s="310"/>
      <c r="BN633" s="312"/>
    </row>
    <row r="634" s="22" customFormat="1" ht="33.95" hidden="1" customHeight="1" outlineLevel="2" collapsed="1" spans="2:66">
      <c r="B634" s="112" t="s">
        <v>742</v>
      </c>
      <c r="C634" s="113" t="s">
        <v>2211</v>
      </c>
      <c r="D634" s="22" t="s">
        <v>2212</v>
      </c>
      <c r="E634" s="112"/>
      <c r="F634" s="112"/>
      <c r="G634" s="112"/>
      <c r="H634" s="112">
        <f>SUM(H635:H642)</f>
        <v>0</v>
      </c>
      <c r="I634" s="112"/>
      <c r="J634" s="112"/>
      <c r="K634" s="112"/>
      <c r="L634" s="112"/>
      <c r="M634" s="112"/>
      <c r="N634" s="303"/>
      <c r="O634" s="286"/>
      <c r="P634" s="286"/>
      <c r="Q634" s="286"/>
      <c r="R634" s="286"/>
      <c r="S634" s="286"/>
      <c r="T634" s="286"/>
      <c r="U634" s="286"/>
      <c r="V634" s="286"/>
      <c r="W634" s="286"/>
      <c r="X634" s="286"/>
      <c r="Y634" s="286"/>
      <c r="Z634" s="286"/>
      <c r="AA634" s="286"/>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3"/>
      <c r="BM634" s="310"/>
      <c r="BN634" s="311"/>
    </row>
    <row r="635" s="48" customFormat="1" ht="33.95" hidden="1" customHeight="1" outlineLevel="3" spans="2:66">
      <c r="B635" s="115" t="s">
        <v>747</v>
      </c>
      <c r="C635" s="116" t="s">
        <v>2213</v>
      </c>
      <c r="D635" s="48" t="s">
        <v>2214</v>
      </c>
      <c r="E635" s="115"/>
      <c r="F635" s="115" t="s">
        <v>1572</v>
      </c>
      <c r="G635" s="115" t="s">
        <v>891</v>
      </c>
      <c r="H635" s="115">
        <f t="shared" ref="H635:H642" si="1085">J635*L635</f>
        <v>0</v>
      </c>
      <c r="I635" s="115" t="s">
        <v>1190</v>
      </c>
      <c r="J635" s="115">
        <v>1</v>
      </c>
      <c r="K635" s="115" t="s">
        <v>1191</v>
      </c>
      <c r="L635" s="297"/>
      <c r="M635" s="115" t="s">
        <v>1324</v>
      </c>
      <c r="N635" s="115">
        <f t="shared" ref="N635:N642" si="1086">COUNTA(O635:Z635)</f>
        <v>0</v>
      </c>
      <c r="O635" s="316"/>
      <c r="P635" s="316"/>
      <c r="Q635" s="316"/>
      <c r="R635" s="316"/>
      <c r="S635" s="316"/>
      <c r="T635" s="316"/>
      <c r="U635" s="316"/>
      <c r="V635" s="316"/>
      <c r="W635" s="316"/>
      <c r="X635" s="316"/>
      <c r="Y635" s="316"/>
      <c r="Z635" s="316"/>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4"/>
      <c r="BM635" s="310"/>
      <c r="BN635" s="312"/>
    </row>
    <row r="636" s="48" customFormat="1" ht="33.95" hidden="1" customHeight="1" outlineLevel="3" spans="2:66">
      <c r="B636" s="115" t="s">
        <v>747</v>
      </c>
      <c r="C636" s="116" t="s">
        <v>2215</v>
      </c>
      <c r="D636" s="48" t="s">
        <v>2216</v>
      </c>
      <c r="E636" s="115"/>
      <c r="F636" s="115" t="s">
        <v>1572</v>
      </c>
      <c r="G636" s="115" t="s">
        <v>891</v>
      </c>
      <c r="H636" s="115">
        <f t="shared" si="1085"/>
        <v>0</v>
      </c>
      <c r="I636" s="115" t="s">
        <v>1190</v>
      </c>
      <c r="J636" s="115">
        <v>1</v>
      </c>
      <c r="K636" s="115" t="s">
        <v>1191</v>
      </c>
      <c r="L636" s="297"/>
      <c r="M636" s="115" t="s">
        <v>1324</v>
      </c>
      <c r="N636" s="115">
        <f t="shared" si="1086"/>
        <v>0</v>
      </c>
      <c r="O636" s="297"/>
      <c r="P636" s="297"/>
      <c r="Q636" s="297"/>
      <c r="R636" s="297"/>
      <c r="S636" s="297"/>
      <c r="T636" s="297"/>
      <c r="U636" s="297"/>
      <c r="V636" s="297"/>
      <c r="W636" s="297"/>
      <c r="X636" s="297"/>
      <c r="Y636" s="297"/>
      <c r="Z636" s="297"/>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4"/>
      <c r="BM636" s="310"/>
      <c r="BN636" s="312"/>
    </row>
    <row r="637" s="48" customFormat="1" ht="33.95" hidden="1" customHeight="1" outlineLevel="3" spans="2:66">
      <c r="B637" s="115" t="s">
        <v>747</v>
      </c>
      <c r="C637" s="116" t="s">
        <v>2217</v>
      </c>
      <c r="D637" s="48" t="s">
        <v>2218</v>
      </c>
      <c r="E637" s="115"/>
      <c r="F637" s="115" t="s">
        <v>1572</v>
      </c>
      <c r="G637" s="115" t="s">
        <v>891</v>
      </c>
      <c r="H637" s="115">
        <f t="shared" si="1085"/>
        <v>0</v>
      </c>
      <c r="I637" s="115" t="s">
        <v>1190</v>
      </c>
      <c r="J637" s="115">
        <v>1</v>
      </c>
      <c r="K637" s="115" t="s">
        <v>1191</v>
      </c>
      <c r="L637" s="297"/>
      <c r="M637" s="115" t="s">
        <v>1324</v>
      </c>
      <c r="N637" s="115">
        <f t="shared" si="1086"/>
        <v>0</v>
      </c>
      <c r="O637" s="297"/>
      <c r="P637" s="297"/>
      <c r="Q637" s="297"/>
      <c r="R637" s="297"/>
      <c r="S637" s="297"/>
      <c r="T637" s="297"/>
      <c r="U637" s="297"/>
      <c r="V637" s="297"/>
      <c r="W637" s="297"/>
      <c r="X637" s="297"/>
      <c r="Y637" s="297"/>
      <c r="Z637" s="297"/>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4"/>
      <c r="BM637" s="310"/>
      <c r="BN637" s="312"/>
    </row>
    <row r="638" s="48" customFormat="1" ht="33.95" hidden="1" customHeight="1" outlineLevel="3" spans="2:66">
      <c r="B638" s="115" t="s">
        <v>747</v>
      </c>
      <c r="C638" s="116" t="s">
        <v>2219</v>
      </c>
      <c r="D638" s="48" t="s">
        <v>2220</v>
      </c>
      <c r="E638" s="115"/>
      <c r="F638" s="115" t="s">
        <v>1572</v>
      </c>
      <c r="G638" s="115" t="s">
        <v>891</v>
      </c>
      <c r="H638" s="115">
        <f t="shared" si="1085"/>
        <v>0</v>
      </c>
      <c r="I638" s="115" t="s">
        <v>1190</v>
      </c>
      <c r="J638" s="115">
        <v>1</v>
      </c>
      <c r="K638" s="115" t="s">
        <v>1191</v>
      </c>
      <c r="L638" s="297"/>
      <c r="M638" s="115" t="s">
        <v>1324</v>
      </c>
      <c r="N638" s="115">
        <f t="shared" si="1086"/>
        <v>0</v>
      </c>
      <c r="O638" s="297"/>
      <c r="P638" s="297"/>
      <c r="Q638" s="297"/>
      <c r="R638" s="297"/>
      <c r="S638" s="297"/>
      <c r="T638" s="297"/>
      <c r="U638" s="297"/>
      <c r="V638" s="297"/>
      <c r="W638" s="297"/>
      <c r="X638" s="297"/>
      <c r="Y638" s="297"/>
      <c r="Z638" s="297"/>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4"/>
      <c r="BM638" s="310"/>
      <c r="BN638" s="312"/>
    </row>
    <row r="639" s="48" customFormat="1" ht="33.95" hidden="1" customHeight="1" outlineLevel="3" spans="2:66">
      <c r="B639" s="115" t="s">
        <v>747</v>
      </c>
      <c r="C639" s="116" t="s">
        <v>2221</v>
      </c>
      <c r="D639" s="48" t="s">
        <v>2222</v>
      </c>
      <c r="E639" s="115"/>
      <c r="F639" s="115" t="s">
        <v>1572</v>
      </c>
      <c r="G639" s="115" t="s">
        <v>891</v>
      </c>
      <c r="H639" s="115">
        <f t="shared" si="1085"/>
        <v>0</v>
      </c>
      <c r="I639" s="115" t="s">
        <v>1190</v>
      </c>
      <c r="J639" s="115">
        <v>1</v>
      </c>
      <c r="K639" s="115" t="s">
        <v>1191</v>
      </c>
      <c r="L639" s="297"/>
      <c r="M639" s="115" t="s">
        <v>1324</v>
      </c>
      <c r="N639" s="115">
        <f t="shared" si="1086"/>
        <v>0</v>
      </c>
      <c r="O639" s="297"/>
      <c r="P639" s="297"/>
      <c r="Q639" s="297"/>
      <c r="R639" s="297"/>
      <c r="S639" s="297"/>
      <c r="T639" s="297"/>
      <c r="U639" s="297"/>
      <c r="V639" s="297"/>
      <c r="W639" s="297"/>
      <c r="X639" s="297"/>
      <c r="Y639" s="297"/>
      <c r="Z639" s="297"/>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4"/>
      <c r="BM639" s="310"/>
      <c r="BN639" s="312"/>
    </row>
    <row r="640" s="48" customFormat="1" ht="33.95" hidden="1" customHeight="1" outlineLevel="3" spans="2:66">
      <c r="B640" s="115" t="s">
        <v>747</v>
      </c>
      <c r="C640" s="116" t="s">
        <v>2223</v>
      </c>
      <c r="D640" s="48" t="s">
        <v>2224</v>
      </c>
      <c r="E640" s="115"/>
      <c r="F640" s="115" t="s">
        <v>1572</v>
      </c>
      <c r="G640" s="115" t="s">
        <v>891</v>
      </c>
      <c r="H640" s="115">
        <f t="shared" si="1085"/>
        <v>0</v>
      </c>
      <c r="I640" s="115" t="s">
        <v>1190</v>
      </c>
      <c r="J640" s="115">
        <v>1</v>
      </c>
      <c r="K640" s="115" t="s">
        <v>1191</v>
      </c>
      <c r="L640" s="297"/>
      <c r="M640" s="115" t="s">
        <v>1324</v>
      </c>
      <c r="N640" s="115">
        <f t="shared" si="1086"/>
        <v>0</v>
      </c>
      <c r="O640" s="297"/>
      <c r="P640" s="297"/>
      <c r="Q640" s="297"/>
      <c r="R640" s="297"/>
      <c r="S640" s="297"/>
      <c r="T640" s="297"/>
      <c r="U640" s="297"/>
      <c r="V640" s="297"/>
      <c r="W640" s="297"/>
      <c r="X640" s="297"/>
      <c r="Y640" s="297"/>
      <c r="Z640" s="297"/>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4"/>
      <c r="BM640" s="310"/>
      <c r="BN640" s="312"/>
    </row>
    <row r="641" s="48" customFormat="1" ht="33.95" hidden="1" customHeight="1" outlineLevel="3" spans="2:66">
      <c r="B641" s="115" t="s">
        <v>747</v>
      </c>
      <c r="C641" s="116" t="s">
        <v>2225</v>
      </c>
      <c r="D641" s="48" t="s">
        <v>2226</v>
      </c>
      <c r="E641" s="115"/>
      <c r="F641" s="115" t="s">
        <v>1572</v>
      </c>
      <c r="G641" s="115" t="s">
        <v>891</v>
      </c>
      <c r="H641" s="115">
        <f t="shared" si="1085"/>
        <v>0</v>
      </c>
      <c r="I641" s="115" t="s">
        <v>1190</v>
      </c>
      <c r="J641" s="115">
        <v>1</v>
      </c>
      <c r="K641" s="115" t="s">
        <v>1191</v>
      </c>
      <c r="L641" s="297"/>
      <c r="M641" s="115" t="s">
        <v>1324</v>
      </c>
      <c r="N641" s="115">
        <f t="shared" si="1086"/>
        <v>0</v>
      </c>
      <c r="O641" s="297"/>
      <c r="P641" s="297"/>
      <c r="Q641" s="297"/>
      <c r="R641" s="297"/>
      <c r="S641" s="297"/>
      <c r="T641" s="297"/>
      <c r="U641" s="297"/>
      <c r="V641" s="297"/>
      <c r="W641" s="297"/>
      <c r="X641" s="297"/>
      <c r="Y641" s="297"/>
      <c r="Z641" s="297"/>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4"/>
      <c r="BM641" s="310"/>
      <c r="BN641" s="312"/>
    </row>
    <row r="642" s="48" customFormat="1" ht="33.95" hidden="1" customHeight="1" outlineLevel="3" spans="2:66">
      <c r="B642" s="115" t="s">
        <v>747</v>
      </c>
      <c r="C642" s="116" t="s">
        <v>2227</v>
      </c>
      <c r="D642" s="48" t="s">
        <v>2228</v>
      </c>
      <c r="E642" s="115"/>
      <c r="F642" s="115" t="s">
        <v>1572</v>
      </c>
      <c r="G642" s="115" t="s">
        <v>891</v>
      </c>
      <c r="H642" s="115">
        <f t="shared" si="1085"/>
        <v>0</v>
      </c>
      <c r="I642" s="115" t="s">
        <v>1190</v>
      </c>
      <c r="J642" s="115">
        <v>1</v>
      </c>
      <c r="K642" s="115" t="s">
        <v>1191</v>
      </c>
      <c r="L642" s="297"/>
      <c r="M642" s="115" t="s">
        <v>1324</v>
      </c>
      <c r="N642" s="115">
        <f t="shared" si="1086"/>
        <v>0</v>
      </c>
      <c r="O642" s="315"/>
      <c r="P642" s="315"/>
      <c r="Q642" s="315"/>
      <c r="R642" s="315"/>
      <c r="S642" s="315"/>
      <c r="T642" s="315"/>
      <c r="U642" s="315"/>
      <c r="V642" s="315"/>
      <c r="W642" s="315"/>
      <c r="X642" s="315"/>
      <c r="Y642" s="315"/>
      <c r="Z642" s="315"/>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4"/>
      <c r="BM642" s="310"/>
      <c r="BN642" s="312"/>
    </row>
    <row r="643" s="22" customFormat="1" ht="33.95" hidden="1" customHeight="1" outlineLevel="2" collapsed="1" spans="2:66">
      <c r="B643" s="112" t="s">
        <v>742</v>
      </c>
      <c r="C643" s="113" t="s">
        <v>2229</v>
      </c>
      <c r="D643" s="22" t="s">
        <v>2230</v>
      </c>
      <c r="E643" s="112"/>
      <c r="F643" s="112"/>
      <c r="G643" s="112"/>
      <c r="H643" s="112">
        <f>SUM(H644:H645)</f>
        <v>0</v>
      </c>
      <c r="I643" s="112"/>
      <c r="J643" s="112"/>
      <c r="K643" s="112"/>
      <c r="L643" s="112"/>
      <c r="M643" s="112"/>
      <c r="N643" s="303"/>
      <c r="O643" s="286"/>
      <c r="P643" s="286"/>
      <c r="Q643" s="286"/>
      <c r="R643" s="286"/>
      <c r="S643" s="286"/>
      <c r="T643" s="286"/>
      <c r="U643" s="286"/>
      <c r="V643" s="286"/>
      <c r="W643" s="286"/>
      <c r="X643" s="286"/>
      <c r="Y643" s="286"/>
      <c r="Z643" s="286"/>
      <c r="AA643" s="286"/>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3"/>
      <c r="BM643" s="310"/>
      <c r="BN643" s="311"/>
    </row>
    <row r="644" s="48" customFormat="1" ht="33.95" hidden="1" customHeight="1" outlineLevel="3" spans="2:66">
      <c r="B644" s="115" t="s">
        <v>747</v>
      </c>
      <c r="C644" s="116" t="s">
        <v>2231</v>
      </c>
      <c r="D644" s="48" t="s">
        <v>2232</v>
      </c>
      <c r="E644" s="115"/>
      <c r="F644" s="115" t="s">
        <v>1572</v>
      </c>
      <c r="G644" s="115" t="s">
        <v>891</v>
      </c>
      <c r="H644" s="115">
        <f t="shared" ref="H644:H650" si="1101">J644*L644</f>
        <v>0</v>
      </c>
      <c r="I644" s="115" t="s">
        <v>1190</v>
      </c>
      <c r="J644" s="115">
        <v>1</v>
      </c>
      <c r="K644" s="115" t="s">
        <v>1191</v>
      </c>
      <c r="L644" s="297"/>
      <c r="M644" s="115" t="s">
        <v>1324</v>
      </c>
      <c r="N644" s="115">
        <f t="shared" ref="N644:N650" si="1102">COUNTA(O644:Z644)</f>
        <v>0</v>
      </c>
      <c r="O644" s="316"/>
      <c r="P644" s="316"/>
      <c r="Q644" s="316"/>
      <c r="R644" s="316"/>
      <c r="S644" s="316"/>
      <c r="T644" s="316"/>
      <c r="U644" s="316"/>
      <c r="V644" s="316"/>
      <c r="W644" s="316"/>
      <c r="X644" s="316"/>
      <c r="Y644" s="316"/>
      <c r="Z644" s="316"/>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4"/>
      <c r="BM644" s="310"/>
      <c r="BN644" s="312"/>
    </row>
    <row r="645" s="48" customFormat="1" ht="33.95" hidden="1" customHeight="1" outlineLevel="3" spans="2:66">
      <c r="B645" s="115" t="s">
        <v>747</v>
      </c>
      <c r="C645" s="116" t="s">
        <v>2233</v>
      </c>
      <c r="D645" s="48" t="s">
        <v>2234</v>
      </c>
      <c r="E645" s="115"/>
      <c r="F645" s="115" t="s">
        <v>1572</v>
      </c>
      <c r="G645" s="115" t="s">
        <v>891</v>
      </c>
      <c r="H645" s="115">
        <f t="shared" si="1101"/>
        <v>0</v>
      </c>
      <c r="I645" s="115" t="s">
        <v>1190</v>
      </c>
      <c r="J645" s="115">
        <v>1</v>
      </c>
      <c r="K645" s="115" t="s">
        <v>1191</v>
      </c>
      <c r="L645" s="297"/>
      <c r="M645" s="115" t="s">
        <v>1324</v>
      </c>
      <c r="N645" s="115">
        <f t="shared" si="1102"/>
        <v>0</v>
      </c>
      <c r="O645" s="315"/>
      <c r="P645" s="315"/>
      <c r="Q645" s="315"/>
      <c r="R645" s="315"/>
      <c r="S645" s="315"/>
      <c r="T645" s="315"/>
      <c r="U645" s="315"/>
      <c r="V645" s="315"/>
      <c r="W645" s="315"/>
      <c r="X645" s="315"/>
      <c r="Y645" s="315"/>
      <c r="Z645" s="315"/>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4"/>
      <c r="BM645" s="310"/>
      <c r="BN645" s="312"/>
    </row>
    <row r="646" s="22" customFormat="1" ht="33.95" hidden="1" customHeight="1" outlineLevel="2" collapsed="1" spans="2:66">
      <c r="B646" s="112" t="s">
        <v>742</v>
      </c>
      <c r="C646" s="113" t="s">
        <v>2235</v>
      </c>
      <c r="D646" s="22" t="s">
        <v>2236</v>
      </c>
      <c r="E646" s="112"/>
      <c r="F646" s="112"/>
      <c r="G646" s="112"/>
      <c r="H646" s="112">
        <f>SUM(H647:H650)</f>
        <v>0</v>
      </c>
      <c r="I646" s="112"/>
      <c r="J646" s="112"/>
      <c r="K646" s="112"/>
      <c r="L646" s="112"/>
      <c r="M646" s="112"/>
      <c r="N646" s="303"/>
      <c r="O646" s="286"/>
      <c r="P646" s="286"/>
      <c r="Q646" s="286"/>
      <c r="R646" s="286"/>
      <c r="S646" s="286"/>
      <c r="T646" s="286"/>
      <c r="U646" s="286"/>
      <c r="V646" s="286"/>
      <c r="W646" s="286"/>
      <c r="X646" s="286"/>
      <c r="Y646" s="286"/>
      <c r="Z646" s="286"/>
      <c r="AA646" s="286"/>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3"/>
      <c r="BM646" s="310"/>
      <c r="BN646" s="311"/>
    </row>
    <row r="647" s="48" customFormat="1" ht="33.95" hidden="1" customHeight="1" outlineLevel="3" spans="2:66">
      <c r="B647" s="115" t="s">
        <v>747</v>
      </c>
      <c r="C647" s="116" t="s">
        <v>2237</v>
      </c>
      <c r="D647" s="48" t="s">
        <v>2238</v>
      </c>
      <c r="E647" s="115" t="s">
        <v>2239</v>
      </c>
      <c r="F647" s="115" t="s">
        <v>1572</v>
      </c>
      <c r="G647" s="115" t="s">
        <v>891</v>
      </c>
      <c r="H647" s="115">
        <f t="shared" si="1101"/>
        <v>0</v>
      </c>
      <c r="I647" s="115" t="s">
        <v>1190</v>
      </c>
      <c r="J647" s="115">
        <v>1</v>
      </c>
      <c r="K647" s="115" t="s">
        <v>1191</v>
      </c>
      <c r="L647" s="297"/>
      <c r="M647" s="115" t="s">
        <v>1324</v>
      </c>
      <c r="N647" s="115">
        <f t="shared" si="1102"/>
        <v>0</v>
      </c>
      <c r="O647" s="316"/>
      <c r="P647" s="316"/>
      <c r="Q647" s="316"/>
      <c r="R647" s="316"/>
      <c r="S647" s="316"/>
      <c r="T647" s="316"/>
      <c r="U647" s="316"/>
      <c r="V647" s="316"/>
      <c r="W647" s="316"/>
      <c r="X647" s="316"/>
      <c r="Y647" s="316"/>
      <c r="Z647" s="316"/>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4"/>
      <c r="BM647" s="310"/>
      <c r="BN647" s="312"/>
    </row>
    <row r="648" s="48" customFormat="1" ht="33.95" hidden="1" customHeight="1" outlineLevel="3" spans="2:66">
      <c r="B648" s="115" t="s">
        <v>747</v>
      </c>
      <c r="C648" s="116" t="s">
        <v>2240</v>
      </c>
      <c r="D648" s="48" t="s">
        <v>2241</v>
      </c>
      <c r="E648" s="115" t="s">
        <v>2242</v>
      </c>
      <c r="F648" s="115" t="s">
        <v>1572</v>
      </c>
      <c r="G648" s="115" t="s">
        <v>891</v>
      </c>
      <c r="H648" s="115">
        <f t="shared" si="1101"/>
        <v>0</v>
      </c>
      <c r="I648" s="115" t="s">
        <v>1190</v>
      </c>
      <c r="J648" s="115">
        <v>1</v>
      </c>
      <c r="K648" s="115" t="s">
        <v>1191</v>
      </c>
      <c r="L648" s="297"/>
      <c r="M648" s="115" t="s">
        <v>1324</v>
      </c>
      <c r="N648" s="115">
        <f t="shared" si="1102"/>
        <v>0</v>
      </c>
      <c r="O648" s="297"/>
      <c r="P648" s="297"/>
      <c r="Q648" s="297"/>
      <c r="R648" s="297"/>
      <c r="S648" s="297"/>
      <c r="T648" s="297"/>
      <c r="U648" s="297"/>
      <c r="V648" s="297"/>
      <c r="W648" s="297"/>
      <c r="X648" s="297"/>
      <c r="Y648" s="297"/>
      <c r="Z648" s="297"/>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4"/>
      <c r="BM648" s="310"/>
      <c r="BN648" s="312"/>
    </row>
    <row r="649" s="48" customFormat="1" ht="33.95" hidden="1" customHeight="1" outlineLevel="3" spans="2:66">
      <c r="B649" s="115" t="s">
        <v>747</v>
      </c>
      <c r="C649" s="116" t="s">
        <v>2243</v>
      </c>
      <c r="D649" s="48" t="s">
        <v>2244</v>
      </c>
      <c r="E649" s="115" t="s">
        <v>2245</v>
      </c>
      <c r="F649" s="115" t="s">
        <v>1572</v>
      </c>
      <c r="G649" s="115" t="s">
        <v>891</v>
      </c>
      <c r="H649" s="115">
        <f t="shared" si="1101"/>
        <v>0</v>
      </c>
      <c r="I649" s="115" t="s">
        <v>1190</v>
      </c>
      <c r="J649" s="115">
        <v>1</v>
      </c>
      <c r="K649" s="115" t="s">
        <v>1191</v>
      </c>
      <c r="L649" s="297"/>
      <c r="M649" s="115" t="s">
        <v>1324</v>
      </c>
      <c r="N649" s="115">
        <f t="shared" si="1102"/>
        <v>0</v>
      </c>
      <c r="O649" s="297"/>
      <c r="P649" s="297"/>
      <c r="Q649" s="297"/>
      <c r="R649" s="297"/>
      <c r="S649" s="297"/>
      <c r="T649" s="297"/>
      <c r="U649" s="297"/>
      <c r="V649" s="297"/>
      <c r="W649" s="297"/>
      <c r="X649" s="297"/>
      <c r="Y649" s="297"/>
      <c r="Z649" s="297"/>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4"/>
      <c r="BM649" s="310"/>
      <c r="BN649" s="312"/>
    </row>
    <row r="650" s="48" customFormat="1" ht="33.95" hidden="1" customHeight="1" outlineLevel="3" spans="2:66">
      <c r="B650" s="115" t="s">
        <v>747</v>
      </c>
      <c r="C650" s="116" t="s">
        <v>2246</v>
      </c>
      <c r="D650" s="48" t="s">
        <v>2247</v>
      </c>
      <c r="E650" s="115"/>
      <c r="F650" s="115" t="s">
        <v>1572</v>
      </c>
      <c r="G650" s="115" t="s">
        <v>891</v>
      </c>
      <c r="H650" s="115">
        <f t="shared" si="1101"/>
        <v>0</v>
      </c>
      <c r="I650" s="115" t="s">
        <v>1190</v>
      </c>
      <c r="J650" s="115">
        <v>1</v>
      </c>
      <c r="K650" s="115" t="s">
        <v>1191</v>
      </c>
      <c r="L650" s="297"/>
      <c r="M650" s="115" t="s">
        <v>1324</v>
      </c>
      <c r="N650" s="115">
        <f t="shared" si="1102"/>
        <v>0</v>
      </c>
      <c r="O650" s="315"/>
      <c r="P650" s="315"/>
      <c r="Q650" s="315"/>
      <c r="R650" s="315"/>
      <c r="S650" s="315"/>
      <c r="T650" s="315"/>
      <c r="U650" s="315"/>
      <c r="V650" s="315"/>
      <c r="W650" s="315"/>
      <c r="X650" s="315"/>
      <c r="Y650" s="315"/>
      <c r="Z650" s="315"/>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4"/>
      <c r="BM650" s="310"/>
      <c r="BN650" s="312"/>
    </row>
    <row r="651" s="22" customFormat="1" ht="33.95" hidden="1" customHeight="1" outlineLevel="2" spans="2:66">
      <c r="B651" s="112" t="s">
        <v>747</v>
      </c>
      <c r="C651" s="113" t="s">
        <v>2248</v>
      </c>
      <c r="D651" s="22" t="s">
        <v>2249</v>
      </c>
      <c r="G651" s="112" t="s">
        <v>1799</v>
      </c>
      <c r="H651" s="112">
        <f>J651*L651*N651</f>
        <v>0</v>
      </c>
      <c r="I651" s="112" t="s">
        <v>1190</v>
      </c>
      <c r="J651" s="112">
        <v>1</v>
      </c>
      <c r="K651" s="112" t="s">
        <v>1191</v>
      </c>
      <c r="L651" s="297"/>
      <c r="M651" s="112" t="s">
        <v>1192</v>
      </c>
      <c r="N651" s="303">
        <v>12</v>
      </c>
      <c r="O651" s="286"/>
      <c r="P651" s="286"/>
      <c r="Q651" s="286"/>
      <c r="R651" s="286"/>
      <c r="S651" s="286"/>
      <c r="T651" s="286"/>
      <c r="U651" s="286"/>
      <c r="V651" s="286"/>
      <c r="W651" s="286"/>
      <c r="X651" s="286"/>
      <c r="Y651" s="286"/>
      <c r="Z651" s="286"/>
      <c r="AA651" s="286"/>
      <c r="AB651" s="112">
        <f t="shared" si="1103"/>
        <v>0</v>
      </c>
      <c r="AC651" s="112">
        <f t="shared" ref="AC651:AC655" si="1116">$H651/12</f>
        <v>0</v>
      </c>
      <c r="AD651" s="112"/>
      <c r="AE651" s="112"/>
      <c r="AF651" s="112">
        <f t="shared" ref="AF651:AF655" si="1117">$H651/12</f>
        <v>0</v>
      </c>
      <c r="AG651" s="112"/>
      <c r="AH651" s="112"/>
      <c r="AI651" s="112">
        <f t="shared" ref="AI651:AI655" si="1118">$H651/12</f>
        <v>0</v>
      </c>
      <c r="AJ651" s="112"/>
      <c r="AK651" s="112"/>
      <c r="AL651" s="112">
        <f t="shared" ref="AL651:AL655" si="1119">$H651/12</f>
        <v>0</v>
      </c>
      <c r="AM651" s="112"/>
      <c r="AN651" s="112"/>
      <c r="AO651" s="112">
        <f t="shared" ref="AO651:AO655" si="1120">$H651/12</f>
        <v>0</v>
      </c>
      <c r="AP651" s="112"/>
      <c r="AQ651" s="112"/>
      <c r="AR651" s="112">
        <f t="shared" ref="AR651:AR655" si="1121">$H651/12</f>
        <v>0</v>
      </c>
      <c r="AS651" s="112"/>
      <c r="AT651" s="112"/>
      <c r="AU651" s="112">
        <f t="shared" ref="AU651:AU655" si="1122">$H651/12</f>
        <v>0</v>
      </c>
      <c r="AV651" s="112"/>
      <c r="AW651" s="112"/>
      <c r="AX651" s="112">
        <f t="shared" ref="AX651:AX655" si="1123">$H651/12</f>
        <v>0</v>
      </c>
      <c r="AY651" s="112"/>
      <c r="AZ651" s="112"/>
      <c r="BA651" s="112">
        <f t="shared" ref="BA651:BA655" si="1124">$H651/12</f>
        <v>0</v>
      </c>
      <c r="BB651" s="112"/>
      <c r="BC651" s="112"/>
      <c r="BD651" s="112">
        <f t="shared" ref="BD651:BD655" si="1125">$H651/12</f>
        <v>0</v>
      </c>
      <c r="BE651" s="112"/>
      <c r="BF651" s="112"/>
      <c r="BG651" s="112">
        <f t="shared" ref="BG651:BG655" si="1126">$H651/12</f>
        <v>0</v>
      </c>
      <c r="BH651" s="112"/>
      <c r="BI651" s="112"/>
      <c r="BJ651" s="112">
        <f t="shared" ref="BJ651:BJ655" si="1127">$H651/12</f>
        <v>0</v>
      </c>
      <c r="BK651" s="112"/>
      <c r="BL651" s="303"/>
      <c r="BM651" s="310"/>
      <c r="BN651" s="311"/>
    </row>
    <row r="652" s="108" customFormat="1" ht="33.95" customHeight="1" outlineLevel="1" collapsed="1" spans="2:66">
      <c r="B652" s="109" t="s">
        <v>742</v>
      </c>
      <c r="C652" s="110">
        <v>1.4</v>
      </c>
      <c r="D652" s="108" t="s">
        <v>215</v>
      </c>
      <c r="G652" s="109"/>
      <c r="H652" s="109">
        <f>SUM(H653:H657)</f>
        <v>0</v>
      </c>
      <c r="N652" s="302"/>
      <c r="O652" s="285"/>
      <c r="P652" s="285"/>
      <c r="Q652" s="285"/>
      <c r="R652" s="285"/>
      <c r="S652" s="285"/>
      <c r="T652" s="285"/>
      <c r="U652" s="285"/>
      <c r="V652" s="285"/>
      <c r="W652" s="285"/>
      <c r="X652" s="285"/>
      <c r="Y652" s="285"/>
      <c r="Z652" s="285"/>
      <c r="AA652" s="285"/>
      <c r="AB652" s="109">
        <f t="shared" ref="AB652:AC652" si="1128">SUM(AB653:AB657)</f>
        <v>0</v>
      </c>
      <c r="AC652" s="109">
        <f t="shared" si="1128"/>
        <v>0</v>
      </c>
      <c r="AF652" s="109">
        <f>SUM(AF653:AF657)</f>
        <v>0</v>
      </c>
      <c r="AI652" s="109">
        <f>SUM(AI653:AI657)</f>
        <v>0</v>
      </c>
      <c r="AL652" s="109">
        <f>SUM(AL653:AL657)</f>
        <v>0</v>
      </c>
      <c r="AO652" s="109">
        <f>SUM(AO653:AO657)</f>
        <v>0</v>
      </c>
      <c r="AR652" s="109">
        <f>SUM(AR653:AR657)</f>
        <v>0</v>
      </c>
      <c r="AU652" s="109">
        <f>SUM(AU653:AU657)</f>
        <v>0</v>
      </c>
      <c r="AX652" s="109">
        <f>SUM(AX653:AX657)</f>
        <v>0</v>
      </c>
      <c r="BA652" s="109">
        <f>SUM(BA653:BA657)</f>
        <v>0</v>
      </c>
      <c r="BD652" s="109">
        <f>SUM(BD653:BD657)</f>
        <v>0</v>
      </c>
      <c r="BG652" s="109">
        <f>SUM(BG653:BG657)</f>
        <v>0</v>
      </c>
      <c r="BJ652" s="109">
        <f>SUM(BJ653:BJ657)</f>
        <v>0</v>
      </c>
      <c r="BL652" s="302"/>
      <c r="BM652" s="310"/>
      <c r="BN652" s="285"/>
    </row>
    <row r="653" s="22" customFormat="1" ht="33.95" hidden="1" customHeight="1" outlineLevel="2" spans="2:66">
      <c r="B653" s="112" t="s">
        <v>747</v>
      </c>
      <c r="C653" s="113" t="s">
        <v>84</v>
      </c>
      <c r="D653" s="22" t="s">
        <v>85</v>
      </c>
      <c r="E653" s="112" t="s">
        <v>2250</v>
      </c>
      <c r="F653" s="112"/>
      <c r="G653" s="112" t="s">
        <v>1799</v>
      </c>
      <c r="H653" s="112">
        <f t="shared" ref="H653:H657" si="1129">J653*L653*N653</f>
        <v>0</v>
      </c>
      <c r="I653" s="112" t="s">
        <v>2251</v>
      </c>
      <c r="J653" s="297"/>
      <c r="K653" s="112" t="s">
        <v>2252</v>
      </c>
      <c r="L653" s="297"/>
      <c r="M653" s="112" t="s">
        <v>2253</v>
      </c>
      <c r="N653" s="303">
        <v>12</v>
      </c>
      <c r="O653" s="286"/>
      <c r="P653" s="286"/>
      <c r="Q653" s="286"/>
      <c r="R653" s="286"/>
      <c r="S653" s="286"/>
      <c r="T653" s="286"/>
      <c r="U653" s="286"/>
      <c r="V653" s="286"/>
      <c r="W653" s="286"/>
      <c r="X653" s="286"/>
      <c r="Y653" s="286"/>
      <c r="Z653" s="286"/>
      <c r="AA653" s="286"/>
      <c r="AB653" s="112">
        <f t="shared" ref="AB653:AB657" si="1130">SUM(AC653,AF653,AI653,AL653,AO653,AR653,AU653,AX653,BA653,BD653,BG653,BJ653)</f>
        <v>0</v>
      </c>
      <c r="AC653" s="112">
        <f t="shared" si="1116"/>
        <v>0</v>
      </c>
      <c r="AD653" s="112"/>
      <c r="AE653" s="112"/>
      <c r="AF653" s="112">
        <f t="shared" si="1117"/>
        <v>0</v>
      </c>
      <c r="AG653" s="112"/>
      <c r="AH653" s="112"/>
      <c r="AI653" s="112">
        <f t="shared" si="1118"/>
        <v>0</v>
      </c>
      <c r="AJ653" s="112"/>
      <c r="AK653" s="112"/>
      <c r="AL653" s="112">
        <f t="shared" si="1119"/>
        <v>0</v>
      </c>
      <c r="AM653" s="112"/>
      <c r="AN653" s="112"/>
      <c r="AO653" s="112">
        <f t="shared" si="1120"/>
        <v>0</v>
      </c>
      <c r="AP653" s="112"/>
      <c r="AQ653" s="112"/>
      <c r="AR653" s="112">
        <f t="shared" si="1121"/>
        <v>0</v>
      </c>
      <c r="AS653" s="112"/>
      <c r="AT653" s="112"/>
      <c r="AU653" s="112">
        <f t="shared" si="1122"/>
        <v>0</v>
      </c>
      <c r="AV653" s="112"/>
      <c r="AW653" s="112"/>
      <c r="AX653" s="112">
        <f t="shared" si="1123"/>
        <v>0</v>
      </c>
      <c r="AY653" s="112"/>
      <c r="AZ653" s="112"/>
      <c r="BA653" s="112">
        <f t="shared" si="1124"/>
        <v>0</v>
      </c>
      <c r="BB653" s="112"/>
      <c r="BC653" s="112"/>
      <c r="BD653" s="112">
        <f t="shared" si="1125"/>
        <v>0</v>
      </c>
      <c r="BE653" s="112"/>
      <c r="BF653" s="112"/>
      <c r="BG653" s="112">
        <f t="shared" si="1126"/>
        <v>0</v>
      </c>
      <c r="BH653" s="112"/>
      <c r="BI653" s="112"/>
      <c r="BJ653" s="112">
        <f t="shared" si="1127"/>
        <v>0</v>
      </c>
      <c r="BK653" s="112"/>
      <c r="BL653" s="303"/>
      <c r="BM653" s="310"/>
      <c r="BN653" s="311"/>
    </row>
    <row r="654" s="22" customFormat="1" ht="33.95" hidden="1" customHeight="1" outlineLevel="2" spans="2:66">
      <c r="B654" s="112" t="s">
        <v>747</v>
      </c>
      <c r="C654" s="113" t="s">
        <v>88</v>
      </c>
      <c r="D654" s="22" t="s">
        <v>89</v>
      </c>
      <c r="E654" s="112" t="s">
        <v>2254</v>
      </c>
      <c r="F654" s="112"/>
      <c r="G654" s="112" t="s">
        <v>1799</v>
      </c>
      <c r="H654" s="112">
        <f t="shared" si="1129"/>
        <v>0</v>
      </c>
      <c r="I654" s="112" t="s">
        <v>2255</v>
      </c>
      <c r="J654" s="297"/>
      <c r="K654" s="112" t="s">
        <v>2256</v>
      </c>
      <c r="L654" s="297"/>
      <c r="M654" s="112" t="s">
        <v>2257</v>
      </c>
      <c r="N654" s="303">
        <v>12</v>
      </c>
      <c r="O654" s="286"/>
      <c r="P654" s="286"/>
      <c r="Q654" s="286"/>
      <c r="R654" s="286"/>
      <c r="S654" s="286"/>
      <c r="T654" s="286"/>
      <c r="U654" s="286"/>
      <c r="V654" s="286"/>
      <c r="W654" s="286"/>
      <c r="X654" s="286"/>
      <c r="Y654" s="286"/>
      <c r="Z654" s="286"/>
      <c r="AA654" s="286"/>
      <c r="AB654" s="112">
        <f t="shared" si="1130"/>
        <v>0</v>
      </c>
      <c r="AC654" s="112">
        <f t="shared" si="1116"/>
        <v>0</v>
      </c>
      <c r="AD654" s="112"/>
      <c r="AE654" s="112"/>
      <c r="AF654" s="112">
        <f t="shared" si="1117"/>
        <v>0</v>
      </c>
      <c r="AG654" s="112"/>
      <c r="AH654" s="112"/>
      <c r="AI654" s="112">
        <f t="shared" si="1118"/>
        <v>0</v>
      </c>
      <c r="AJ654" s="112"/>
      <c r="AK654" s="112"/>
      <c r="AL654" s="112">
        <f t="shared" si="1119"/>
        <v>0</v>
      </c>
      <c r="AM654" s="112"/>
      <c r="AN654" s="112"/>
      <c r="AO654" s="112">
        <f t="shared" si="1120"/>
        <v>0</v>
      </c>
      <c r="AP654" s="112"/>
      <c r="AQ654" s="112"/>
      <c r="AR654" s="112">
        <f t="shared" si="1121"/>
        <v>0</v>
      </c>
      <c r="AS654" s="112"/>
      <c r="AT654" s="112"/>
      <c r="AU654" s="112">
        <f t="shared" si="1122"/>
        <v>0</v>
      </c>
      <c r="AV654" s="112"/>
      <c r="AW654" s="112"/>
      <c r="AX654" s="112">
        <f t="shared" si="1123"/>
        <v>0</v>
      </c>
      <c r="AY654" s="112"/>
      <c r="AZ654" s="112"/>
      <c r="BA654" s="112">
        <f t="shared" si="1124"/>
        <v>0</v>
      </c>
      <c r="BB654" s="112"/>
      <c r="BC654" s="112"/>
      <c r="BD654" s="112">
        <f t="shared" si="1125"/>
        <v>0</v>
      </c>
      <c r="BE654" s="112"/>
      <c r="BF654" s="112"/>
      <c r="BG654" s="112">
        <f t="shared" si="1126"/>
        <v>0</v>
      </c>
      <c r="BH654" s="112"/>
      <c r="BI654" s="112"/>
      <c r="BJ654" s="112">
        <f t="shared" si="1127"/>
        <v>0</v>
      </c>
      <c r="BK654" s="112"/>
      <c r="BL654" s="303"/>
      <c r="BM654" s="310"/>
      <c r="BN654" s="311"/>
    </row>
    <row r="655" s="22" customFormat="1" ht="33.95" hidden="1" customHeight="1" outlineLevel="2" spans="2:66">
      <c r="B655" s="112" t="s">
        <v>747</v>
      </c>
      <c r="C655" s="113" t="s">
        <v>96</v>
      </c>
      <c r="D655" s="22" t="s">
        <v>97</v>
      </c>
      <c r="E655" s="112" t="s">
        <v>2258</v>
      </c>
      <c r="F655" s="112"/>
      <c r="G655" s="112" t="s">
        <v>1799</v>
      </c>
      <c r="H655" s="112">
        <f t="shared" si="1129"/>
        <v>0</v>
      </c>
      <c r="I655" s="112" t="s">
        <v>2259</v>
      </c>
      <c r="J655" s="297"/>
      <c r="K655" s="112" t="s">
        <v>2252</v>
      </c>
      <c r="L655" s="297"/>
      <c r="M655" s="112" t="s">
        <v>2253</v>
      </c>
      <c r="N655" s="303">
        <v>12</v>
      </c>
      <c r="O655" s="286"/>
      <c r="P655" s="286"/>
      <c r="Q655" s="286"/>
      <c r="R655" s="286"/>
      <c r="S655" s="286"/>
      <c r="T655" s="286"/>
      <c r="U655" s="286"/>
      <c r="V655" s="286"/>
      <c r="W655" s="286"/>
      <c r="X655" s="286"/>
      <c r="Y655" s="286"/>
      <c r="Z655" s="286"/>
      <c r="AA655" s="286"/>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3"/>
      <c r="BM655" s="310"/>
      <c r="BN655" s="311"/>
    </row>
    <row r="656" s="22" customFormat="1" ht="33.95" hidden="1" customHeight="1" outlineLevel="2" spans="2:66">
      <c r="B656" s="112" t="s">
        <v>747</v>
      </c>
      <c r="C656" s="113" t="s">
        <v>92</v>
      </c>
      <c r="D656" s="22" t="s">
        <v>93</v>
      </c>
      <c r="E656" s="112" t="s">
        <v>2260</v>
      </c>
      <c r="F656" s="112" t="s">
        <v>1572</v>
      </c>
      <c r="G656" s="112" t="s">
        <v>1799</v>
      </c>
      <c r="H656" s="112">
        <f>J656*L656</f>
        <v>0</v>
      </c>
      <c r="I656" s="112" t="s">
        <v>2261</v>
      </c>
      <c r="J656" s="297"/>
      <c r="K656" s="112" t="s">
        <v>1191</v>
      </c>
      <c r="L656" s="297"/>
      <c r="M656" s="112" t="s">
        <v>2262</v>
      </c>
      <c r="N656" s="112">
        <f>COUNTA(O656:Z656)</f>
        <v>0</v>
      </c>
      <c r="O656" s="320"/>
      <c r="P656" s="320"/>
      <c r="Q656" s="320"/>
      <c r="R656" s="320"/>
      <c r="S656" s="320"/>
      <c r="T656" s="320"/>
      <c r="U656" s="320"/>
      <c r="V656" s="320"/>
      <c r="W656" s="320"/>
      <c r="X656" s="320"/>
      <c r="Y656" s="320"/>
      <c r="Z656" s="320"/>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3"/>
      <c r="BM656" s="310"/>
      <c r="BN656" s="311"/>
    </row>
    <row r="657" s="22" customFormat="1" ht="33.95" hidden="1" customHeight="1" outlineLevel="2" spans="2:66">
      <c r="B657" s="112" t="s">
        <v>747</v>
      </c>
      <c r="C657" s="113" t="s">
        <v>100</v>
      </c>
      <c r="D657" s="22" t="s">
        <v>101</v>
      </c>
      <c r="E657" s="112" t="s">
        <v>2263</v>
      </c>
      <c r="F657" s="112"/>
      <c r="G657" s="112" t="s">
        <v>1799</v>
      </c>
      <c r="H657" s="112">
        <f t="shared" si="1129"/>
        <v>0</v>
      </c>
      <c r="I657" s="112" t="s">
        <v>1190</v>
      </c>
      <c r="J657" s="112">
        <v>1</v>
      </c>
      <c r="K657" s="112" t="s">
        <v>1191</v>
      </c>
      <c r="L657" s="297"/>
      <c r="M657" s="112" t="s">
        <v>1192</v>
      </c>
      <c r="N657" s="303">
        <v>12</v>
      </c>
      <c r="O657" s="286"/>
      <c r="P657" s="286"/>
      <c r="Q657" s="286"/>
      <c r="R657" s="286"/>
      <c r="S657" s="286"/>
      <c r="T657" s="286"/>
      <c r="U657" s="286"/>
      <c r="V657" s="286"/>
      <c r="W657" s="286"/>
      <c r="X657" s="286"/>
      <c r="Y657" s="286"/>
      <c r="Z657" s="286"/>
      <c r="AA657" s="286"/>
      <c r="AB657" s="112">
        <f t="shared" si="1130"/>
        <v>0</v>
      </c>
      <c r="AC657" s="112">
        <f>$H657/12</f>
        <v>0</v>
      </c>
      <c r="AD657" s="112"/>
      <c r="AE657" s="112"/>
      <c r="AF657" s="112">
        <f>$H657/12</f>
        <v>0</v>
      </c>
      <c r="AG657" s="112"/>
      <c r="AH657" s="112"/>
      <c r="AI657" s="112">
        <f>$H657/12</f>
        <v>0</v>
      </c>
      <c r="AJ657" s="112"/>
      <c r="AK657" s="112"/>
      <c r="AL657" s="112">
        <f>$H657/12</f>
        <v>0</v>
      </c>
      <c r="AM657" s="112"/>
      <c r="AN657" s="112"/>
      <c r="AO657" s="112">
        <f>$H657/12</f>
        <v>0</v>
      </c>
      <c r="AP657" s="112"/>
      <c r="AQ657" s="112"/>
      <c r="AR657" s="112">
        <f>$H657/12</f>
        <v>0</v>
      </c>
      <c r="AS657" s="112"/>
      <c r="AT657" s="112"/>
      <c r="AU657" s="112">
        <f>$H657/12</f>
        <v>0</v>
      </c>
      <c r="AV657" s="112"/>
      <c r="AW657" s="112"/>
      <c r="AX657" s="112">
        <f>$H657/12</f>
        <v>0</v>
      </c>
      <c r="AY657" s="112"/>
      <c r="AZ657" s="112"/>
      <c r="BA657" s="112">
        <f>$H657/12</f>
        <v>0</v>
      </c>
      <c r="BB657" s="112"/>
      <c r="BC657" s="112"/>
      <c r="BD657" s="112">
        <f>$H657/12</f>
        <v>0</v>
      </c>
      <c r="BE657" s="112"/>
      <c r="BF657" s="112"/>
      <c r="BG657" s="112">
        <f>$H657/12</f>
        <v>0</v>
      </c>
      <c r="BH657" s="112"/>
      <c r="BI657" s="112"/>
      <c r="BJ657" s="112">
        <f>$H657/12</f>
        <v>0</v>
      </c>
      <c r="BK657" s="112"/>
      <c r="BL657" s="303"/>
      <c r="BM657" s="310"/>
      <c r="BN657" s="311"/>
    </row>
    <row r="658" s="108" customFormat="1" ht="33.95" customHeight="1" outlineLevel="1" collapsed="1" spans="2:66">
      <c r="B658" s="109" t="s">
        <v>742</v>
      </c>
      <c r="C658" s="322">
        <v>1.5</v>
      </c>
      <c r="D658" s="108" t="s">
        <v>216</v>
      </c>
      <c r="G658" s="109"/>
      <c r="H658" s="109">
        <f>SUM(H659:H667)</f>
        <v>141680.01</v>
      </c>
      <c r="N658" s="302"/>
      <c r="O658" s="285"/>
      <c r="P658" s="285"/>
      <c r="Q658" s="285"/>
      <c r="R658" s="285"/>
      <c r="S658" s="285"/>
      <c r="T658" s="285"/>
      <c r="U658" s="285"/>
      <c r="V658" s="285"/>
      <c r="W658" s="285"/>
      <c r="X658" s="285"/>
      <c r="Y658" s="285"/>
      <c r="Z658" s="285"/>
      <c r="AA658" s="285"/>
      <c r="AB658" s="109">
        <f t="shared" ref="AB658:AF658" si="1131">SUM(AB659:AB667)</f>
        <v>141680.01</v>
      </c>
      <c r="AC658" s="109">
        <f t="shared" si="1131"/>
        <v>44806.6675</v>
      </c>
      <c r="AF658" s="109">
        <f t="shared" si="1131"/>
        <v>8806.6675</v>
      </c>
      <c r="AI658" s="109">
        <f>SUM(AI659:AI667)</f>
        <v>8806.6675</v>
      </c>
      <c r="AL658" s="109">
        <f>SUM(AL659:AL667)</f>
        <v>8806.6675</v>
      </c>
      <c r="AO658" s="109">
        <f>SUM(AO659:AO667)</f>
        <v>8806.6675</v>
      </c>
      <c r="AR658" s="109">
        <f>SUM(AR659:AR667)</f>
        <v>8806.6675</v>
      </c>
      <c r="AU658" s="109">
        <f>SUM(AU659:AU667)</f>
        <v>8806.6675</v>
      </c>
      <c r="AX658" s="109">
        <f>SUM(AX659:AX667)</f>
        <v>8806.6675</v>
      </c>
      <c r="BA658" s="109">
        <f>SUM(BA659:BA667)</f>
        <v>8806.6675</v>
      </c>
      <c r="BD658" s="109">
        <f>SUM(BD659:BD667)</f>
        <v>8806.6675</v>
      </c>
      <c r="BG658" s="109">
        <f>SUM(BG659:BG667)</f>
        <v>8806.6675</v>
      </c>
      <c r="BJ658" s="109">
        <f>SUM(BJ659:BJ667)</f>
        <v>8806.6675</v>
      </c>
      <c r="BL658" s="302"/>
      <c r="BM658" s="310"/>
      <c r="BN658" s="285"/>
    </row>
    <row r="659" s="22" customFormat="1" ht="33.95" hidden="1" customHeight="1" outlineLevel="2" spans="2:66">
      <c r="B659" s="112" t="s">
        <v>747</v>
      </c>
      <c r="C659" s="113" t="s">
        <v>135</v>
      </c>
      <c r="D659" s="22" t="s">
        <v>136</v>
      </c>
      <c r="E659" s="112" t="s">
        <v>2264</v>
      </c>
      <c r="F659" s="112"/>
      <c r="G659" s="112" t="s">
        <v>891</v>
      </c>
      <c r="H659" s="112">
        <f>J659*L659*N659</f>
        <v>36000</v>
      </c>
      <c r="I659" s="112" t="s">
        <v>1190</v>
      </c>
      <c r="J659" s="297">
        <v>360</v>
      </c>
      <c r="K659" s="112" t="s">
        <v>1343</v>
      </c>
      <c r="L659" s="112">
        <v>100</v>
      </c>
      <c r="M659" s="112" t="s">
        <v>1364</v>
      </c>
      <c r="N659" s="112">
        <f>COUNTA(O659:Z659)</f>
        <v>1</v>
      </c>
      <c r="O659" s="320" t="s">
        <v>1582</v>
      </c>
      <c r="P659" s="320"/>
      <c r="Q659" s="320"/>
      <c r="R659" s="320"/>
      <c r="S659" s="320"/>
      <c r="T659" s="320"/>
      <c r="U659" s="320"/>
      <c r="V659" s="320"/>
      <c r="W659" s="320"/>
      <c r="X659" s="320"/>
      <c r="Y659" s="320"/>
      <c r="Z659" s="320"/>
      <c r="AA659" s="112"/>
      <c r="AB659" s="324">
        <f>SUM(AC659,AF659,AI659,AL659,AO659,AR659,AU659,AX659,BA659,BD659,BG659,BJ659)</f>
        <v>36000</v>
      </c>
      <c r="AC659" s="324">
        <f>IF(O659="√",$J659*$L659/$N659,0)</f>
        <v>36000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hidden="1" customHeight="1" outlineLevel="2" spans="2:66">
      <c r="B660" s="112" t="s">
        <v>747</v>
      </c>
      <c r="C660" s="113" t="s">
        <v>137</v>
      </c>
      <c r="D660" s="22" t="s">
        <v>138</v>
      </c>
      <c r="E660" s="112" t="s">
        <v>2265</v>
      </c>
      <c r="F660" s="112"/>
      <c r="G660" s="112" t="s">
        <v>1799</v>
      </c>
      <c r="H660" s="112">
        <f t="shared" ref="H660:H667" si="1132">J660*L660*N660</f>
        <v>2232</v>
      </c>
      <c r="I660" s="112" t="s">
        <v>1190</v>
      </c>
      <c r="J660" s="112">
        <v>1</v>
      </c>
      <c r="K660" s="112" t="s">
        <v>1191</v>
      </c>
      <c r="L660" s="297">
        <v>186</v>
      </c>
      <c r="M660" s="112" t="s">
        <v>1192</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2232</v>
      </c>
      <c r="AC660" s="324">
        <f t="shared" ref="AC660:AC667" si="1134">$H660/12</f>
        <v>186</v>
      </c>
      <c r="AD660" s="324"/>
      <c r="AE660" s="324"/>
      <c r="AF660" s="324">
        <f t="shared" ref="AF660:AF667" si="1135">$H660/12</f>
        <v>186</v>
      </c>
      <c r="AG660" s="324"/>
      <c r="AH660" s="324"/>
      <c r="AI660" s="324">
        <f t="shared" ref="AI660:AI667" si="1136">$H660/12</f>
        <v>186</v>
      </c>
      <c r="AJ660" s="324"/>
      <c r="AK660" s="324"/>
      <c r="AL660" s="324">
        <f t="shared" ref="AL660:AL667" si="1137">$H660/12</f>
        <v>186</v>
      </c>
      <c r="AM660" s="324"/>
      <c r="AN660" s="324"/>
      <c r="AO660" s="324">
        <f t="shared" ref="AO660:AO667" si="1138">$H660/12</f>
        <v>186</v>
      </c>
      <c r="AP660" s="324"/>
      <c r="AQ660" s="324"/>
      <c r="AR660" s="324">
        <f t="shared" ref="AR660:AR667" si="1139">$H660/12</f>
        <v>186</v>
      </c>
      <c r="AS660" s="324"/>
      <c r="AT660" s="324"/>
      <c r="AU660" s="324">
        <f t="shared" ref="AU660:AU667" si="1140">$H660/12</f>
        <v>186</v>
      </c>
      <c r="AV660" s="324"/>
      <c r="AW660" s="324"/>
      <c r="AX660" s="324">
        <f t="shared" ref="AX660:AX667" si="1141">$H660/12</f>
        <v>186</v>
      </c>
      <c r="AY660" s="324"/>
      <c r="AZ660" s="324"/>
      <c r="BA660" s="324">
        <f t="shared" ref="BA660:BA667" si="1142">$H660/12</f>
        <v>186</v>
      </c>
      <c r="BB660" s="324"/>
      <c r="BC660" s="324"/>
      <c r="BD660" s="324">
        <f t="shared" ref="BD660:BD667" si="1143">$H660/12</f>
        <v>186</v>
      </c>
      <c r="BE660" s="324"/>
      <c r="BF660" s="324"/>
      <c r="BG660" s="324">
        <f t="shared" ref="BG660:BG667" si="1144">$H660/12</f>
        <v>186</v>
      </c>
      <c r="BH660" s="324"/>
      <c r="BI660" s="324"/>
      <c r="BJ660" s="324">
        <f t="shared" ref="BJ660:BJ667" si="1145">$H660/12</f>
        <v>186</v>
      </c>
      <c r="BK660" s="324"/>
      <c r="BL660" s="325"/>
      <c r="BM660" s="310"/>
      <c r="BN660" s="311"/>
    </row>
    <row r="661" s="22" customFormat="1" ht="33.95" hidden="1" customHeight="1" outlineLevel="2" spans="2:66">
      <c r="B661" s="112" t="s">
        <v>747</v>
      </c>
      <c r="C661" s="113" t="s">
        <v>141</v>
      </c>
      <c r="D661" s="22" t="s">
        <v>142</v>
      </c>
      <c r="E661" s="112" t="s">
        <v>2266</v>
      </c>
      <c r="F661" s="112"/>
      <c r="G661" s="112" t="s">
        <v>1799</v>
      </c>
      <c r="H661" s="112">
        <f t="shared" si="1132"/>
        <v>43220.01</v>
      </c>
      <c r="I661" s="112" t="s">
        <v>1190</v>
      </c>
      <c r="J661" s="112">
        <v>1</v>
      </c>
      <c r="K661" s="112" t="s">
        <v>1191</v>
      </c>
      <c r="L661" s="297">
        <v>43220.01</v>
      </c>
      <c r="M661" s="112" t="s">
        <v>1192</v>
      </c>
      <c r="N661" s="303">
        <v>1</v>
      </c>
      <c r="O661" s="286"/>
      <c r="P661" s="286"/>
      <c r="Q661" s="286"/>
      <c r="R661" s="286"/>
      <c r="S661" s="286"/>
      <c r="T661" s="286"/>
      <c r="U661" s="286"/>
      <c r="V661" s="286"/>
      <c r="W661" s="286"/>
      <c r="X661" s="286"/>
      <c r="Y661" s="286"/>
      <c r="Z661" s="286"/>
      <c r="AA661" s="286"/>
      <c r="AB661" s="324">
        <f t="shared" si="1133"/>
        <v>43220.01</v>
      </c>
      <c r="AC661" s="324">
        <f t="shared" si="1134"/>
        <v>3601.6675</v>
      </c>
      <c r="AD661" s="324"/>
      <c r="AE661" s="324"/>
      <c r="AF661" s="324">
        <f t="shared" si="1135"/>
        <v>3601.6675</v>
      </c>
      <c r="AG661" s="324"/>
      <c r="AH661" s="324"/>
      <c r="AI661" s="324">
        <f t="shared" si="1136"/>
        <v>3601.6675</v>
      </c>
      <c r="AJ661" s="324"/>
      <c r="AK661" s="324"/>
      <c r="AL661" s="324">
        <f t="shared" si="1137"/>
        <v>3601.6675</v>
      </c>
      <c r="AM661" s="324"/>
      <c r="AN661" s="324"/>
      <c r="AO661" s="324">
        <f t="shared" si="1138"/>
        <v>3601.6675</v>
      </c>
      <c r="AP661" s="324"/>
      <c r="AQ661" s="324"/>
      <c r="AR661" s="324">
        <f t="shared" si="1139"/>
        <v>3601.6675</v>
      </c>
      <c r="AS661" s="324"/>
      <c r="AT661" s="324"/>
      <c r="AU661" s="324">
        <f t="shared" si="1140"/>
        <v>3601.6675</v>
      </c>
      <c r="AV661" s="324"/>
      <c r="AW661" s="324"/>
      <c r="AX661" s="324">
        <f t="shared" si="1141"/>
        <v>3601.6675</v>
      </c>
      <c r="AY661" s="324"/>
      <c r="AZ661" s="324"/>
      <c r="BA661" s="324">
        <f t="shared" si="1142"/>
        <v>3601.6675</v>
      </c>
      <c r="BB661" s="324"/>
      <c r="BC661" s="324"/>
      <c r="BD661" s="324">
        <f t="shared" si="1143"/>
        <v>3601.6675</v>
      </c>
      <c r="BE661" s="324"/>
      <c r="BF661" s="324"/>
      <c r="BG661" s="324">
        <f t="shared" si="1144"/>
        <v>3601.6675</v>
      </c>
      <c r="BH661" s="324"/>
      <c r="BI661" s="324"/>
      <c r="BJ661" s="324">
        <f t="shared" si="1145"/>
        <v>3601.6675</v>
      </c>
      <c r="BK661" s="324"/>
      <c r="BL661" s="325"/>
      <c r="BM661" s="310"/>
      <c r="BN661" s="311"/>
    </row>
    <row r="662" s="22" customFormat="1" ht="33.95" hidden="1" customHeight="1" outlineLevel="2" spans="2:66">
      <c r="B662" s="112" t="s">
        <v>747</v>
      </c>
      <c r="C662" s="113" t="s">
        <v>102</v>
      </c>
      <c r="D662" s="22" t="s">
        <v>103</v>
      </c>
      <c r="E662" s="112" t="s">
        <v>2267</v>
      </c>
      <c r="F662" s="112"/>
      <c r="G662" s="112" t="s">
        <v>1799</v>
      </c>
      <c r="H662" s="112">
        <f t="shared" si="1132"/>
        <v>0</v>
      </c>
      <c r="I662" s="112" t="s">
        <v>1190</v>
      </c>
      <c r="J662" s="112">
        <v>1</v>
      </c>
      <c r="K662" s="112" t="s">
        <v>1191</v>
      </c>
      <c r="L662" s="297"/>
      <c r="M662" s="112" t="s">
        <v>1192</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hidden="1" customHeight="1" outlineLevel="2" spans="2:66">
      <c r="B663" s="112" t="s">
        <v>747</v>
      </c>
      <c r="C663" s="113" t="s">
        <v>143</v>
      </c>
      <c r="D663" s="22" t="s">
        <v>144</v>
      </c>
      <c r="E663" s="112"/>
      <c r="F663" s="112"/>
      <c r="G663" s="112" t="s">
        <v>1799</v>
      </c>
      <c r="H663" s="112">
        <f t="shared" si="1132"/>
        <v>0</v>
      </c>
      <c r="I663" s="112" t="s">
        <v>1190</v>
      </c>
      <c r="J663" s="112">
        <v>1</v>
      </c>
      <c r="K663" s="112" t="s">
        <v>1191</v>
      </c>
      <c r="L663" s="297"/>
      <c r="M663" s="112" t="s">
        <v>1192</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hidden="1" customHeight="1" outlineLevel="2" spans="2:66">
      <c r="B664" s="112" t="s">
        <v>747</v>
      </c>
      <c r="C664" s="113" t="s">
        <v>147</v>
      </c>
      <c r="D664" s="22" t="s">
        <v>148</v>
      </c>
      <c r="E664" s="112" t="s">
        <v>2268</v>
      </c>
      <c r="F664" s="112"/>
      <c r="G664" s="112" t="s">
        <v>1799</v>
      </c>
      <c r="H664" s="112">
        <f t="shared" si="1132"/>
        <v>0</v>
      </c>
      <c r="I664" s="112" t="s">
        <v>1190</v>
      </c>
      <c r="J664" s="112">
        <v>1</v>
      </c>
      <c r="K664" s="112" t="s">
        <v>1191</v>
      </c>
      <c r="L664" s="297"/>
      <c r="M664" s="112" t="s">
        <v>1192</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2" customFormat="1" ht="33.95" hidden="1" customHeight="1" outlineLevel="2" spans="2:66">
      <c r="B665" s="112" t="s">
        <v>747</v>
      </c>
      <c r="C665" s="113" t="s">
        <v>153</v>
      </c>
      <c r="D665" s="22" t="s">
        <v>154</v>
      </c>
      <c r="E665" s="112" t="s">
        <v>2269</v>
      </c>
      <c r="F665" s="112"/>
      <c r="G665" s="112" t="s">
        <v>1799</v>
      </c>
      <c r="H665" s="112">
        <f t="shared" si="1132"/>
        <v>0</v>
      </c>
      <c r="I665" s="112" t="s">
        <v>1190</v>
      </c>
      <c r="J665" s="112">
        <v>1</v>
      </c>
      <c r="K665" s="112" t="s">
        <v>1191</v>
      </c>
      <c r="L665" s="297"/>
      <c r="M665" s="112" t="s">
        <v>1192</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hidden="1" customHeight="1" outlineLevel="2" spans="2:66">
      <c r="B666" s="112" t="s">
        <v>747</v>
      </c>
      <c r="C666" s="113" t="s">
        <v>157</v>
      </c>
      <c r="D666" s="22" t="s">
        <v>158</v>
      </c>
      <c r="E666" s="112" t="s">
        <v>2270</v>
      </c>
      <c r="F666" s="112"/>
      <c r="G666" s="112" t="s">
        <v>1799</v>
      </c>
      <c r="H666" s="112">
        <f t="shared" si="1132"/>
        <v>0</v>
      </c>
      <c r="I666" s="112" t="s">
        <v>1190</v>
      </c>
      <c r="J666" s="112">
        <v>1</v>
      </c>
      <c r="K666" s="112" t="s">
        <v>1191</v>
      </c>
      <c r="L666" s="297"/>
      <c r="M666" s="112" t="s">
        <v>1192</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2" customFormat="1" ht="33.95" hidden="1" customHeight="1" outlineLevel="2" spans="2:66">
      <c r="B667" s="112" t="s">
        <v>747</v>
      </c>
      <c r="C667" s="113" t="s">
        <v>78</v>
      </c>
      <c r="D667" s="22" t="s">
        <v>79</v>
      </c>
      <c r="E667" s="112" t="s">
        <v>2271</v>
      </c>
      <c r="F667" s="112"/>
      <c r="G667" s="112" t="s">
        <v>1799</v>
      </c>
      <c r="H667" s="112">
        <f t="shared" si="1132"/>
        <v>60228</v>
      </c>
      <c r="I667" s="112" t="s">
        <v>1190</v>
      </c>
      <c r="J667" s="112">
        <v>1</v>
      </c>
      <c r="K667" s="112" t="s">
        <v>1191</v>
      </c>
      <c r="L667" s="297">
        <v>5019</v>
      </c>
      <c r="M667" s="112" t="s">
        <v>1192</v>
      </c>
      <c r="N667" s="303">
        <v>12</v>
      </c>
      <c r="O667" s="286"/>
      <c r="P667" s="286"/>
      <c r="Q667" s="286"/>
      <c r="R667" s="286"/>
      <c r="S667" s="286"/>
      <c r="T667" s="286"/>
      <c r="U667" s="286"/>
      <c r="V667" s="286"/>
      <c r="W667" s="286"/>
      <c r="X667" s="286"/>
      <c r="Y667" s="286"/>
      <c r="Z667" s="286"/>
      <c r="AA667" s="286"/>
      <c r="AB667" s="324">
        <f t="shared" si="1133"/>
        <v>60228</v>
      </c>
      <c r="AC667" s="324">
        <f t="shared" si="1134"/>
        <v>5019</v>
      </c>
      <c r="AD667" s="324"/>
      <c r="AE667" s="324"/>
      <c r="AF667" s="324">
        <f t="shared" si="1135"/>
        <v>5019</v>
      </c>
      <c r="AG667" s="324"/>
      <c r="AH667" s="324"/>
      <c r="AI667" s="324">
        <f t="shared" si="1136"/>
        <v>5019</v>
      </c>
      <c r="AJ667" s="324"/>
      <c r="AK667" s="324"/>
      <c r="AL667" s="324">
        <f t="shared" si="1137"/>
        <v>5019</v>
      </c>
      <c r="AM667" s="324"/>
      <c r="AN667" s="324"/>
      <c r="AO667" s="324">
        <f t="shared" si="1138"/>
        <v>5019</v>
      </c>
      <c r="AP667" s="324"/>
      <c r="AQ667" s="324"/>
      <c r="AR667" s="324">
        <f t="shared" si="1139"/>
        <v>5019</v>
      </c>
      <c r="AS667" s="324"/>
      <c r="AT667" s="324"/>
      <c r="AU667" s="324">
        <f t="shared" si="1140"/>
        <v>5019</v>
      </c>
      <c r="AV667" s="324"/>
      <c r="AW667" s="324"/>
      <c r="AX667" s="324">
        <f t="shared" si="1141"/>
        <v>5019</v>
      </c>
      <c r="AY667" s="324"/>
      <c r="AZ667" s="324"/>
      <c r="BA667" s="324">
        <f t="shared" si="1142"/>
        <v>5019</v>
      </c>
      <c r="BB667" s="324"/>
      <c r="BC667" s="324"/>
      <c r="BD667" s="324">
        <f t="shared" si="1143"/>
        <v>5019</v>
      </c>
      <c r="BE667" s="324"/>
      <c r="BF667" s="324"/>
      <c r="BG667" s="324">
        <f t="shared" si="1144"/>
        <v>5019</v>
      </c>
      <c r="BH667" s="324"/>
      <c r="BI667" s="324"/>
      <c r="BJ667" s="324">
        <f t="shared" si="1145"/>
        <v>5019</v>
      </c>
      <c r="BK667" s="324"/>
      <c r="BL667" s="325"/>
      <c r="BM667" s="310"/>
      <c r="BN667" s="311"/>
    </row>
    <row r="668" s="108" customFormat="1" ht="33.95" customHeight="1" outlineLevel="1" collapsed="1" spans="2:66">
      <c r="B668" s="109" t="s">
        <v>742</v>
      </c>
      <c r="C668" s="110">
        <v>1.6</v>
      </c>
      <c r="D668" s="108" t="s">
        <v>217</v>
      </c>
      <c r="F668" s="108" t="s">
        <v>2272</v>
      </c>
      <c r="G668" s="109"/>
      <c r="H668" s="109">
        <f>H669+H691+H692+H693+H694</f>
        <v>0</v>
      </c>
      <c r="N668" s="302"/>
      <c r="O668" s="285"/>
      <c r="P668" s="285"/>
      <c r="Q668" s="285"/>
      <c r="R668" s="285"/>
      <c r="S668" s="285"/>
      <c r="T668" s="285"/>
      <c r="U668" s="285"/>
      <c r="V668" s="285"/>
      <c r="W668" s="285"/>
      <c r="X668" s="285"/>
      <c r="Y668" s="285"/>
      <c r="Z668" s="285"/>
      <c r="AA668" s="285"/>
      <c r="AB668" s="109">
        <f t="shared" ref="AB668:AF668" si="1146">AB669+AB691+AB692+AB693+AB694</f>
        <v>0</v>
      </c>
      <c r="AC668" s="109">
        <f t="shared" si="1146"/>
        <v>0</v>
      </c>
      <c r="AF668" s="109">
        <f t="shared" si="1146"/>
        <v>0</v>
      </c>
      <c r="AI668" s="109">
        <f>AI669+AI691+AI692+AI693+AI694</f>
        <v>0</v>
      </c>
      <c r="AL668" s="109">
        <f>AL669+AL691+AL692+AL693+AL694</f>
        <v>0</v>
      </c>
      <c r="AO668" s="109">
        <f>AO669+AO691+AO692+AO693+AO694</f>
        <v>0</v>
      </c>
      <c r="AR668" s="109">
        <f>AR669+AR691+AR692+AR693+AR694</f>
        <v>0</v>
      </c>
      <c r="AU668" s="109">
        <f>AU669+AU691+AU692+AU693+AU694</f>
        <v>0</v>
      </c>
      <c r="AX668" s="109">
        <f>AX669+AX691+AX692+AX693+AX694</f>
        <v>0</v>
      </c>
      <c r="BA668" s="109">
        <f>BA669+BA691+BA692+BA693+BA694</f>
        <v>0</v>
      </c>
      <c r="BD668" s="109">
        <f>BD669+BD691+BD692+BD693+BD694</f>
        <v>0</v>
      </c>
      <c r="BG668" s="109">
        <f>BG669+BG691+BG692+BG693+BG694</f>
        <v>0</v>
      </c>
      <c r="BJ668" s="109">
        <f>BJ669+BJ691+BJ692+BJ693+BJ694</f>
        <v>0</v>
      </c>
      <c r="BL668" s="302"/>
      <c r="BM668" s="310"/>
      <c r="BN668" s="285"/>
    </row>
    <row r="669" s="22" customFormat="1" ht="33.95" hidden="1" customHeight="1" outlineLevel="2" collapsed="1" spans="2:66">
      <c r="B669" s="112" t="s">
        <v>742</v>
      </c>
      <c r="C669" s="113" t="s">
        <v>2273</v>
      </c>
      <c r="D669" s="22" t="s">
        <v>2274</v>
      </c>
      <c r="G669" s="112"/>
      <c r="H669" s="112">
        <f>SUM(H670:H690)</f>
        <v>0</v>
      </c>
      <c r="I669" s="112"/>
      <c r="N669" s="323"/>
      <c r="O669" s="286"/>
      <c r="P669" s="286"/>
      <c r="Q669" s="286"/>
      <c r="R669" s="286"/>
      <c r="S669" s="286"/>
      <c r="T669" s="286"/>
      <c r="U669" s="286"/>
      <c r="V669" s="286"/>
      <c r="W669" s="286"/>
      <c r="X669" s="286"/>
      <c r="Y669" s="286"/>
      <c r="Z669" s="286"/>
      <c r="AA669" s="311"/>
      <c r="AB669" s="112">
        <f t="shared" ref="AB669:AF669" si="1147">SUM(AB670:AB690)</f>
        <v>0</v>
      </c>
      <c r="AC669" s="112">
        <f t="shared" si="1147"/>
        <v>0</v>
      </c>
      <c r="AF669" s="112">
        <f t="shared" si="1147"/>
        <v>0</v>
      </c>
      <c r="AI669" s="112">
        <f>SUM(AI670:AI690)</f>
        <v>0</v>
      </c>
      <c r="AL669" s="112">
        <f>SUM(AL670:AL690)</f>
        <v>0</v>
      </c>
      <c r="AO669" s="112">
        <f>SUM(AO670:AO690)</f>
        <v>0</v>
      </c>
      <c r="AR669" s="112">
        <f>SUM(AR670:AR690)</f>
        <v>0</v>
      </c>
      <c r="AU669" s="112">
        <f>SUM(AU670:AU690)</f>
        <v>0</v>
      </c>
      <c r="AX669" s="112">
        <f>SUM(AX670:AX690)</f>
        <v>0</v>
      </c>
      <c r="BA669" s="112">
        <f>SUM(BA670:BA690)</f>
        <v>0</v>
      </c>
      <c r="BD669" s="112">
        <f>SUM(BD670:BD690)</f>
        <v>0</v>
      </c>
      <c r="BG669" s="112">
        <f>SUM(BG670:BG690)</f>
        <v>0</v>
      </c>
      <c r="BJ669" s="112">
        <f>SUM(BJ670:BJ690)</f>
        <v>0</v>
      </c>
      <c r="BL669" s="323"/>
      <c r="BM669" s="310"/>
      <c r="BN669" s="311"/>
    </row>
    <row r="670" s="48" customFormat="1" ht="33.95" hidden="1" customHeight="1" outlineLevel="3" spans="2:66">
      <c r="B670" s="115" t="s">
        <v>747</v>
      </c>
      <c r="C670" s="116" t="s">
        <v>2275</v>
      </c>
      <c r="D670" s="48" t="s">
        <v>2276</v>
      </c>
      <c r="F670" s="115" t="s">
        <v>1572</v>
      </c>
      <c r="G670" s="115" t="s">
        <v>891</v>
      </c>
      <c r="H670" s="115">
        <f t="shared" ref="H670:H681" si="1148">J670*L670</f>
        <v>0</v>
      </c>
      <c r="I670" s="115" t="s">
        <v>1190</v>
      </c>
      <c r="J670" s="297"/>
      <c r="K670" s="115" t="s">
        <v>1343</v>
      </c>
      <c r="L670" s="115">
        <v>1700</v>
      </c>
      <c r="M670" s="115" t="s">
        <v>1623</v>
      </c>
      <c r="N670" s="115">
        <f t="shared" ref="N670:N681" si="1149">COUNTA(O670:Z670)</f>
        <v>0</v>
      </c>
      <c r="O670" s="316"/>
      <c r="P670" s="316"/>
      <c r="Q670" s="316"/>
      <c r="R670" s="316"/>
      <c r="S670" s="316"/>
      <c r="T670" s="316"/>
      <c r="U670" s="316"/>
      <c r="V670" s="316"/>
      <c r="W670" s="316"/>
      <c r="X670" s="316"/>
      <c r="Y670" s="316"/>
      <c r="Z670" s="316"/>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4"/>
      <c r="BM670" s="310"/>
      <c r="BN670" s="312"/>
    </row>
    <row r="671" s="48" customFormat="1" ht="33.95" hidden="1" customHeight="1" outlineLevel="3" spans="2:66">
      <c r="B671" s="115" t="s">
        <v>747</v>
      </c>
      <c r="C671" s="116" t="s">
        <v>2277</v>
      </c>
      <c r="D671" s="48" t="s">
        <v>2278</v>
      </c>
      <c r="F671" s="115" t="s">
        <v>1572</v>
      </c>
      <c r="G671" s="115" t="s">
        <v>891</v>
      </c>
      <c r="H671" s="115">
        <f t="shared" si="1148"/>
        <v>0</v>
      </c>
      <c r="I671" s="115" t="s">
        <v>1190</v>
      </c>
      <c r="J671" s="297"/>
      <c r="K671" s="115" t="s">
        <v>1343</v>
      </c>
      <c r="L671" s="115">
        <v>510</v>
      </c>
      <c r="M671" s="115" t="s">
        <v>1623</v>
      </c>
      <c r="N671" s="115">
        <f t="shared" si="1149"/>
        <v>0</v>
      </c>
      <c r="O671" s="297"/>
      <c r="P671" s="297"/>
      <c r="Q671" s="297"/>
      <c r="R671" s="297"/>
      <c r="S671" s="297"/>
      <c r="T671" s="297"/>
      <c r="U671" s="297"/>
      <c r="V671" s="297"/>
      <c r="W671" s="297"/>
      <c r="X671" s="297"/>
      <c r="Y671" s="297"/>
      <c r="Z671" s="297"/>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4"/>
      <c r="BM671" s="310"/>
      <c r="BN671" s="312"/>
    </row>
    <row r="672" s="48" customFormat="1" ht="33.95" hidden="1" customHeight="1" outlineLevel="3" spans="2:66">
      <c r="B672" s="115" t="s">
        <v>747</v>
      </c>
      <c r="C672" s="116" t="s">
        <v>2279</v>
      </c>
      <c r="D672" s="48" t="s">
        <v>2280</v>
      </c>
      <c r="F672" s="115" t="s">
        <v>1572</v>
      </c>
      <c r="G672" s="115" t="s">
        <v>891</v>
      </c>
      <c r="H672" s="115">
        <f t="shared" si="1148"/>
        <v>0</v>
      </c>
      <c r="I672" s="115" t="s">
        <v>1190</v>
      </c>
      <c r="J672" s="297"/>
      <c r="K672" s="115" t="s">
        <v>1343</v>
      </c>
      <c r="L672" s="115">
        <v>200</v>
      </c>
      <c r="M672" s="115" t="s">
        <v>1623</v>
      </c>
      <c r="N672" s="115">
        <f t="shared" si="1149"/>
        <v>0</v>
      </c>
      <c r="O672" s="297"/>
      <c r="P672" s="297"/>
      <c r="Q672" s="297"/>
      <c r="R672" s="297"/>
      <c r="S672" s="297"/>
      <c r="T672" s="297"/>
      <c r="U672" s="297"/>
      <c r="V672" s="297"/>
      <c r="W672" s="297"/>
      <c r="X672" s="297"/>
      <c r="Y672" s="297"/>
      <c r="Z672" s="297"/>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4"/>
      <c r="BM672" s="310"/>
      <c r="BN672" s="312"/>
    </row>
    <row r="673" s="48" customFormat="1" ht="33.95" hidden="1" customHeight="1" outlineLevel="3" spans="2:66">
      <c r="B673" s="115" t="s">
        <v>747</v>
      </c>
      <c r="C673" s="116" t="s">
        <v>2281</v>
      </c>
      <c r="D673" s="48" t="s">
        <v>2282</v>
      </c>
      <c r="E673" s="115" t="s">
        <v>2283</v>
      </c>
      <c r="F673" s="115" t="s">
        <v>1572</v>
      </c>
      <c r="G673" s="115" t="s">
        <v>891</v>
      </c>
      <c r="H673" s="115">
        <f t="shared" si="1148"/>
        <v>0</v>
      </c>
      <c r="I673" s="115" t="s">
        <v>1190</v>
      </c>
      <c r="J673" s="297"/>
      <c r="K673" s="115" t="s">
        <v>1343</v>
      </c>
      <c r="L673" s="115">
        <v>450</v>
      </c>
      <c r="M673" s="115" t="s">
        <v>1623</v>
      </c>
      <c r="N673" s="115">
        <f t="shared" si="1149"/>
        <v>0</v>
      </c>
      <c r="O673" s="297"/>
      <c r="P673" s="297"/>
      <c r="Q673" s="297"/>
      <c r="R673" s="297"/>
      <c r="S673" s="297"/>
      <c r="T673" s="297"/>
      <c r="U673" s="297"/>
      <c r="V673" s="297"/>
      <c r="W673" s="297"/>
      <c r="X673" s="297"/>
      <c r="Y673" s="297"/>
      <c r="Z673" s="297"/>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4"/>
      <c r="BM673" s="310"/>
      <c r="BN673" s="312"/>
    </row>
    <row r="674" s="48" customFormat="1" ht="33.95" hidden="1" customHeight="1" outlineLevel="3" spans="2:66">
      <c r="B674" s="115" t="s">
        <v>747</v>
      </c>
      <c r="C674" s="116" t="s">
        <v>2284</v>
      </c>
      <c r="D674" s="48" t="s">
        <v>2285</v>
      </c>
      <c r="E674" s="115" t="s">
        <v>2286</v>
      </c>
      <c r="F674" s="115" t="s">
        <v>1572</v>
      </c>
      <c r="G674" s="115" t="s">
        <v>891</v>
      </c>
      <c r="H674" s="115">
        <f t="shared" si="1148"/>
        <v>0</v>
      </c>
      <c r="I674" s="115" t="s">
        <v>1190</v>
      </c>
      <c r="J674" s="297"/>
      <c r="K674" s="115" t="s">
        <v>1343</v>
      </c>
      <c r="L674" s="115">
        <v>460</v>
      </c>
      <c r="M674" s="115" t="s">
        <v>1623</v>
      </c>
      <c r="N674" s="115">
        <f t="shared" si="1149"/>
        <v>0</v>
      </c>
      <c r="O674" s="297"/>
      <c r="P674" s="297"/>
      <c r="Q674" s="297"/>
      <c r="R674" s="297"/>
      <c r="S674" s="297"/>
      <c r="T674" s="297"/>
      <c r="U674" s="297"/>
      <c r="V674" s="297"/>
      <c r="W674" s="297"/>
      <c r="X674" s="297"/>
      <c r="Y674" s="297"/>
      <c r="Z674" s="297"/>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4"/>
      <c r="BM674" s="310"/>
      <c r="BN674" s="312"/>
    </row>
    <row r="675" s="48" customFormat="1" ht="33.95" hidden="1" customHeight="1" outlineLevel="3" spans="2:66">
      <c r="B675" s="115" t="s">
        <v>747</v>
      </c>
      <c r="C675" s="116" t="s">
        <v>2287</v>
      </c>
      <c r="D675" s="48" t="s">
        <v>2288</v>
      </c>
      <c r="E675" s="115" t="s">
        <v>2289</v>
      </c>
      <c r="F675" s="115" t="s">
        <v>1572</v>
      </c>
      <c r="G675" s="115" t="s">
        <v>891</v>
      </c>
      <c r="H675" s="115">
        <f t="shared" si="1148"/>
        <v>0</v>
      </c>
      <c r="I675" s="115" t="s">
        <v>1190</v>
      </c>
      <c r="J675" s="297"/>
      <c r="K675" s="115" t="s">
        <v>1343</v>
      </c>
      <c r="L675" s="115">
        <v>1300</v>
      </c>
      <c r="M675" s="115" t="s">
        <v>1623</v>
      </c>
      <c r="N675" s="115">
        <f t="shared" si="1149"/>
        <v>0</v>
      </c>
      <c r="O675" s="297"/>
      <c r="P675" s="297"/>
      <c r="Q675" s="297"/>
      <c r="R675" s="297"/>
      <c r="S675" s="297"/>
      <c r="T675" s="297"/>
      <c r="U675" s="297"/>
      <c r="V675" s="297"/>
      <c r="W675" s="297"/>
      <c r="X675" s="297"/>
      <c r="Y675" s="297"/>
      <c r="Z675" s="297"/>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4"/>
      <c r="BM675" s="310"/>
      <c r="BN675" s="312"/>
    </row>
    <row r="676" s="48" customFormat="1" ht="33.95" hidden="1" customHeight="1" outlineLevel="3" spans="2:66">
      <c r="B676" s="115" t="s">
        <v>747</v>
      </c>
      <c r="C676" s="116" t="s">
        <v>2290</v>
      </c>
      <c r="D676" s="48" t="s">
        <v>2291</v>
      </c>
      <c r="E676" s="115" t="s">
        <v>2292</v>
      </c>
      <c r="F676" s="115" t="s">
        <v>1572</v>
      </c>
      <c r="G676" s="115" t="s">
        <v>891</v>
      </c>
      <c r="H676" s="115">
        <f t="shared" si="1148"/>
        <v>0</v>
      </c>
      <c r="I676" s="115" t="s">
        <v>1190</v>
      </c>
      <c r="J676" s="297"/>
      <c r="K676" s="115" t="s">
        <v>1343</v>
      </c>
      <c r="L676" s="115">
        <v>1100</v>
      </c>
      <c r="M676" s="115" t="s">
        <v>1623</v>
      </c>
      <c r="N676" s="115">
        <f t="shared" si="1149"/>
        <v>0</v>
      </c>
      <c r="O676" s="297"/>
      <c r="P676" s="297"/>
      <c r="Q676" s="297"/>
      <c r="R676" s="297"/>
      <c r="S676" s="297"/>
      <c r="T676" s="297"/>
      <c r="U676" s="297"/>
      <c r="V676" s="297"/>
      <c r="W676" s="297"/>
      <c r="X676" s="297"/>
      <c r="Y676" s="297"/>
      <c r="Z676" s="297"/>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4"/>
      <c r="BM676" s="310"/>
      <c r="BN676" s="312"/>
    </row>
    <row r="677" s="48" customFormat="1" ht="33.95" hidden="1" customHeight="1" outlineLevel="3" spans="2:66">
      <c r="B677" s="115" t="s">
        <v>747</v>
      </c>
      <c r="C677" s="116" t="s">
        <v>2293</v>
      </c>
      <c r="D677" s="48" t="s">
        <v>2294</v>
      </c>
      <c r="E677" s="115" t="s">
        <v>2295</v>
      </c>
      <c r="F677" s="115" t="s">
        <v>1572</v>
      </c>
      <c r="G677" s="115" t="s">
        <v>891</v>
      </c>
      <c r="H677" s="115">
        <f t="shared" si="1148"/>
        <v>0</v>
      </c>
      <c r="I677" s="115" t="s">
        <v>1190</v>
      </c>
      <c r="J677" s="297"/>
      <c r="K677" s="115" t="s">
        <v>1343</v>
      </c>
      <c r="L677" s="115">
        <v>240</v>
      </c>
      <c r="M677" s="115" t="s">
        <v>1623</v>
      </c>
      <c r="N677" s="115">
        <f t="shared" si="1149"/>
        <v>0</v>
      </c>
      <c r="O677" s="297"/>
      <c r="P677" s="297"/>
      <c r="Q677" s="297"/>
      <c r="R677" s="297"/>
      <c r="S677" s="297"/>
      <c r="T677" s="297"/>
      <c r="U677" s="297"/>
      <c r="V677" s="297"/>
      <c r="W677" s="297"/>
      <c r="X677" s="297"/>
      <c r="Y677" s="297"/>
      <c r="Z677" s="297"/>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4"/>
      <c r="BM677" s="310"/>
      <c r="BN677" s="312"/>
    </row>
    <row r="678" s="48" customFormat="1" ht="33.95" hidden="1" customHeight="1" outlineLevel="3" spans="2:66">
      <c r="B678" s="115" t="s">
        <v>747</v>
      </c>
      <c r="C678" s="116" t="s">
        <v>2296</v>
      </c>
      <c r="D678" s="48" t="s">
        <v>2297</v>
      </c>
      <c r="E678" s="115" t="s">
        <v>2298</v>
      </c>
      <c r="F678" s="115" t="s">
        <v>1572</v>
      </c>
      <c r="G678" s="115" t="s">
        <v>891</v>
      </c>
      <c r="H678" s="115">
        <f t="shared" si="1148"/>
        <v>0</v>
      </c>
      <c r="I678" s="115" t="s">
        <v>1190</v>
      </c>
      <c r="J678" s="297"/>
      <c r="K678" s="115" t="s">
        <v>1343</v>
      </c>
      <c r="L678" s="115">
        <v>1200</v>
      </c>
      <c r="M678" s="115" t="s">
        <v>1623</v>
      </c>
      <c r="N678" s="115">
        <f t="shared" si="1149"/>
        <v>0</v>
      </c>
      <c r="O678" s="297"/>
      <c r="P678" s="297"/>
      <c r="Q678" s="297"/>
      <c r="R678" s="297"/>
      <c r="S678" s="297"/>
      <c r="T678" s="297"/>
      <c r="U678" s="297"/>
      <c r="V678" s="297"/>
      <c r="W678" s="297"/>
      <c r="X678" s="297"/>
      <c r="Y678" s="297"/>
      <c r="Z678" s="297"/>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4"/>
      <c r="BM678" s="310"/>
      <c r="BN678" s="312"/>
    </row>
    <row r="679" s="48" customFormat="1" ht="33.95" hidden="1" customHeight="1" outlineLevel="3" spans="2:66">
      <c r="B679" s="115" t="s">
        <v>747</v>
      </c>
      <c r="C679" s="116" t="s">
        <v>2299</v>
      </c>
      <c r="D679" s="48" t="s">
        <v>2300</v>
      </c>
      <c r="E679" s="115" t="s">
        <v>2301</v>
      </c>
      <c r="F679" s="115" t="s">
        <v>1572</v>
      </c>
      <c r="G679" s="115" t="s">
        <v>891</v>
      </c>
      <c r="H679" s="115">
        <f t="shared" si="1148"/>
        <v>0</v>
      </c>
      <c r="I679" s="115" t="s">
        <v>1190</v>
      </c>
      <c r="J679" s="297"/>
      <c r="K679" s="115" t="s">
        <v>1343</v>
      </c>
      <c r="L679" s="115">
        <v>225</v>
      </c>
      <c r="M679" s="115" t="s">
        <v>1623</v>
      </c>
      <c r="N679" s="115">
        <f t="shared" si="1149"/>
        <v>0</v>
      </c>
      <c r="O679" s="297"/>
      <c r="P679" s="297"/>
      <c r="Q679" s="297"/>
      <c r="R679" s="297"/>
      <c r="S679" s="297"/>
      <c r="T679" s="297"/>
      <c r="U679" s="297"/>
      <c r="V679" s="297"/>
      <c r="W679" s="297"/>
      <c r="X679" s="297"/>
      <c r="Y679" s="297"/>
      <c r="Z679" s="297"/>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4"/>
      <c r="BM679" s="310"/>
      <c r="BN679" s="312"/>
    </row>
    <row r="680" s="48" customFormat="1" ht="33.95" hidden="1" customHeight="1" outlineLevel="3" spans="2:66">
      <c r="B680" s="115" t="s">
        <v>747</v>
      </c>
      <c r="C680" s="116" t="s">
        <v>2302</v>
      </c>
      <c r="D680" s="48" t="s">
        <v>2303</v>
      </c>
      <c r="E680" s="115" t="s">
        <v>2304</v>
      </c>
      <c r="F680" s="115" t="s">
        <v>1572</v>
      </c>
      <c r="G680" s="115" t="s">
        <v>891</v>
      </c>
      <c r="H680" s="115">
        <f t="shared" si="1148"/>
        <v>0</v>
      </c>
      <c r="I680" s="115" t="s">
        <v>1190</v>
      </c>
      <c r="J680" s="297"/>
      <c r="K680" s="115" t="s">
        <v>1343</v>
      </c>
      <c r="L680" s="115">
        <v>4000</v>
      </c>
      <c r="M680" s="115" t="s">
        <v>1623</v>
      </c>
      <c r="N680" s="115">
        <f t="shared" si="1149"/>
        <v>0</v>
      </c>
      <c r="O680" s="297"/>
      <c r="P680" s="297"/>
      <c r="Q680" s="297"/>
      <c r="R680" s="297"/>
      <c r="S680" s="297"/>
      <c r="T680" s="297"/>
      <c r="U680" s="297"/>
      <c r="V680" s="297"/>
      <c r="W680" s="297"/>
      <c r="X680" s="297"/>
      <c r="Y680" s="297"/>
      <c r="Z680" s="297"/>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4"/>
      <c r="BM680" s="310"/>
      <c r="BN680" s="312"/>
    </row>
    <row r="681" s="48" customFormat="1" ht="33.95" hidden="1" customHeight="1" outlineLevel="3" spans="2:66">
      <c r="B681" s="115" t="s">
        <v>747</v>
      </c>
      <c r="C681" s="116" t="s">
        <v>2305</v>
      </c>
      <c r="D681" s="48" t="s">
        <v>2306</v>
      </c>
      <c r="E681" s="115" t="s">
        <v>2307</v>
      </c>
      <c r="F681" s="115" t="s">
        <v>1572</v>
      </c>
      <c r="G681" s="115" t="s">
        <v>891</v>
      </c>
      <c r="H681" s="115">
        <f t="shared" si="1148"/>
        <v>0</v>
      </c>
      <c r="I681" s="115" t="s">
        <v>1190</v>
      </c>
      <c r="J681" s="297"/>
      <c r="K681" s="115" t="s">
        <v>1580</v>
      </c>
      <c r="L681" s="115">
        <v>4100</v>
      </c>
      <c r="M681" s="115" t="s">
        <v>1581</v>
      </c>
      <c r="N681" s="115">
        <f t="shared" si="1149"/>
        <v>0</v>
      </c>
      <c r="O681" s="297"/>
      <c r="P681" s="297"/>
      <c r="Q681" s="297"/>
      <c r="R681" s="297"/>
      <c r="S681" s="297"/>
      <c r="T681" s="297"/>
      <c r="U681" s="297"/>
      <c r="V681" s="297"/>
      <c r="W681" s="297"/>
      <c r="X681" s="297"/>
      <c r="Y681" s="297"/>
      <c r="Z681" s="297"/>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4"/>
      <c r="BM681" s="310"/>
      <c r="BN681" s="312"/>
    </row>
    <row r="682" s="48" customFormat="1" ht="33.95" hidden="1" customHeight="1" outlineLevel="3" spans="2:66">
      <c r="B682" s="115" t="s">
        <v>747</v>
      </c>
      <c r="C682" s="116" t="s">
        <v>2308</v>
      </c>
      <c r="D682" s="48" t="s">
        <v>2309</v>
      </c>
      <c r="E682" s="115" t="s">
        <v>2310</v>
      </c>
      <c r="F682" s="115" t="s">
        <v>1572</v>
      </c>
      <c r="G682" s="115" t="s">
        <v>891</v>
      </c>
      <c r="H682" s="115">
        <f t="shared" ref="H682:H690" si="1163">J682*L682</f>
        <v>0</v>
      </c>
      <c r="I682" s="115" t="s">
        <v>1190</v>
      </c>
      <c r="J682" s="297"/>
      <c r="K682" s="115" t="s">
        <v>1343</v>
      </c>
      <c r="L682" s="115">
        <v>1500</v>
      </c>
      <c r="M682" s="115" t="s">
        <v>1623</v>
      </c>
      <c r="N682" s="115">
        <f t="shared" ref="N682:N689" si="1164">COUNTA(O682:Z682)</f>
        <v>0</v>
      </c>
      <c r="O682" s="297"/>
      <c r="P682" s="297"/>
      <c r="Q682" s="297"/>
      <c r="R682" s="297"/>
      <c r="S682" s="297"/>
      <c r="T682" s="297"/>
      <c r="U682" s="297"/>
      <c r="V682" s="297"/>
      <c r="W682" s="297"/>
      <c r="X682" s="297"/>
      <c r="Y682" s="297"/>
      <c r="Z682" s="297"/>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4"/>
      <c r="BM682" s="310"/>
      <c r="BN682" s="312"/>
    </row>
    <row r="683" s="48" customFormat="1" ht="33.95" hidden="1" customHeight="1" outlineLevel="3" spans="2:66">
      <c r="B683" s="115" t="s">
        <v>747</v>
      </c>
      <c r="C683" s="116" t="s">
        <v>2311</v>
      </c>
      <c r="D683" s="48" t="s">
        <v>2312</v>
      </c>
      <c r="E683" s="115"/>
      <c r="F683" s="115" t="s">
        <v>1572</v>
      </c>
      <c r="G683" s="115" t="s">
        <v>891</v>
      </c>
      <c r="H683" s="115">
        <f t="shared" si="1163"/>
        <v>0</v>
      </c>
      <c r="I683" s="115" t="s">
        <v>1190</v>
      </c>
      <c r="J683" s="297"/>
      <c r="K683" s="115" t="s">
        <v>1343</v>
      </c>
      <c r="L683" s="115">
        <v>5000</v>
      </c>
      <c r="M683" s="115" t="s">
        <v>1623</v>
      </c>
      <c r="N683" s="115">
        <f t="shared" si="1164"/>
        <v>0</v>
      </c>
      <c r="O683" s="297"/>
      <c r="P683" s="297"/>
      <c r="Q683" s="297"/>
      <c r="R683" s="297"/>
      <c r="S683" s="297"/>
      <c r="T683" s="297"/>
      <c r="U683" s="297"/>
      <c r="V683" s="297"/>
      <c r="W683" s="297"/>
      <c r="X683" s="297"/>
      <c r="Y683" s="297"/>
      <c r="Z683" s="297"/>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4"/>
      <c r="BM683" s="310"/>
      <c r="BN683" s="312"/>
    </row>
    <row r="684" s="48" customFormat="1" ht="33.95" hidden="1" customHeight="1" outlineLevel="3" spans="2:66">
      <c r="B684" s="115" t="s">
        <v>747</v>
      </c>
      <c r="C684" s="116" t="s">
        <v>2313</v>
      </c>
      <c r="D684" s="48" t="s">
        <v>2314</v>
      </c>
      <c r="E684" s="115"/>
      <c r="F684" s="115" t="s">
        <v>1572</v>
      </c>
      <c r="G684" s="115" t="s">
        <v>891</v>
      </c>
      <c r="H684" s="115">
        <f t="shared" si="1163"/>
        <v>0</v>
      </c>
      <c r="I684" s="115" t="s">
        <v>1190</v>
      </c>
      <c r="J684" s="297"/>
      <c r="K684" s="115" t="s">
        <v>1343</v>
      </c>
      <c r="L684" s="115">
        <v>8500</v>
      </c>
      <c r="M684" s="115" t="s">
        <v>1623</v>
      </c>
      <c r="N684" s="115">
        <f t="shared" si="1164"/>
        <v>0</v>
      </c>
      <c r="O684" s="297"/>
      <c r="P684" s="297"/>
      <c r="Q684" s="297"/>
      <c r="R684" s="297"/>
      <c r="S684" s="297"/>
      <c r="T684" s="297"/>
      <c r="U684" s="297"/>
      <c r="V684" s="297"/>
      <c r="W684" s="297"/>
      <c r="X684" s="297"/>
      <c r="Y684" s="297"/>
      <c r="Z684" s="297"/>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4"/>
      <c r="BM684" s="310"/>
      <c r="BN684" s="312"/>
    </row>
    <row r="685" s="48" customFormat="1" ht="33.95" hidden="1" customHeight="1" outlineLevel="3" spans="2:66">
      <c r="B685" s="115" t="s">
        <v>747</v>
      </c>
      <c r="C685" s="116" t="s">
        <v>2315</v>
      </c>
      <c r="D685" s="48" t="s">
        <v>2316</v>
      </c>
      <c r="E685" s="115"/>
      <c r="F685" s="115" t="s">
        <v>1572</v>
      </c>
      <c r="G685" s="115" t="s">
        <v>891</v>
      </c>
      <c r="H685" s="115">
        <f t="shared" si="1163"/>
        <v>0</v>
      </c>
      <c r="I685" s="115" t="s">
        <v>1190</v>
      </c>
      <c r="J685" s="297"/>
      <c r="K685" s="115" t="s">
        <v>1343</v>
      </c>
      <c r="L685" s="115">
        <v>2700</v>
      </c>
      <c r="M685" s="115" t="s">
        <v>1623</v>
      </c>
      <c r="N685" s="115">
        <f t="shared" si="1164"/>
        <v>0</v>
      </c>
      <c r="O685" s="297"/>
      <c r="P685" s="297"/>
      <c r="Q685" s="297"/>
      <c r="R685" s="297"/>
      <c r="S685" s="297"/>
      <c r="T685" s="297"/>
      <c r="U685" s="297"/>
      <c r="V685" s="297"/>
      <c r="W685" s="297"/>
      <c r="X685" s="297"/>
      <c r="Y685" s="297"/>
      <c r="Z685" s="297"/>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4"/>
      <c r="BM685" s="310"/>
      <c r="BN685" s="312"/>
    </row>
    <row r="686" s="48" customFormat="1" ht="33.95" hidden="1" customHeight="1" outlineLevel="3" spans="2:66">
      <c r="B686" s="115" t="s">
        <v>747</v>
      </c>
      <c r="C686" s="116" t="s">
        <v>2317</v>
      </c>
      <c r="D686" s="48" t="s">
        <v>2318</v>
      </c>
      <c r="E686" s="115" t="s">
        <v>2319</v>
      </c>
      <c r="F686" s="115" t="s">
        <v>1572</v>
      </c>
      <c r="G686" s="115" t="s">
        <v>891</v>
      </c>
      <c r="H686" s="115">
        <f t="shared" si="1163"/>
        <v>0</v>
      </c>
      <c r="I686" s="115" t="s">
        <v>1190</v>
      </c>
      <c r="J686" s="297"/>
      <c r="K686" s="115" t="s">
        <v>1343</v>
      </c>
      <c r="L686" s="115">
        <v>400</v>
      </c>
      <c r="M686" s="115" t="s">
        <v>1623</v>
      </c>
      <c r="N686" s="115">
        <f t="shared" si="1164"/>
        <v>0</v>
      </c>
      <c r="O686" s="297"/>
      <c r="P686" s="297"/>
      <c r="Q686" s="297"/>
      <c r="R686" s="297"/>
      <c r="S686" s="297"/>
      <c r="T686" s="297"/>
      <c r="U686" s="297"/>
      <c r="V686" s="297"/>
      <c r="W686" s="297"/>
      <c r="X686" s="297"/>
      <c r="Y686" s="297"/>
      <c r="Z686" s="297"/>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4"/>
      <c r="BM686" s="310"/>
      <c r="BN686" s="312"/>
    </row>
    <row r="687" s="48" customFormat="1" ht="33.95" hidden="1" customHeight="1" outlineLevel="3" spans="2:66">
      <c r="B687" s="115" t="s">
        <v>747</v>
      </c>
      <c r="C687" s="116" t="s">
        <v>2320</v>
      </c>
      <c r="D687" s="48" t="s">
        <v>2282</v>
      </c>
      <c r="E687" s="115" t="s">
        <v>2283</v>
      </c>
      <c r="F687" s="115" t="s">
        <v>1572</v>
      </c>
      <c r="G687" s="115" t="s">
        <v>891</v>
      </c>
      <c r="H687" s="115">
        <f t="shared" si="1163"/>
        <v>0</v>
      </c>
      <c r="I687" s="115" t="s">
        <v>1190</v>
      </c>
      <c r="J687" s="297"/>
      <c r="K687" s="115" t="s">
        <v>1343</v>
      </c>
      <c r="L687" s="115">
        <v>450</v>
      </c>
      <c r="M687" s="115" t="s">
        <v>1623</v>
      </c>
      <c r="N687" s="115">
        <f t="shared" si="1164"/>
        <v>0</v>
      </c>
      <c r="O687" s="297"/>
      <c r="P687" s="297"/>
      <c r="Q687" s="297"/>
      <c r="R687" s="297"/>
      <c r="S687" s="297"/>
      <c r="T687" s="297"/>
      <c r="U687" s="297"/>
      <c r="V687" s="297"/>
      <c r="W687" s="297"/>
      <c r="X687" s="297"/>
      <c r="Y687" s="297"/>
      <c r="Z687" s="297"/>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4"/>
      <c r="BM687" s="310"/>
      <c r="BN687" s="312"/>
    </row>
    <row r="688" s="48" customFormat="1" ht="33.95" hidden="1" customHeight="1" outlineLevel="3" spans="2:66">
      <c r="B688" s="115" t="s">
        <v>747</v>
      </c>
      <c r="C688" s="116" t="s">
        <v>2321</v>
      </c>
      <c r="D688" s="48" t="s">
        <v>2285</v>
      </c>
      <c r="E688" s="115" t="s">
        <v>2286</v>
      </c>
      <c r="F688" s="115" t="s">
        <v>1572</v>
      </c>
      <c r="G688" s="115" t="s">
        <v>891</v>
      </c>
      <c r="H688" s="115">
        <f t="shared" si="1163"/>
        <v>0</v>
      </c>
      <c r="I688" s="115" t="s">
        <v>1190</v>
      </c>
      <c r="J688" s="297"/>
      <c r="K688" s="115" t="s">
        <v>1343</v>
      </c>
      <c r="L688" s="115">
        <v>460</v>
      </c>
      <c r="M688" s="115" t="s">
        <v>1623</v>
      </c>
      <c r="N688" s="115">
        <f t="shared" si="1164"/>
        <v>0</v>
      </c>
      <c r="O688" s="297"/>
      <c r="P688" s="297"/>
      <c r="Q688" s="297"/>
      <c r="R688" s="297"/>
      <c r="S688" s="297"/>
      <c r="T688" s="297"/>
      <c r="U688" s="297"/>
      <c r="V688" s="297"/>
      <c r="W688" s="297"/>
      <c r="X688" s="297"/>
      <c r="Y688" s="297"/>
      <c r="Z688" s="297"/>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4"/>
      <c r="BM688" s="310"/>
      <c r="BN688" s="312"/>
    </row>
    <row r="689" s="48" customFormat="1" ht="33.95" hidden="1" customHeight="1" outlineLevel="3" spans="2:66">
      <c r="B689" s="115" t="s">
        <v>747</v>
      </c>
      <c r="C689" s="116" t="s">
        <v>2322</v>
      </c>
      <c r="D689" s="48" t="s">
        <v>2323</v>
      </c>
      <c r="E689" s="115" t="s">
        <v>2324</v>
      </c>
      <c r="F689" s="115" t="s">
        <v>1572</v>
      </c>
      <c r="G689" s="115" t="s">
        <v>891</v>
      </c>
      <c r="H689" s="115">
        <f t="shared" si="1163"/>
        <v>0</v>
      </c>
      <c r="I689" s="115" t="s">
        <v>1190</v>
      </c>
      <c r="J689" s="297"/>
      <c r="K689" s="115" t="s">
        <v>1343</v>
      </c>
      <c r="L689" s="115">
        <v>500</v>
      </c>
      <c r="M689" s="115" t="s">
        <v>1623</v>
      </c>
      <c r="N689" s="115">
        <f t="shared" si="1164"/>
        <v>0</v>
      </c>
      <c r="O689" s="315"/>
      <c r="P689" s="315"/>
      <c r="Q689" s="315"/>
      <c r="R689" s="315"/>
      <c r="S689" s="315"/>
      <c r="T689" s="315"/>
      <c r="U689" s="315"/>
      <c r="V689" s="315"/>
      <c r="W689" s="315"/>
      <c r="X689" s="315"/>
      <c r="Y689" s="315"/>
      <c r="Z689" s="315"/>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4"/>
      <c r="BM689" s="310"/>
      <c r="BN689" s="312"/>
    </row>
    <row r="690" s="48" customFormat="1" ht="33.95" hidden="1" customHeight="1" outlineLevel="3" spans="2:66">
      <c r="B690" s="115" t="s">
        <v>747</v>
      </c>
      <c r="C690" s="116" t="s">
        <v>2325</v>
      </c>
      <c r="D690" s="48" t="s">
        <v>2326</v>
      </c>
      <c r="E690" s="115"/>
      <c r="F690" s="115"/>
      <c r="G690" s="115" t="s">
        <v>891</v>
      </c>
      <c r="H690" s="115">
        <f t="shared" si="1163"/>
        <v>0</v>
      </c>
      <c r="I690" s="115" t="s">
        <v>1190</v>
      </c>
      <c r="J690" s="297"/>
      <c r="K690" s="115" t="s">
        <v>1191</v>
      </c>
      <c r="L690" s="297"/>
      <c r="M690" s="115" t="s">
        <v>1192</v>
      </c>
      <c r="N690" s="304">
        <v>12</v>
      </c>
      <c r="O690" s="287"/>
      <c r="P690" s="287"/>
      <c r="Q690" s="287"/>
      <c r="R690" s="287"/>
      <c r="S690" s="287"/>
      <c r="T690" s="287"/>
      <c r="U690" s="287"/>
      <c r="V690" s="287"/>
      <c r="W690" s="287"/>
      <c r="X690" s="287"/>
      <c r="Y690" s="287"/>
      <c r="Z690" s="287"/>
      <c r="AA690" s="287"/>
      <c r="AB690" s="115">
        <f t="shared" si="1165"/>
        <v>0</v>
      </c>
      <c r="AC690" s="115">
        <f>$H690/12</f>
        <v>0</v>
      </c>
      <c r="AD690" s="115"/>
      <c r="AE690" s="115"/>
      <c r="AF690" s="115">
        <f>$H690/12</f>
        <v>0</v>
      </c>
      <c r="AG690" s="115"/>
      <c r="AH690" s="115"/>
      <c r="AI690" s="115">
        <f>$H690/12</f>
        <v>0</v>
      </c>
      <c r="AJ690" s="115"/>
      <c r="AK690" s="115"/>
      <c r="AL690" s="115">
        <f>$H690/12</f>
        <v>0</v>
      </c>
      <c r="AM690" s="115"/>
      <c r="AN690" s="115"/>
      <c r="AO690" s="115">
        <f>$H690/12</f>
        <v>0</v>
      </c>
      <c r="AP690" s="115"/>
      <c r="AQ690" s="115"/>
      <c r="AR690" s="115">
        <f>$H690/12</f>
        <v>0</v>
      </c>
      <c r="AS690" s="115"/>
      <c r="AT690" s="115"/>
      <c r="AU690" s="115">
        <f>$H690/12</f>
        <v>0</v>
      </c>
      <c r="AV690" s="115"/>
      <c r="AW690" s="115"/>
      <c r="AX690" s="115">
        <f>$H690/12</f>
        <v>0</v>
      </c>
      <c r="AY690" s="115"/>
      <c r="AZ690" s="115"/>
      <c r="BA690" s="115">
        <f>$H690/12</f>
        <v>0</v>
      </c>
      <c r="BB690" s="115"/>
      <c r="BC690" s="115"/>
      <c r="BD690" s="115">
        <f>$H690/12</f>
        <v>0</v>
      </c>
      <c r="BE690" s="115"/>
      <c r="BF690" s="115"/>
      <c r="BG690" s="115">
        <f>$H690/12</f>
        <v>0</v>
      </c>
      <c r="BH690" s="115"/>
      <c r="BI690" s="115"/>
      <c r="BJ690" s="115">
        <f>$H690/12</f>
        <v>0</v>
      </c>
      <c r="BK690" s="115"/>
      <c r="BL690" s="304"/>
      <c r="BM690" s="310"/>
      <c r="BN690" s="312"/>
    </row>
    <row r="691" s="22" customFormat="1" ht="33.95" hidden="1" customHeight="1" outlineLevel="2" collapsed="1" spans="2:66">
      <c r="B691" s="112" t="s">
        <v>747</v>
      </c>
      <c r="C691" s="113" t="s">
        <v>2327</v>
      </c>
      <c r="D691" s="22" t="s">
        <v>2328</v>
      </c>
      <c r="E691" s="112" t="s">
        <v>2329</v>
      </c>
      <c r="F691" s="112" t="s">
        <v>1572</v>
      </c>
      <c r="G691" s="112" t="s">
        <v>891</v>
      </c>
      <c r="H691" s="112">
        <f t="shared" ref="H691:H694" si="1178">J691*L691</f>
        <v>0</v>
      </c>
      <c r="I691" s="112" t="s">
        <v>1190</v>
      </c>
      <c r="J691" s="112">
        <v>1</v>
      </c>
      <c r="K691" s="112" t="s">
        <v>1191</v>
      </c>
      <c r="L691" s="297"/>
      <c r="M691" s="112" t="s">
        <v>1324</v>
      </c>
      <c r="N691" s="112">
        <f t="shared" ref="N691:N694" si="1179">COUNTA(O691:Z691)</f>
        <v>0</v>
      </c>
      <c r="O691" s="316"/>
      <c r="P691" s="316"/>
      <c r="Q691" s="316"/>
      <c r="R691" s="316"/>
      <c r="S691" s="316"/>
      <c r="T691" s="316"/>
      <c r="U691" s="316"/>
      <c r="V691" s="316"/>
      <c r="W691" s="316"/>
      <c r="X691" s="316"/>
      <c r="Y691" s="316"/>
      <c r="Z691" s="316"/>
      <c r="AA691" s="112"/>
      <c r="AB691" s="112">
        <f t="shared" si="1165"/>
        <v>0</v>
      </c>
      <c r="AC691" s="112">
        <f t="shared" ref="AC691:AC694" si="1180">IF(O691="√",$J691*$L691/$N691,0)</f>
        <v>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3"/>
      <c r="BM691" s="310"/>
      <c r="BN691" s="311"/>
    </row>
    <row r="692" s="22" customFormat="1" ht="33.95" hidden="1" customHeight="1" outlineLevel="2" collapsed="1" spans="2:66">
      <c r="B692" s="112" t="s">
        <v>747</v>
      </c>
      <c r="C692" s="113" t="s">
        <v>2330</v>
      </c>
      <c r="D692" s="22" t="s">
        <v>2331</v>
      </c>
      <c r="E692" s="112" t="s">
        <v>2332</v>
      </c>
      <c r="F692" s="112" t="s">
        <v>1572</v>
      </c>
      <c r="G692" s="112" t="s">
        <v>891</v>
      </c>
      <c r="H692" s="112">
        <f t="shared" si="1178"/>
        <v>0</v>
      </c>
      <c r="I692" s="112" t="s">
        <v>1190</v>
      </c>
      <c r="J692" s="112">
        <v>1</v>
      </c>
      <c r="K692" s="112" t="s">
        <v>1191</v>
      </c>
      <c r="L692" s="297"/>
      <c r="M692" s="112" t="s">
        <v>1324</v>
      </c>
      <c r="N692" s="112">
        <f t="shared" si="1179"/>
        <v>0</v>
      </c>
      <c r="O692" s="297"/>
      <c r="P692" s="297"/>
      <c r="Q692" s="297"/>
      <c r="R692" s="297"/>
      <c r="S692" s="297"/>
      <c r="T692" s="297"/>
      <c r="U692" s="297"/>
      <c r="V692" s="297"/>
      <c r="W692" s="297"/>
      <c r="X692" s="297"/>
      <c r="Y692" s="297"/>
      <c r="Z692" s="297"/>
      <c r="AA692" s="112"/>
      <c r="AB692" s="112">
        <f t="shared" si="1165"/>
        <v>0</v>
      </c>
      <c r="AC692" s="112">
        <f t="shared" si="1180"/>
        <v>0</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3"/>
      <c r="BM692" s="310"/>
      <c r="BN692" s="311"/>
    </row>
    <row r="693" s="22" customFormat="1" ht="33.95" hidden="1" customHeight="1" outlineLevel="2" collapsed="1" spans="2:66">
      <c r="B693" s="112" t="s">
        <v>747</v>
      </c>
      <c r="C693" s="113" t="s">
        <v>2333</v>
      </c>
      <c r="D693" s="22" t="s">
        <v>2334</v>
      </c>
      <c r="F693" s="112" t="s">
        <v>1572</v>
      </c>
      <c r="G693" s="112" t="s">
        <v>891</v>
      </c>
      <c r="H693" s="112">
        <f t="shared" si="1178"/>
        <v>0</v>
      </c>
      <c r="I693" s="112" t="s">
        <v>1190</v>
      </c>
      <c r="J693" s="112">
        <v>1</v>
      </c>
      <c r="K693" s="112" t="s">
        <v>1191</v>
      </c>
      <c r="L693" s="297"/>
      <c r="M693" s="112" t="s">
        <v>1324</v>
      </c>
      <c r="N693" s="112">
        <f t="shared" si="1179"/>
        <v>0</v>
      </c>
      <c r="O693" s="297"/>
      <c r="P693" s="297"/>
      <c r="Q693" s="297"/>
      <c r="R693" s="297"/>
      <c r="S693" s="297"/>
      <c r="T693" s="297"/>
      <c r="U693" s="297"/>
      <c r="V693" s="297"/>
      <c r="W693" s="297"/>
      <c r="X693" s="297"/>
      <c r="Y693" s="297"/>
      <c r="Z693" s="297"/>
      <c r="AA693" s="112"/>
      <c r="AB693" s="112">
        <f t="shared" si="1165"/>
        <v>0</v>
      </c>
      <c r="AC693" s="112">
        <f t="shared" si="1180"/>
        <v>0</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3"/>
      <c r="BM693" s="310"/>
      <c r="BN693" s="311"/>
    </row>
    <row r="694" s="22" customFormat="1" ht="33.95" hidden="1" customHeight="1" outlineLevel="2" collapsed="1" spans="2:66">
      <c r="B694" s="112" t="s">
        <v>747</v>
      </c>
      <c r="C694" s="113" t="s">
        <v>2335</v>
      </c>
      <c r="D694" s="22" t="s">
        <v>2336</v>
      </c>
      <c r="F694" s="112" t="s">
        <v>1572</v>
      </c>
      <c r="G694" s="112" t="s">
        <v>891</v>
      </c>
      <c r="H694" s="112">
        <f t="shared" si="1178"/>
        <v>0</v>
      </c>
      <c r="I694" s="112" t="s">
        <v>1190</v>
      </c>
      <c r="J694" s="112">
        <v>1</v>
      </c>
      <c r="K694" s="112" t="s">
        <v>1191</v>
      </c>
      <c r="L694" s="297"/>
      <c r="M694" s="112" t="s">
        <v>1324</v>
      </c>
      <c r="N694" s="112">
        <f t="shared" si="1179"/>
        <v>0</v>
      </c>
      <c r="O694" s="297"/>
      <c r="P694" s="297"/>
      <c r="Q694" s="297"/>
      <c r="R694" s="297"/>
      <c r="S694" s="297"/>
      <c r="T694" s="297"/>
      <c r="U694" s="297"/>
      <c r="V694" s="297"/>
      <c r="W694" s="297"/>
      <c r="X694" s="297"/>
      <c r="Y694" s="297"/>
      <c r="Z694" s="297"/>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3"/>
      <c r="BM694" s="310"/>
      <c r="BN694" s="31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42:Z246 O237:Z238 O625:Z626 O248:Z256 O265:Z273 O258:Z261 O310:Z313 O284:Z290 O275:Z282 O635:Z642 O300:Z302 O292:Z293 O644:Z645 O295:Z298 O647:Z650 O691:Z694 O304:Z306 O316:Z334 O336:Z355 O357:Z364 O374:Z380 O366:Z372 O513:Z519 O384:Z398 O400:Z409 O411:Z417 O419:Z429 O441:Z445 O432:Z439 O504:Z511 O447:Z459 O469:Z475 O463:Z467 O488:Z492 O521:Z539 O478:Z485 O494:Z501 O606:Z613 O542:Z551 O553:Z569 O584:Z600 O602:Z604 O615:Z623 O628:Z633 O230:Z235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7" workbookViewId="0">
      <selection activeCell="D11" sqref="D11"/>
    </sheetView>
  </sheetViews>
  <sheetFormatPr defaultColWidth="8.75454545454545" defaultRowHeight="14.5"/>
  <cols>
    <col min="1" max="1" width="2.37272727272727" style="244" customWidth="1"/>
    <col min="2" max="2" width="2.87272727272727" style="245" customWidth="1"/>
    <col min="3" max="3" width="12.8727272727273" style="246" customWidth="1"/>
    <col min="4" max="4" width="28.7545454545455" style="247" customWidth="1"/>
    <col min="5" max="5" width="4" style="245" customWidth="1"/>
    <col min="6" max="6" width="31.1272727272727" style="245" customWidth="1"/>
    <col min="7" max="7" width="7.75454545454545" style="245" customWidth="1"/>
    <col min="8" max="19" width="12.1272727272727" style="246" customWidth="1"/>
    <col min="20" max="20" width="8.75454545454545" style="245"/>
    <col min="21" max="21" width="1.87272727272727" style="244" customWidth="1"/>
    <col min="22" max="16384" width="8.75454545454545"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2337</v>
      </c>
      <c r="D2" s="250"/>
      <c r="E2" s="250"/>
      <c r="F2" s="250"/>
      <c r="G2" s="250"/>
      <c r="H2" s="250"/>
      <c r="I2" s="250"/>
      <c r="J2" s="250"/>
      <c r="K2" s="250"/>
      <c r="L2" s="250"/>
      <c r="M2" s="250"/>
      <c r="N2" s="250"/>
      <c r="O2" s="250"/>
      <c r="P2" s="250"/>
      <c r="Q2" s="250"/>
      <c r="R2" s="250"/>
      <c r="S2" s="250"/>
    </row>
    <row r="3" ht="27" customHeight="1" spans="3:19">
      <c r="C3" s="82" t="s">
        <v>2338</v>
      </c>
      <c r="D3" s="251" t="s">
        <v>2339</v>
      </c>
      <c r="F3" s="252" t="s">
        <v>2340</v>
      </c>
      <c r="G3" s="253"/>
      <c r="H3" s="253"/>
      <c r="I3" s="253"/>
      <c r="J3" s="253"/>
      <c r="K3" s="253"/>
      <c r="L3" s="253"/>
      <c r="M3" s="253"/>
      <c r="N3" s="253"/>
      <c r="O3" s="253"/>
      <c r="P3" s="253"/>
      <c r="Q3" s="253"/>
      <c r="R3" s="253"/>
      <c r="S3" s="258"/>
    </row>
    <row r="4" ht="27" customHeight="1" spans="3:19">
      <c r="C4" s="82" t="s">
        <v>2341</v>
      </c>
      <c r="D4" s="251" t="s">
        <v>2342</v>
      </c>
      <c r="F4" s="82" t="s">
        <v>2343</v>
      </c>
      <c r="G4" s="254" t="s">
        <v>2344</v>
      </c>
      <c r="H4" s="82" t="s">
        <v>1190</v>
      </c>
      <c r="I4" s="82" t="s">
        <v>1190</v>
      </c>
      <c r="J4" s="82" t="s">
        <v>1190</v>
      </c>
      <c r="K4" s="82" t="s">
        <v>1190</v>
      </c>
      <c r="L4" s="82" t="s">
        <v>1190</v>
      </c>
      <c r="M4" s="82" t="s">
        <v>1190</v>
      </c>
      <c r="N4" s="82" t="s">
        <v>1190</v>
      </c>
      <c r="O4" s="82" t="s">
        <v>1190</v>
      </c>
      <c r="P4" s="82" t="s">
        <v>1190</v>
      </c>
      <c r="Q4" s="82" t="s">
        <v>1190</v>
      </c>
      <c r="R4" s="82" t="s">
        <v>1190</v>
      </c>
      <c r="S4" s="82" t="s">
        <v>1190</v>
      </c>
    </row>
    <row r="5" ht="27" customHeight="1" spans="3:19">
      <c r="C5" s="82" t="s">
        <v>2345</v>
      </c>
      <c r="D5" s="251" t="s">
        <v>2346</v>
      </c>
      <c r="F5" s="82"/>
      <c r="G5" s="255"/>
      <c r="H5" s="82" t="s">
        <v>714</v>
      </c>
      <c r="I5" s="82" t="s">
        <v>715</v>
      </c>
      <c r="J5" s="82" t="s">
        <v>716</v>
      </c>
      <c r="K5" s="82" t="s">
        <v>717</v>
      </c>
      <c r="L5" s="82" t="s">
        <v>718</v>
      </c>
      <c r="M5" s="82" t="s">
        <v>719</v>
      </c>
      <c r="N5" s="82" t="s">
        <v>720</v>
      </c>
      <c r="O5" s="82" t="s">
        <v>721</v>
      </c>
      <c r="P5" s="82" t="s">
        <v>722</v>
      </c>
      <c r="Q5" s="82" t="s">
        <v>723</v>
      </c>
      <c r="R5" s="82" t="s">
        <v>724</v>
      </c>
      <c r="S5" s="82" t="s">
        <v>725</v>
      </c>
    </row>
    <row r="6" ht="27" customHeight="1" spans="3:19">
      <c r="C6" s="82" t="s">
        <v>2347</v>
      </c>
      <c r="D6" s="251"/>
      <c r="F6" s="82" t="s">
        <v>2348</v>
      </c>
      <c r="G6" s="82" t="s">
        <v>1251</v>
      </c>
      <c r="H6" s="256">
        <v>1</v>
      </c>
      <c r="I6" s="256">
        <v>1</v>
      </c>
      <c r="J6" s="256">
        <v>1</v>
      </c>
      <c r="K6" s="256">
        <v>1</v>
      </c>
      <c r="L6" s="256">
        <v>1</v>
      </c>
      <c r="M6" s="256">
        <v>1</v>
      </c>
      <c r="N6" s="256">
        <v>1</v>
      </c>
      <c r="O6" s="256">
        <v>1</v>
      </c>
      <c r="P6" s="256">
        <v>1</v>
      </c>
      <c r="Q6" s="256">
        <v>1</v>
      </c>
      <c r="R6" s="256">
        <v>1</v>
      </c>
      <c r="S6" s="256">
        <v>1</v>
      </c>
    </row>
    <row r="7" ht="27" customHeight="1" spans="3:19">
      <c r="C7" s="82" t="s">
        <v>2349</v>
      </c>
      <c r="D7" s="251" t="s">
        <v>2350</v>
      </c>
      <c r="F7" s="82" t="s">
        <v>2351</v>
      </c>
      <c r="G7" s="82" t="s">
        <v>1343</v>
      </c>
      <c r="H7" s="256"/>
      <c r="I7" s="256"/>
      <c r="J7" s="256"/>
      <c r="K7" s="256"/>
      <c r="L7" s="256"/>
      <c r="M7" s="256"/>
      <c r="N7" s="256"/>
      <c r="O7" s="256"/>
      <c r="P7" s="256"/>
      <c r="Q7" s="256"/>
      <c r="R7" s="256"/>
      <c r="S7" s="256"/>
    </row>
    <row r="8" ht="27" customHeight="1" spans="3:19">
      <c r="C8" s="82" t="s">
        <v>170</v>
      </c>
      <c r="D8" s="251" t="s">
        <v>2352</v>
      </c>
      <c r="F8" s="82" t="s">
        <v>2353</v>
      </c>
      <c r="G8" s="82" t="s">
        <v>981</v>
      </c>
      <c r="H8" s="256">
        <v>5829.78</v>
      </c>
      <c r="I8" s="256">
        <v>5829.78</v>
      </c>
      <c r="J8" s="256">
        <v>5829.78</v>
      </c>
      <c r="K8" s="256">
        <v>5829.78</v>
      </c>
      <c r="L8" s="256">
        <v>5829.78</v>
      </c>
      <c r="M8" s="256">
        <v>5829.78</v>
      </c>
      <c r="N8" s="256">
        <v>5829.78</v>
      </c>
      <c r="O8" s="256">
        <v>5829.78</v>
      </c>
      <c r="P8" s="256">
        <v>5829.78</v>
      </c>
      <c r="Q8" s="256">
        <v>5829.78</v>
      </c>
      <c r="R8" s="256">
        <v>5829.78</v>
      </c>
      <c r="S8" s="256">
        <v>5829.78</v>
      </c>
    </row>
    <row r="9" ht="27" customHeight="1" spans="3:19">
      <c r="C9" s="82" t="s">
        <v>2354</v>
      </c>
      <c r="D9" s="251" t="s">
        <v>2355</v>
      </c>
      <c r="F9" s="82" t="s">
        <v>980</v>
      </c>
      <c r="G9" s="82" t="s">
        <v>981</v>
      </c>
      <c r="H9" s="256">
        <v>5829.78</v>
      </c>
      <c r="I9" s="256">
        <v>5829.78</v>
      </c>
      <c r="J9" s="256">
        <v>5829.78</v>
      </c>
      <c r="K9" s="256">
        <v>5829.78</v>
      </c>
      <c r="L9" s="256">
        <v>5829.78</v>
      </c>
      <c r="M9" s="256">
        <v>5829.78</v>
      </c>
      <c r="N9" s="256">
        <v>5829.78</v>
      </c>
      <c r="O9" s="256">
        <v>5829.78</v>
      </c>
      <c r="P9" s="256">
        <v>5829.78</v>
      </c>
      <c r="Q9" s="256">
        <v>5829.78</v>
      </c>
      <c r="R9" s="256">
        <v>5829.78</v>
      </c>
      <c r="S9" s="256">
        <v>5829.78</v>
      </c>
    </row>
    <row r="10" ht="27" customHeight="1" spans="3:19">
      <c r="C10" s="82" t="s">
        <v>2356</v>
      </c>
      <c r="D10" s="251"/>
      <c r="F10" s="82" t="s">
        <v>2357</v>
      </c>
      <c r="G10" s="82" t="s">
        <v>981</v>
      </c>
      <c r="H10" s="256">
        <v>5829.78</v>
      </c>
      <c r="I10" s="256">
        <v>5829.78</v>
      </c>
      <c r="J10" s="256">
        <v>5829.78</v>
      </c>
      <c r="K10" s="256">
        <v>5829.78</v>
      </c>
      <c r="L10" s="256">
        <v>5829.78</v>
      </c>
      <c r="M10" s="256">
        <v>5829.78</v>
      </c>
      <c r="N10" s="256">
        <v>5829.78</v>
      </c>
      <c r="O10" s="256">
        <v>5829.78</v>
      </c>
      <c r="P10" s="256">
        <v>5829.78</v>
      </c>
      <c r="Q10" s="256">
        <v>5829.78</v>
      </c>
      <c r="R10" s="256">
        <v>5829.78</v>
      </c>
      <c r="S10" s="256">
        <v>5829.78</v>
      </c>
    </row>
    <row r="11" ht="27" customHeight="1" spans="3:19">
      <c r="C11" s="82" t="s">
        <v>2358</v>
      </c>
      <c r="D11" s="251" t="s">
        <v>2359</v>
      </c>
      <c r="F11" s="82" t="s">
        <v>1044</v>
      </c>
      <c r="G11" s="82" t="s">
        <v>981</v>
      </c>
      <c r="H11" s="256"/>
      <c r="I11" s="256"/>
      <c r="J11" s="256"/>
      <c r="K11" s="256"/>
      <c r="L11" s="256"/>
      <c r="M11" s="256"/>
      <c r="N11" s="256"/>
      <c r="O11" s="256"/>
      <c r="P11" s="256"/>
      <c r="Q11" s="256"/>
      <c r="R11" s="256"/>
      <c r="S11" s="256"/>
    </row>
    <row r="12" ht="27" customHeight="1" spans="3:19">
      <c r="C12" s="82" t="s">
        <v>2360</v>
      </c>
      <c r="D12" s="251"/>
      <c r="F12" s="82" t="s">
        <v>1125</v>
      </c>
      <c r="G12" s="82" t="s">
        <v>981</v>
      </c>
      <c r="H12" s="256">
        <v>5829.78</v>
      </c>
      <c r="I12" s="256">
        <v>5829.78</v>
      </c>
      <c r="J12" s="256">
        <v>5829.78</v>
      </c>
      <c r="K12" s="256">
        <v>5829.78</v>
      </c>
      <c r="L12" s="256">
        <v>5829.78</v>
      </c>
      <c r="M12" s="256">
        <v>5829.78</v>
      </c>
      <c r="N12" s="256">
        <v>5829.78</v>
      </c>
      <c r="O12" s="256">
        <v>5829.78</v>
      </c>
      <c r="P12" s="256">
        <v>5829.78</v>
      </c>
      <c r="Q12" s="256">
        <v>5829.78</v>
      </c>
      <c r="R12" s="256">
        <v>5829.78</v>
      </c>
      <c r="S12" s="256">
        <v>5829.78</v>
      </c>
    </row>
    <row r="13" ht="27" customHeight="1" spans="3:19">
      <c r="C13" s="82" t="s">
        <v>2361</v>
      </c>
      <c r="D13" s="251"/>
      <c r="F13" s="82" t="s">
        <v>2261</v>
      </c>
      <c r="G13" s="82" t="s">
        <v>981</v>
      </c>
      <c r="H13" s="256">
        <v>5829.78</v>
      </c>
      <c r="I13" s="256">
        <v>5829.78</v>
      </c>
      <c r="J13" s="256">
        <v>5829.78</v>
      </c>
      <c r="K13" s="256">
        <v>5829.78</v>
      </c>
      <c r="L13" s="256">
        <v>5829.78</v>
      </c>
      <c r="M13" s="256">
        <v>5829.78</v>
      </c>
      <c r="N13" s="256">
        <v>5829.78</v>
      </c>
      <c r="O13" s="256">
        <v>5829.78</v>
      </c>
      <c r="P13" s="256">
        <v>5829.78</v>
      </c>
      <c r="Q13" s="256">
        <v>5829.78</v>
      </c>
      <c r="R13" s="256">
        <v>5829.78</v>
      </c>
      <c r="S13" s="256">
        <v>5829.78</v>
      </c>
    </row>
    <row r="14" ht="27" customHeight="1" spans="3:4">
      <c r="C14" s="82" t="s">
        <v>2362</v>
      </c>
      <c r="D14" s="251" t="s">
        <v>2363</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2364</v>
      </c>
      <c r="D17" s="250"/>
      <c r="E17" s="250"/>
      <c r="F17" s="250"/>
      <c r="G17" s="250"/>
      <c r="H17" s="250"/>
      <c r="I17" s="250"/>
      <c r="J17" s="250"/>
      <c r="K17" s="250"/>
      <c r="L17" s="250"/>
      <c r="M17" s="250"/>
      <c r="N17" s="250"/>
      <c r="O17" s="250"/>
      <c r="P17" s="250"/>
      <c r="Q17" s="250"/>
      <c r="R17" s="250"/>
      <c r="S17" s="250"/>
    </row>
    <row r="18" ht="27" customHeight="1" spans="3:19">
      <c r="C18" s="82" t="s">
        <v>2365</v>
      </c>
      <c r="D18" s="257" t="s">
        <v>2366</v>
      </c>
      <c r="F18" s="252" t="s">
        <v>2367</v>
      </c>
      <c r="G18" s="253"/>
      <c r="H18" s="253"/>
      <c r="I18" s="253"/>
      <c r="J18" s="253"/>
      <c r="K18" s="253"/>
      <c r="L18" s="253"/>
      <c r="M18" s="253"/>
      <c r="N18" s="253"/>
      <c r="O18" s="253"/>
      <c r="P18" s="253"/>
      <c r="Q18" s="253"/>
      <c r="R18" s="253"/>
      <c r="S18" s="258"/>
    </row>
    <row r="19" ht="27" customHeight="1" spans="3:19">
      <c r="C19" s="82" t="s">
        <v>2368</v>
      </c>
      <c r="D19" s="257" t="s">
        <v>2369</v>
      </c>
      <c r="F19" s="82" t="s">
        <v>2343</v>
      </c>
      <c r="G19" s="254" t="s">
        <v>2344</v>
      </c>
      <c r="H19" s="82" t="s">
        <v>1190</v>
      </c>
      <c r="I19" s="82" t="s">
        <v>1190</v>
      </c>
      <c r="J19" s="82" t="s">
        <v>1190</v>
      </c>
      <c r="K19" s="82" t="s">
        <v>1190</v>
      </c>
      <c r="L19" s="82" t="s">
        <v>1190</v>
      </c>
      <c r="M19" s="82" t="s">
        <v>1190</v>
      </c>
      <c r="N19" s="82" t="s">
        <v>1190</v>
      </c>
      <c r="O19" s="82" t="s">
        <v>1190</v>
      </c>
      <c r="P19" s="82" t="s">
        <v>1190</v>
      </c>
      <c r="Q19" s="82" t="s">
        <v>1190</v>
      </c>
      <c r="R19" s="82" t="s">
        <v>1190</v>
      </c>
      <c r="S19" s="82" t="s">
        <v>1190</v>
      </c>
    </row>
    <row r="20" ht="27" customHeight="1" spans="3:19">
      <c r="C20" s="82" t="s">
        <v>2370</v>
      </c>
      <c r="D20" s="257" t="s">
        <v>2371</v>
      </c>
      <c r="F20" s="82"/>
      <c r="G20" s="255"/>
      <c r="H20" s="82" t="s">
        <v>714</v>
      </c>
      <c r="I20" s="82" t="s">
        <v>715</v>
      </c>
      <c r="J20" s="82" t="s">
        <v>716</v>
      </c>
      <c r="K20" s="82" t="s">
        <v>717</v>
      </c>
      <c r="L20" s="82" t="s">
        <v>718</v>
      </c>
      <c r="M20" s="82" t="s">
        <v>719</v>
      </c>
      <c r="N20" s="82" t="s">
        <v>720</v>
      </c>
      <c r="O20" s="82" t="s">
        <v>721</v>
      </c>
      <c r="P20" s="82" t="s">
        <v>722</v>
      </c>
      <c r="Q20" s="82" t="s">
        <v>723</v>
      </c>
      <c r="R20" s="82" t="s">
        <v>724</v>
      </c>
      <c r="S20" s="82" t="s">
        <v>725</v>
      </c>
    </row>
    <row r="21" ht="27" customHeight="1" spans="3:19">
      <c r="C21" s="82" t="s">
        <v>2372</v>
      </c>
      <c r="D21" s="91" t="str">
        <f>VLOOKUP(D4,'附表1-数据库'!B46:C383,2,FALSE)</f>
        <v>一类城市</v>
      </c>
      <c r="F21" s="81" t="s">
        <v>1096</v>
      </c>
      <c r="G21" s="81" t="s">
        <v>1098</v>
      </c>
      <c r="H21" s="251"/>
      <c r="I21" s="251"/>
      <c r="J21" s="251"/>
      <c r="K21" s="251"/>
      <c r="L21" s="251"/>
      <c r="M21" s="251"/>
      <c r="N21" s="251"/>
      <c r="O21" s="251"/>
      <c r="P21" s="251"/>
      <c r="Q21" s="251"/>
      <c r="R21" s="251"/>
      <c r="S21" s="251"/>
    </row>
    <row r="22" ht="27" customHeight="1" spans="3:19">
      <c r="C22" s="247"/>
      <c r="F22" s="81" t="s">
        <v>1101</v>
      </c>
      <c r="G22" s="81" t="s">
        <v>1098</v>
      </c>
      <c r="H22" s="251"/>
      <c r="I22" s="251"/>
      <c r="J22" s="251"/>
      <c r="K22" s="251"/>
      <c r="L22" s="251"/>
      <c r="M22" s="251"/>
      <c r="N22" s="251"/>
      <c r="O22" s="251"/>
      <c r="P22" s="251"/>
      <c r="Q22" s="251"/>
      <c r="R22" s="251"/>
      <c r="S22" s="251"/>
    </row>
    <row r="23" ht="27" customHeight="1" spans="6:19">
      <c r="F23" s="81" t="s">
        <v>1103</v>
      </c>
      <c r="G23" s="81" t="s">
        <v>1098</v>
      </c>
      <c r="H23" s="251"/>
      <c r="I23" s="251"/>
      <c r="J23" s="251"/>
      <c r="K23" s="251"/>
      <c r="L23" s="251"/>
      <c r="M23" s="251"/>
      <c r="N23" s="251"/>
      <c r="O23" s="251"/>
      <c r="P23" s="251"/>
      <c r="Q23" s="251"/>
      <c r="R23" s="251"/>
      <c r="S23" s="251"/>
    </row>
    <row r="24" ht="27" customHeight="1" spans="6:19">
      <c r="F24" s="81" t="s">
        <v>1105</v>
      </c>
      <c r="G24" s="81" t="s">
        <v>1098</v>
      </c>
      <c r="H24" s="251"/>
      <c r="I24" s="251"/>
      <c r="J24" s="251"/>
      <c r="K24" s="251"/>
      <c r="L24" s="251"/>
      <c r="M24" s="251"/>
      <c r="N24" s="251"/>
      <c r="O24" s="251"/>
      <c r="P24" s="251"/>
      <c r="Q24" s="251"/>
      <c r="R24" s="251"/>
      <c r="S24" s="251"/>
    </row>
    <row r="25" ht="27" customHeight="1" spans="6:19">
      <c r="F25" s="81" t="s">
        <v>1107</v>
      </c>
      <c r="G25" s="81" t="s">
        <v>1098</v>
      </c>
      <c r="H25" s="251"/>
      <c r="I25" s="251"/>
      <c r="J25" s="251"/>
      <c r="K25" s="251"/>
      <c r="L25" s="251"/>
      <c r="M25" s="251"/>
      <c r="N25" s="251"/>
      <c r="O25" s="251"/>
      <c r="P25" s="251"/>
      <c r="Q25" s="251"/>
      <c r="R25" s="251"/>
      <c r="S25" s="251"/>
    </row>
    <row r="26" ht="27" customHeight="1" spans="6:19">
      <c r="F26" s="81" t="s">
        <v>1109</v>
      </c>
      <c r="G26" s="81" t="s">
        <v>1098</v>
      </c>
      <c r="H26" s="251"/>
      <c r="I26" s="251"/>
      <c r="J26" s="251"/>
      <c r="K26" s="251"/>
      <c r="L26" s="251"/>
      <c r="M26" s="251"/>
      <c r="N26" s="251"/>
      <c r="O26" s="251"/>
      <c r="P26" s="251"/>
      <c r="Q26" s="251"/>
      <c r="R26" s="251"/>
      <c r="S26" s="251"/>
    </row>
    <row r="27" ht="27" customHeight="1" spans="6:19">
      <c r="F27" s="81" t="s">
        <v>1111</v>
      </c>
      <c r="G27" s="81" t="s">
        <v>1098</v>
      </c>
      <c r="H27" s="251"/>
      <c r="I27" s="251"/>
      <c r="J27" s="251"/>
      <c r="K27" s="251"/>
      <c r="L27" s="251"/>
      <c r="M27" s="251"/>
      <c r="N27" s="251"/>
      <c r="O27" s="251"/>
      <c r="P27" s="251"/>
      <c r="Q27" s="251"/>
      <c r="R27" s="251"/>
      <c r="S27" s="251"/>
    </row>
    <row r="28" ht="27" customHeight="1" spans="6:19">
      <c r="F28" s="81" t="s">
        <v>1113</v>
      </c>
      <c r="G28" s="81" t="s">
        <v>1098</v>
      </c>
      <c r="H28" s="251"/>
      <c r="I28" s="251"/>
      <c r="J28" s="251"/>
      <c r="K28" s="251"/>
      <c r="L28" s="251"/>
      <c r="M28" s="251"/>
      <c r="N28" s="251"/>
      <c r="O28" s="251"/>
      <c r="P28" s="251"/>
      <c r="Q28" s="251"/>
      <c r="R28" s="251"/>
      <c r="S28" s="251"/>
    </row>
    <row r="29" ht="27" customHeight="1" spans="6:19">
      <c r="F29" s="81" t="s">
        <v>1115</v>
      </c>
      <c r="G29" s="81" t="s">
        <v>1098</v>
      </c>
      <c r="H29" s="251"/>
      <c r="I29" s="251"/>
      <c r="J29" s="251"/>
      <c r="K29" s="251"/>
      <c r="L29" s="251"/>
      <c r="M29" s="251"/>
      <c r="N29" s="251"/>
      <c r="O29" s="251"/>
      <c r="P29" s="251"/>
      <c r="Q29" s="251"/>
      <c r="R29" s="251"/>
      <c r="S29" s="251"/>
    </row>
    <row r="30" ht="27" customHeight="1" spans="6:19">
      <c r="F30" s="81" t="s">
        <v>1117</v>
      </c>
      <c r="G30" s="81" t="s">
        <v>1098</v>
      </c>
      <c r="H30" s="251"/>
      <c r="I30" s="251"/>
      <c r="J30" s="251"/>
      <c r="K30" s="251"/>
      <c r="L30" s="251"/>
      <c r="M30" s="251"/>
      <c r="N30" s="251"/>
      <c r="O30" s="251"/>
      <c r="P30" s="251"/>
      <c r="Q30" s="251"/>
      <c r="R30" s="251"/>
      <c r="S30" s="251"/>
    </row>
    <row r="31" ht="27" customHeight="1" spans="6:19">
      <c r="F31" s="81" t="s">
        <v>1119</v>
      </c>
      <c r="G31" s="81" t="s">
        <v>1098</v>
      </c>
      <c r="H31" s="251"/>
      <c r="I31" s="251"/>
      <c r="J31" s="251"/>
      <c r="K31" s="251"/>
      <c r="L31" s="251"/>
      <c r="M31" s="251"/>
      <c r="N31" s="251"/>
      <c r="O31" s="251"/>
      <c r="P31" s="251"/>
      <c r="Q31" s="251"/>
      <c r="R31" s="251"/>
      <c r="S31" s="251"/>
    </row>
    <row r="32" ht="27" customHeight="1" spans="6:19">
      <c r="F32" s="81" t="s">
        <v>1121</v>
      </c>
      <c r="G32" s="81" t="s">
        <v>1098</v>
      </c>
      <c r="H32" s="251"/>
      <c r="I32" s="251"/>
      <c r="J32" s="251"/>
      <c r="K32" s="251"/>
      <c r="L32" s="251"/>
      <c r="M32" s="251"/>
      <c r="N32" s="251"/>
      <c r="O32" s="251"/>
      <c r="P32" s="251"/>
      <c r="Q32" s="251"/>
      <c r="R32" s="251"/>
      <c r="S32" s="251"/>
    </row>
    <row r="33" ht="27" customHeight="1" spans="6:19">
      <c r="F33" s="81" t="s">
        <v>1123</v>
      </c>
      <c r="G33" s="81" t="s">
        <v>1098</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71" activePane="bottomRight" state="frozen"/>
      <selection/>
      <selection pane="topRight"/>
      <selection pane="bottomLeft"/>
      <selection pane="bottomRight" activeCell="F77" sqref="F77:Q77"/>
    </sheetView>
  </sheetViews>
  <sheetFormatPr defaultColWidth="8.75454545454545" defaultRowHeight="14.5"/>
  <cols>
    <col min="1" max="1" width="8.75454545454545" style="216"/>
    <col min="2" max="2" width="16.8727272727273" style="217" customWidth="1"/>
    <col min="3" max="3" width="12.8727272727273" style="217" customWidth="1"/>
    <col min="4" max="4" width="12.8727272727273" style="218" customWidth="1"/>
    <col min="5" max="5" width="7.12727272727273" style="217" customWidth="1"/>
    <col min="6" max="16384" width="8.75454545454545" style="216"/>
  </cols>
  <sheetData>
    <row r="1" ht="30.95" customHeight="1" spans="1:17">
      <c r="A1" s="216">
        <v>11</v>
      </c>
      <c r="B1" s="219" t="s">
        <v>2373</v>
      </c>
      <c r="C1" s="219" t="s">
        <v>2374</v>
      </c>
      <c r="D1" s="220" t="s">
        <v>2375</v>
      </c>
      <c r="E1" s="219" t="s">
        <v>2344</v>
      </c>
      <c r="F1" s="221" t="s">
        <v>714</v>
      </c>
      <c r="G1" s="221" t="s">
        <v>715</v>
      </c>
      <c r="H1" s="221" t="s">
        <v>716</v>
      </c>
      <c r="I1" s="221" t="s">
        <v>717</v>
      </c>
      <c r="J1" s="221" t="s">
        <v>718</v>
      </c>
      <c r="K1" s="221" t="s">
        <v>719</v>
      </c>
      <c r="L1" s="221" t="s">
        <v>720</v>
      </c>
      <c r="M1" s="221" t="s">
        <v>721</v>
      </c>
      <c r="N1" s="221" t="s">
        <v>722</v>
      </c>
      <c r="O1" s="221" t="s">
        <v>723</v>
      </c>
      <c r="P1" s="221" t="s">
        <v>724</v>
      </c>
      <c r="Q1" s="221" t="s">
        <v>725</v>
      </c>
    </row>
    <row r="2" spans="1:17">
      <c r="A2" s="216">
        <v>1</v>
      </c>
      <c r="B2" s="222" t="s">
        <v>2376</v>
      </c>
      <c r="C2" s="222" t="s">
        <v>2377</v>
      </c>
      <c r="D2" s="223">
        <f t="shared" ref="D2:D65" si="0">IFERROR(SUM(F2:Q2)/COUNTIF(F2:Q2,"&lt;&gt;0"),0)</f>
        <v>28.6666666666667</v>
      </c>
      <c r="E2" s="223" t="s">
        <v>753</v>
      </c>
      <c r="F2" s="224">
        <f t="shared" ref="F2:Q2" si="1">F3+F4+F5</f>
        <v>80</v>
      </c>
      <c r="G2" s="224">
        <f t="shared" si="1"/>
        <v>24</v>
      </c>
      <c r="H2" s="224">
        <f t="shared" si="1"/>
        <v>24</v>
      </c>
      <c r="I2" s="224">
        <f t="shared" si="1"/>
        <v>24</v>
      </c>
      <c r="J2" s="224">
        <f t="shared" si="1"/>
        <v>24</v>
      </c>
      <c r="K2" s="224">
        <f t="shared" si="1"/>
        <v>24</v>
      </c>
      <c r="L2" s="224">
        <f t="shared" si="1"/>
        <v>24</v>
      </c>
      <c r="M2" s="224">
        <f t="shared" si="1"/>
        <v>24</v>
      </c>
      <c r="N2" s="224">
        <f t="shared" si="1"/>
        <v>24</v>
      </c>
      <c r="O2" s="224">
        <f t="shared" si="1"/>
        <v>24</v>
      </c>
      <c r="P2" s="224">
        <f t="shared" si="1"/>
        <v>24</v>
      </c>
      <c r="Q2" s="224">
        <f t="shared" si="1"/>
        <v>24</v>
      </c>
    </row>
    <row r="3" spans="1:17">
      <c r="A3" s="216">
        <v>1</v>
      </c>
      <c r="B3" s="222" t="s">
        <v>2376</v>
      </c>
      <c r="C3" s="225" t="s">
        <v>109</v>
      </c>
      <c r="D3" s="226">
        <f t="shared" si="0"/>
        <v>21.25</v>
      </c>
      <c r="E3" s="226" t="s">
        <v>753</v>
      </c>
      <c r="F3" s="227">
        <f t="shared" ref="F3:Q3" si="2">F7+F35+F71+F115+F155+F175+F195+F211</f>
        <v>35</v>
      </c>
      <c r="G3" s="227">
        <f t="shared" si="2"/>
        <v>20</v>
      </c>
      <c r="H3" s="227">
        <f t="shared" si="2"/>
        <v>20</v>
      </c>
      <c r="I3" s="227">
        <f t="shared" si="2"/>
        <v>20</v>
      </c>
      <c r="J3" s="227">
        <f t="shared" si="2"/>
        <v>20</v>
      </c>
      <c r="K3" s="227">
        <f t="shared" si="2"/>
        <v>20</v>
      </c>
      <c r="L3" s="227">
        <f t="shared" si="2"/>
        <v>20</v>
      </c>
      <c r="M3" s="227">
        <f t="shared" si="2"/>
        <v>20</v>
      </c>
      <c r="N3" s="227">
        <f t="shared" si="2"/>
        <v>20</v>
      </c>
      <c r="O3" s="227">
        <f t="shared" si="2"/>
        <v>20</v>
      </c>
      <c r="P3" s="227">
        <f t="shared" si="2"/>
        <v>20</v>
      </c>
      <c r="Q3" s="227">
        <f t="shared" si="2"/>
        <v>20</v>
      </c>
    </row>
    <row r="4" spans="1:17">
      <c r="A4" s="216">
        <v>1</v>
      </c>
      <c r="B4" s="222" t="s">
        <v>2376</v>
      </c>
      <c r="C4" s="228" t="s">
        <v>68</v>
      </c>
      <c r="D4" s="229">
        <f t="shared" si="0"/>
        <v>20</v>
      </c>
      <c r="E4" s="229" t="s">
        <v>753</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2376</v>
      </c>
      <c r="C5" s="231" t="s">
        <v>19</v>
      </c>
      <c r="D5" s="232">
        <f t="shared" si="0"/>
        <v>5.75</v>
      </c>
      <c r="E5" s="232" t="s">
        <v>753</v>
      </c>
      <c r="F5" s="233">
        <f t="shared" ref="F5:Q5" si="4">F9+F37+F73+F117+F157+F177+F197+F213</f>
        <v>25</v>
      </c>
      <c r="G5" s="233">
        <f t="shared" si="4"/>
        <v>4</v>
      </c>
      <c r="H5" s="233">
        <f t="shared" si="4"/>
        <v>4</v>
      </c>
      <c r="I5" s="233">
        <f t="shared" si="4"/>
        <v>4</v>
      </c>
      <c r="J5" s="233">
        <f t="shared" si="4"/>
        <v>4</v>
      </c>
      <c r="K5" s="233">
        <f t="shared" si="4"/>
        <v>4</v>
      </c>
      <c r="L5" s="233">
        <f t="shared" si="4"/>
        <v>4</v>
      </c>
      <c r="M5" s="233">
        <f t="shared" si="4"/>
        <v>4</v>
      </c>
      <c r="N5" s="233">
        <f t="shared" si="4"/>
        <v>4</v>
      </c>
      <c r="O5" s="233">
        <f t="shared" si="4"/>
        <v>4</v>
      </c>
      <c r="P5" s="233">
        <f t="shared" si="4"/>
        <v>4</v>
      </c>
      <c r="Q5" s="233">
        <f t="shared" si="4"/>
        <v>4</v>
      </c>
    </row>
    <row r="6" spans="1:17">
      <c r="A6" s="216">
        <v>1</v>
      </c>
      <c r="B6" s="234" t="s">
        <v>187</v>
      </c>
      <c r="C6" s="234" t="s">
        <v>2377</v>
      </c>
      <c r="D6" s="235">
        <f t="shared" si="0"/>
        <v>1</v>
      </c>
      <c r="E6" s="235" t="s">
        <v>753</v>
      </c>
      <c r="F6" s="236">
        <f t="shared" ref="F6:Q6" si="5">F7+F8+F9</f>
        <v>1</v>
      </c>
      <c r="G6" s="236">
        <f t="shared" si="5"/>
        <v>1</v>
      </c>
      <c r="H6" s="236">
        <f t="shared" si="5"/>
        <v>1</v>
      </c>
      <c r="I6" s="236">
        <f t="shared" si="5"/>
        <v>1</v>
      </c>
      <c r="J6" s="236">
        <f t="shared" si="5"/>
        <v>1</v>
      </c>
      <c r="K6" s="236">
        <f t="shared" si="5"/>
        <v>1</v>
      </c>
      <c r="L6" s="236">
        <f t="shared" si="5"/>
        <v>1</v>
      </c>
      <c r="M6" s="236">
        <f t="shared" si="5"/>
        <v>1</v>
      </c>
      <c r="N6" s="236">
        <f t="shared" si="5"/>
        <v>1</v>
      </c>
      <c r="O6" s="236">
        <f t="shared" si="5"/>
        <v>1</v>
      </c>
      <c r="P6" s="236">
        <f t="shared" si="5"/>
        <v>1</v>
      </c>
      <c r="Q6" s="236">
        <f t="shared" si="5"/>
        <v>1</v>
      </c>
    </row>
    <row r="7" spans="1:17">
      <c r="A7" s="216">
        <v>1</v>
      </c>
      <c r="B7" s="234" t="s">
        <v>187</v>
      </c>
      <c r="C7" s="225" t="s">
        <v>109</v>
      </c>
      <c r="D7" s="226">
        <f t="shared" si="0"/>
        <v>1</v>
      </c>
      <c r="E7" s="226" t="s">
        <v>753</v>
      </c>
      <c r="F7" s="227">
        <f t="shared" ref="F7:Q7" si="6">F11+F15+F19+F23+F27+F31</f>
        <v>1</v>
      </c>
      <c r="G7" s="227">
        <f t="shared" si="6"/>
        <v>1</v>
      </c>
      <c r="H7" s="227">
        <f t="shared" si="6"/>
        <v>1</v>
      </c>
      <c r="I7" s="227">
        <f t="shared" si="6"/>
        <v>1</v>
      </c>
      <c r="J7" s="227">
        <f t="shared" si="6"/>
        <v>1</v>
      </c>
      <c r="K7" s="227">
        <f t="shared" si="6"/>
        <v>1</v>
      </c>
      <c r="L7" s="227">
        <f t="shared" si="6"/>
        <v>1</v>
      </c>
      <c r="M7" s="227">
        <f t="shared" si="6"/>
        <v>1</v>
      </c>
      <c r="N7" s="227">
        <f t="shared" si="6"/>
        <v>1</v>
      </c>
      <c r="O7" s="227">
        <f t="shared" si="6"/>
        <v>1</v>
      </c>
      <c r="P7" s="227">
        <f t="shared" si="6"/>
        <v>1</v>
      </c>
      <c r="Q7" s="227">
        <f t="shared" si="6"/>
        <v>1</v>
      </c>
    </row>
    <row r="8" spans="1:17">
      <c r="A8" s="216">
        <v>1</v>
      </c>
      <c r="B8" s="234" t="s">
        <v>187</v>
      </c>
      <c r="C8" s="228" t="s">
        <v>68</v>
      </c>
      <c r="D8" s="229">
        <f t="shared" si="0"/>
        <v>0</v>
      </c>
      <c r="E8" s="229" t="s">
        <v>753</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753</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749</v>
      </c>
      <c r="C10" s="238" t="s">
        <v>2377</v>
      </c>
      <c r="D10" s="239">
        <f t="shared" si="0"/>
        <v>1</v>
      </c>
      <c r="E10" s="239" t="s">
        <v>753</v>
      </c>
      <c r="F10" s="240">
        <f t="shared" ref="F10:Q10" si="9">F11+F12+F13</f>
        <v>1</v>
      </c>
      <c r="G10" s="240">
        <f t="shared" si="9"/>
        <v>1</v>
      </c>
      <c r="H10" s="240">
        <f t="shared" si="9"/>
        <v>1</v>
      </c>
      <c r="I10" s="240">
        <f t="shared" si="9"/>
        <v>1</v>
      </c>
      <c r="J10" s="240">
        <f t="shared" si="9"/>
        <v>1</v>
      </c>
      <c r="K10" s="240">
        <f t="shared" si="9"/>
        <v>1</v>
      </c>
      <c r="L10" s="240">
        <f t="shared" si="9"/>
        <v>1</v>
      </c>
      <c r="M10" s="240">
        <f t="shared" si="9"/>
        <v>1</v>
      </c>
      <c r="N10" s="240">
        <f t="shared" si="9"/>
        <v>1</v>
      </c>
      <c r="O10" s="240">
        <f t="shared" si="9"/>
        <v>1</v>
      </c>
      <c r="P10" s="240">
        <f t="shared" si="9"/>
        <v>1</v>
      </c>
      <c r="Q10" s="240">
        <f t="shared" si="9"/>
        <v>1</v>
      </c>
    </row>
    <row r="11" outlineLevel="1" spans="1:17">
      <c r="A11" s="216">
        <v>2</v>
      </c>
      <c r="B11" s="237" t="s">
        <v>749</v>
      </c>
      <c r="C11" s="225" t="s">
        <v>109</v>
      </c>
      <c r="D11" s="226">
        <f t="shared" si="0"/>
        <v>1</v>
      </c>
      <c r="E11" s="226" t="s">
        <v>753</v>
      </c>
      <c r="F11" s="241">
        <v>1</v>
      </c>
      <c r="G11" s="241">
        <v>1</v>
      </c>
      <c r="H11" s="241">
        <v>1</v>
      </c>
      <c r="I11" s="241">
        <v>1</v>
      </c>
      <c r="J11" s="241">
        <v>1</v>
      </c>
      <c r="K11" s="241">
        <v>1</v>
      </c>
      <c r="L11" s="241">
        <v>1</v>
      </c>
      <c r="M11" s="241">
        <v>1</v>
      </c>
      <c r="N11" s="241">
        <v>1</v>
      </c>
      <c r="O11" s="241">
        <v>1</v>
      </c>
      <c r="P11" s="241">
        <v>1</v>
      </c>
      <c r="Q11" s="241">
        <v>1</v>
      </c>
    </row>
    <row r="12" outlineLevel="1" spans="1:17">
      <c r="A12" s="216">
        <v>2</v>
      </c>
      <c r="B12" s="237" t="s">
        <v>749</v>
      </c>
      <c r="C12" s="228" t="s">
        <v>68</v>
      </c>
      <c r="D12" s="229">
        <f t="shared" si="0"/>
        <v>0</v>
      </c>
      <c r="E12" s="229" t="s">
        <v>753</v>
      </c>
      <c r="F12" s="241"/>
      <c r="G12" s="241"/>
      <c r="H12" s="241"/>
      <c r="I12" s="241"/>
      <c r="J12" s="241"/>
      <c r="K12" s="241"/>
      <c r="L12" s="241"/>
      <c r="M12" s="241"/>
      <c r="N12" s="241"/>
      <c r="O12" s="241"/>
      <c r="P12" s="241"/>
      <c r="Q12" s="241"/>
    </row>
    <row r="13" outlineLevel="1" spans="1:17">
      <c r="A13" s="216">
        <v>2</v>
      </c>
      <c r="B13" s="237" t="s">
        <v>749</v>
      </c>
      <c r="C13" s="231" t="s">
        <v>19</v>
      </c>
      <c r="D13" s="232">
        <f t="shared" si="0"/>
        <v>0</v>
      </c>
      <c r="E13" s="232" t="s">
        <v>753</v>
      </c>
      <c r="F13" s="241"/>
      <c r="G13" s="241"/>
      <c r="H13" s="241"/>
      <c r="I13" s="241"/>
      <c r="J13" s="241"/>
      <c r="K13" s="241"/>
      <c r="L13" s="241"/>
      <c r="M13" s="241"/>
      <c r="N13" s="241"/>
      <c r="O13" s="241"/>
      <c r="P13" s="241"/>
      <c r="Q13" s="241"/>
    </row>
    <row r="14" outlineLevel="1" spans="1:17">
      <c r="A14" s="216">
        <v>3</v>
      </c>
      <c r="B14" s="237" t="s">
        <v>756</v>
      </c>
      <c r="C14" s="238" t="s">
        <v>2377</v>
      </c>
      <c r="D14" s="239">
        <f t="shared" si="0"/>
        <v>0</v>
      </c>
      <c r="E14" s="239" t="s">
        <v>753</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756</v>
      </c>
      <c r="C15" s="225" t="s">
        <v>109</v>
      </c>
      <c r="D15" s="226">
        <f t="shared" si="0"/>
        <v>0</v>
      </c>
      <c r="E15" s="226" t="s">
        <v>753</v>
      </c>
      <c r="F15" s="241"/>
      <c r="G15" s="241"/>
      <c r="H15" s="241"/>
      <c r="I15" s="241"/>
      <c r="J15" s="241"/>
      <c r="K15" s="241"/>
      <c r="L15" s="241"/>
      <c r="M15" s="241"/>
      <c r="N15" s="241"/>
      <c r="O15" s="241"/>
      <c r="P15" s="241"/>
      <c r="Q15" s="241"/>
    </row>
    <row r="16" outlineLevel="1" spans="1:17">
      <c r="A16" s="216">
        <v>3</v>
      </c>
      <c r="B16" s="237" t="s">
        <v>756</v>
      </c>
      <c r="C16" s="228" t="s">
        <v>68</v>
      </c>
      <c r="D16" s="229">
        <f t="shared" si="0"/>
        <v>0</v>
      </c>
      <c r="E16" s="229" t="s">
        <v>753</v>
      </c>
      <c r="F16" s="241"/>
      <c r="G16" s="241"/>
      <c r="H16" s="241"/>
      <c r="I16" s="241"/>
      <c r="J16" s="241"/>
      <c r="K16" s="241"/>
      <c r="L16" s="241"/>
      <c r="M16" s="241"/>
      <c r="N16" s="241"/>
      <c r="O16" s="241"/>
      <c r="P16" s="241"/>
      <c r="Q16" s="241"/>
    </row>
    <row r="17" outlineLevel="1" spans="1:17">
      <c r="A17" s="216">
        <v>3</v>
      </c>
      <c r="B17" s="237" t="s">
        <v>756</v>
      </c>
      <c r="C17" s="231" t="s">
        <v>19</v>
      </c>
      <c r="D17" s="232">
        <f t="shared" si="0"/>
        <v>0</v>
      </c>
      <c r="E17" s="232" t="s">
        <v>753</v>
      </c>
      <c r="F17" s="241"/>
      <c r="G17" s="241"/>
      <c r="H17" s="241"/>
      <c r="I17" s="241"/>
      <c r="J17" s="241"/>
      <c r="K17" s="241"/>
      <c r="L17" s="241"/>
      <c r="M17" s="241"/>
      <c r="N17" s="241"/>
      <c r="O17" s="241"/>
      <c r="P17" s="241"/>
      <c r="Q17" s="241"/>
    </row>
    <row r="18" outlineLevel="1" spans="1:17">
      <c r="A18" s="216">
        <v>4</v>
      </c>
      <c r="B18" s="237" t="s">
        <v>759</v>
      </c>
      <c r="C18" s="238" t="s">
        <v>2377</v>
      </c>
      <c r="D18" s="239">
        <f t="shared" si="0"/>
        <v>0</v>
      </c>
      <c r="E18" s="239" t="s">
        <v>753</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759</v>
      </c>
      <c r="C19" s="225" t="s">
        <v>109</v>
      </c>
      <c r="D19" s="226">
        <f t="shared" si="0"/>
        <v>0</v>
      </c>
      <c r="E19" s="226" t="s">
        <v>753</v>
      </c>
      <c r="F19" s="241"/>
      <c r="G19" s="241"/>
      <c r="H19" s="241"/>
      <c r="I19" s="241"/>
      <c r="J19" s="241"/>
      <c r="K19" s="241"/>
      <c r="L19" s="241"/>
      <c r="M19" s="241"/>
      <c r="N19" s="241"/>
      <c r="O19" s="241"/>
      <c r="P19" s="241"/>
      <c r="Q19" s="241"/>
    </row>
    <row r="20" outlineLevel="1" spans="1:17">
      <c r="A20" s="216">
        <v>4</v>
      </c>
      <c r="B20" s="237" t="s">
        <v>759</v>
      </c>
      <c r="C20" s="228" t="s">
        <v>68</v>
      </c>
      <c r="D20" s="229">
        <f t="shared" si="0"/>
        <v>0</v>
      </c>
      <c r="E20" s="229" t="s">
        <v>753</v>
      </c>
      <c r="F20" s="241"/>
      <c r="G20" s="241"/>
      <c r="H20" s="241"/>
      <c r="I20" s="241"/>
      <c r="J20" s="241"/>
      <c r="K20" s="241"/>
      <c r="L20" s="241"/>
      <c r="M20" s="241"/>
      <c r="N20" s="241"/>
      <c r="O20" s="241"/>
      <c r="P20" s="241"/>
      <c r="Q20" s="241"/>
    </row>
    <row r="21" outlineLevel="1" spans="1:17">
      <c r="A21" s="216">
        <v>4</v>
      </c>
      <c r="B21" s="237" t="s">
        <v>759</v>
      </c>
      <c r="C21" s="231" t="s">
        <v>19</v>
      </c>
      <c r="D21" s="232">
        <f t="shared" si="0"/>
        <v>0</v>
      </c>
      <c r="E21" s="232" t="s">
        <v>753</v>
      </c>
      <c r="F21" s="241"/>
      <c r="G21" s="241"/>
      <c r="H21" s="241"/>
      <c r="I21" s="241"/>
      <c r="J21" s="241"/>
      <c r="K21" s="241"/>
      <c r="L21" s="241"/>
      <c r="M21" s="241"/>
      <c r="N21" s="241"/>
      <c r="O21" s="241"/>
      <c r="P21" s="241"/>
      <c r="Q21" s="241"/>
    </row>
    <row r="22" outlineLevel="1" spans="1:17">
      <c r="A22" s="216">
        <v>5</v>
      </c>
      <c r="B22" s="237" t="s">
        <v>762</v>
      </c>
      <c r="C22" s="238" t="s">
        <v>2377</v>
      </c>
      <c r="D22" s="239">
        <f t="shared" si="0"/>
        <v>0</v>
      </c>
      <c r="E22" s="239" t="s">
        <v>753</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762</v>
      </c>
      <c r="C23" s="225" t="s">
        <v>109</v>
      </c>
      <c r="D23" s="226">
        <f t="shared" si="0"/>
        <v>0</v>
      </c>
      <c r="E23" s="226" t="s">
        <v>753</v>
      </c>
      <c r="F23" s="241"/>
      <c r="G23" s="241"/>
      <c r="H23" s="241"/>
      <c r="I23" s="241"/>
      <c r="J23" s="241"/>
      <c r="K23" s="241"/>
      <c r="L23" s="241"/>
      <c r="M23" s="241"/>
      <c r="N23" s="241"/>
      <c r="O23" s="241"/>
      <c r="P23" s="241"/>
      <c r="Q23" s="241"/>
    </row>
    <row r="24" outlineLevel="1" spans="1:17">
      <c r="A24" s="216">
        <v>5</v>
      </c>
      <c r="B24" s="237" t="s">
        <v>762</v>
      </c>
      <c r="C24" s="228" t="s">
        <v>68</v>
      </c>
      <c r="D24" s="229">
        <f t="shared" si="0"/>
        <v>0</v>
      </c>
      <c r="E24" s="229" t="s">
        <v>753</v>
      </c>
      <c r="F24" s="241"/>
      <c r="G24" s="241"/>
      <c r="H24" s="241"/>
      <c r="I24" s="241"/>
      <c r="J24" s="241"/>
      <c r="K24" s="241"/>
      <c r="L24" s="241"/>
      <c r="M24" s="241"/>
      <c r="N24" s="241"/>
      <c r="O24" s="241"/>
      <c r="P24" s="241"/>
      <c r="Q24" s="241"/>
    </row>
    <row r="25" outlineLevel="1" spans="1:17">
      <c r="A25" s="216">
        <v>5</v>
      </c>
      <c r="B25" s="237" t="s">
        <v>762</v>
      </c>
      <c r="C25" s="231" t="s">
        <v>19</v>
      </c>
      <c r="D25" s="232">
        <f t="shared" si="0"/>
        <v>0</v>
      </c>
      <c r="E25" s="232" t="s">
        <v>753</v>
      </c>
      <c r="F25" s="241"/>
      <c r="G25" s="241"/>
      <c r="H25" s="241"/>
      <c r="I25" s="241"/>
      <c r="J25" s="241"/>
      <c r="K25" s="241"/>
      <c r="L25" s="241"/>
      <c r="M25" s="241"/>
      <c r="N25" s="241"/>
      <c r="O25" s="241"/>
      <c r="P25" s="241"/>
      <c r="Q25" s="241"/>
    </row>
    <row r="26" outlineLevel="1" spans="1:17">
      <c r="A26" s="216">
        <v>6</v>
      </c>
      <c r="B26" s="237" t="s">
        <v>765</v>
      </c>
      <c r="C26" s="238" t="s">
        <v>2377</v>
      </c>
      <c r="D26" s="239">
        <f t="shared" si="0"/>
        <v>0</v>
      </c>
      <c r="E26" s="239" t="s">
        <v>753</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765</v>
      </c>
      <c r="C27" s="225" t="s">
        <v>109</v>
      </c>
      <c r="D27" s="226">
        <f t="shared" si="0"/>
        <v>0</v>
      </c>
      <c r="E27" s="226" t="s">
        <v>753</v>
      </c>
      <c r="F27" s="241"/>
      <c r="G27" s="241"/>
      <c r="H27" s="241"/>
      <c r="I27" s="241"/>
      <c r="J27" s="241"/>
      <c r="K27" s="241"/>
      <c r="L27" s="241"/>
      <c r="M27" s="241"/>
      <c r="N27" s="241"/>
      <c r="O27" s="241"/>
      <c r="P27" s="241"/>
      <c r="Q27" s="241"/>
    </row>
    <row r="28" outlineLevel="1" spans="1:17">
      <c r="A28" s="216">
        <v>6</v>
      </c>
      <c r="B28" s="237" t="s">
        <v>765</v>
      </c>
      <c r="C28" s="228" t="s">
        <v>68</v>
      </c>
      <c r="D28" s="229">
        <f t="shared" si="0"/>
        <v>0</v>
      </c>
      <c r="E28" s="229" t="s">
        <v>753</v>
      </c>
      <c r="F28" s="241"/>
      <c r="G28" s="241"/>
      <c r="H28" s="241"/>
      <c r="I28" s="241"/>
      <c r="J28" s="241"/>
      <c r="K28" s="241"/>
      <c r="L28" s="241"/>
      <c r="M28" s="241"/>
      <c r="N28" s="241"/>
      <c r="O28" s="241"/>
      <c r="P28" s="241"/>
      <c r="Q28" s="241"/>
    </row>
    <row r="29" outlineLevel="1" spans="1:17">
      <c r="A29" s="216">
        <v>6</v>
      </c>
      <c r="B29" s="237" t="s">
        <v>765</v>
      </c>
      <c r="C29" s="231" t="s">
        <v>19</v>
      </c>
      <c r="D29" s="232">
        <f t="shared" si="0"/>
        <v>0</v>
      </c>
      <c r="E29" s="232" t="s">
        <v>753</v>
      </c>
      <c r="F29" s="241"/>
      <c r="G29" s="241"/>
      <c r="H29" s="241"/>
      <c r="I29" s="241"/>
      <c r="J29" s="241"/>
      <c r="K29" s="241"/>
      <c r="L29" s="241"/>
      <c r="M29" s="241"/>
      <c r="N29" s="241"/>
      <c r="O29" s="241"/>
      <c r="P29" s="241"/>
      <c r="Q29" s="241"/>
    </row>
    <row r="30" outlineLevel="1" spans="1:17">
      <c r="A30" s="216">
        <v>7</v>
      </c>
      <c r="B30" s="237" t="s">
        <v>768</v>
      </c>
      <c r="C30" s="238" t="s">
        <v>2377</v>
      </c>
      <c r="D30" s="239">
        <f t="shared" si="0"/>
        <v>0</v>
      </c>
      <c r="E30" s="239" t="s">
        <v>753</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768</v>
      </c>
      <c r="C31" s="225" t="s">
        <v>109</v>
      </c>
      <c r="D31" s="226">
        <f t="shared" si="0"/>
        <v>0</v>
      </c>
      <c r="E31" s="226" t="s">
        <v>753</v>
      </c>
      <c r="F31" s="241"/>
      <c r="G31" s="241"/>
      <c r="H31" s="241"/>
      <c r="I31" s="241"/>
      <c r="J31" s="241"/>
      <c r="K31" s="241"/>
      <c r="L31" s="241"/>
      <c r="M31" s="241"/>
      <c r="N31" s="241"/>
      <c r="O31" s="241"/>
      <c r="P31" s="241"/>
      <c r="Q31" s="241"/>
    </row>
    <row r="32" outlineLevel="1" spans="1:17">
      <c r="A32" s="216">
        <v>7</v>
      </c>
      <c r="B32" s="237" t="s">
        <v>768</v>
      </c>
      <c r="C32" s="228" t="s">
        <v>68</v>
      </c>
      <c r="D32" s="229">
        <f t="shared" si="0"/>
        <v>0</v>
      </c>
      <c r="E32" s="229" t="s">
        <v>753</v>
      </c>
      <c r="F32" s="241"/>
      <c r="G32" s="241"/>
      <c r="H32" s="241"/>
      <c r="I32" s="241"/>
      <c r="J32" s="241"/>
      <c r="K32" s="241"/>
      <c r="L32" s="241"/>
      <c r="M32" s="241"/>
      <c r="N32" s="241"/>
      <c r="O32" s="241"/>
      <c r="P32" s="241"/>
      <c r="Q32" s="241"/>
    </row>
    <row r="33" outlineLevel="1" spans="1:17">
      <c r="A33" s="216">
        <v>7</v>
      </c>
      <c r="B33" s="237" t="s">
        <v>768</v>
      </c>
      <c r="C33" s="231" t="s">
        <v>19</v>
      </c>
      <c r="D33" s="232">
        <f t="shared" si="0"/>
        <v>0</v>
      </c>
      <c r="E33" s="232" t="s">
        <v>753</v>
      </c>
      <c r="F33" s="241"/>
      <c r="G33" s="241"/>
      <c r="H33" s="241"/>
      <c r="I33" s="241"/>
      <c r="J33" s="241"/>
      <c r="K33" s="241"/>
      <c r="L33" s="241"/>
      <c r="M33" s="241"/>
      <c r="N33" s="241"/>
      <c r="O33" s="241"/>
      <c r="P33" s="241"/>
      <c r="Q33" s="241"/>
    </row>
    <row r="34" spans="1:17">
      <c r="A34" s="216">
        <v>8</v>
      </c>
      <c r="B34" s="234" t="s">
        <v>203</v>
      </c>
      <c r="C34" s="234" t="s">
        <v>2377</v>
      </c>
      <c r="D34" s="235">
        <f t="shared" si="0"/>
        <v>8.66666666666667</v>
      </c>
      <c r="E34" s="235" t="s">
        <v>753</v>
      </c>
      <c r="F34" s="236">
        <f t="shared" ref="F34:Q34" si="15">F35+F36+F37</f>
        <v>60</v>
      </c>
      <c r="G34" s="236">
        <f t="shared" si="15"/>
        <v>4</v>
      </c>
      <c r="H34" s="236">
        <f t="shared" si="15"/>
        <v>4</v>
      </c>
      <c r="I34" s="236">
        <f t="shared" si="15"/>
        <v>4</v>
      </c>
      <c r="J34" s="236">
        <f t="shared" si="15"/>
        <v>4</v>
      </c>
      <c r="K34" s="236">
        <f t="shared" si="15"/>
        <v>4</v>
      </c>
      <c r="L34" s="236">
        <f t="shared" si="15"/>
        <v>4</v>
      </c>
      <c r="M34" s="236">
        <f t="shared" si="15"/>
        <v>4</v>
      </c>
      <c r="N34" s="236">
        <f t="shared" si="15"/>
        <v>4</v>
      </c>
      <c r="O34" s="236">
        <f t="shared" si="15"/>
        <v>4</v>
      </c>
      <c r="P34" s="236">
        <f t="shared" si="15"/>
        <v>4</v>
      </c>
      <c r="Q34" s="236">
        <f t="shared" si="15"/>
        <v>4</v>
      </c>
    </row>
    <row r="35" spans="1:17">
      <c r="A35" s="216">
        <v>8</v>
      </c>
      <c r="B35" s="234" t="s">
        <v>203</v>
      </c>
      <c r="C35" s="225" t="s">
        <v>109</v>
      </c>
      <c r="D35" s="226">
        <f t="shared" si="0"/>
        <v>5.25</v>
      </c>
      <c r="E35" s="226" t="s">
        <v>753</v>
      </c>
      <c r="F35" s="227">
        <v>19</v>
      </c>
      <c r="G35" s="227">
        <f t="shared" ref="G35:Q35" si="16">G39+G43+G47+G51+G55+G59+G63+G67</f>
        <v>4</v>
      </c>
      <c r="H35" s="227">
        <f t="shared" si="16"/>
        <v>4</v>
      </c>
      <c r="I35" s="227">
        <f t="shared" si="16"/>
        <v>4</v>
      </c>
      <c r="J35" s="227">
        <f t="shared" si="16"/>
        <v>4</v>
      </c>
      <c r="K35" s="227">
        <f t="shared" si="16"/>
        <v>4</v>
      </c>
      <c r="L35" s="227">
        <f t="shared" si="16"/>
        <v>4</v>
      </c>
      <c r="M35" s="227">
        <f t="shared" si="16"/>
        <v>4</v>
      </c>
      <c r="N35" s="227">
        <f t="shared" si="16"/>
        <v>4</v>
      </c>
      <c r="O35" s="227">
        <f t="shared" si="16"/>
        <v>4</v>
      </c>
      <c r="P35" s="227">
        <f t="shared" si="16"/>
        <v>4</v>
      </c>
      <c r="Q35" s="227">
        <f t="shared" si="16"/>
        <v>4</v>
      </c>
    </row>
    <row r="36" spans="1:17">
      <c r="A36" s="216">
        <v>8</v>
      </c>
      <c r="B36" s="234" t="s">
        <v>203</v>
      </c>
      <c r="C36" s="228" t="s">
        <v>68</v>
      </c>
      <c r="D36" s="229">
        <f t="shared" si="0"/>
        <v>20</v>
      </c>
      <c r="E36" s="229" t="s">
        <v>753</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753</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789</v>
      </c>
      <c r="C38" s="238" t="s">
        <v>2377</v>
      </c>
      <c r="D38" s="239">
        <f t="shared" si="0"/>
        <v>4</v>
      </c>
      <c r="E38" s="239" t="s">
        <v>753</v>
      </c>
      <c r="F38" s="240">
        <f t="shared" ref="F38:Q38" si="19">F39+F40+F41</f>
        <v>4</v>
      </c>
      <c r="G38" s="240">
        <f t="shared" si="19"/>
        <v>4</v>
      </c>
      <c r="H38" s="240">
        <f t="shared" si="19"/>
        <v>4</v>
      </c>
      <c r="I38" s="240">
        <f t="shared" si="19"/>
        <v>4</v>
      </c>
      <c r="J38" s="240">
        <f t="shared" si="19"/>
        <v>4</v>
      </c>
      <c r="K38" s="240">
        <f t="shared" si="19"/>
        <v>4</v>
      </c>
      <c r="L38" s="240">
        <f t="shared" si="19"/>
        <v>4</v>
      </c>
      <c r="M38" s="240">
        <f t="shared" si="19"/>
        <v>4</v>
      </c>
      <c r="N38" s="240">
        <f t="shared" si="19"/>
        <v>4</v>
      </c>
      <c r="O38" s="240">
        <f t="shared" si="19"/>
        <v>4</v>
      </c>
      <c r="P38" s="240">
        <f t="shared" si="19"/>
        <v>4</v>
      </c>
      <c r="Q38" s="240">
        <f t="shared" si="19"/>
        <v>4</v>
      </c>
    </row>
    <row r="39" outlineLevel="1" spans="1:17">
      <c r="A39" s="216">
        <v>9</v>
      </c>
      <c r="B39" s="237" t="s">
        <v>789</v>
      </c>
      <c r="C39" s="225" t="s">
        <v>109</v>
      </c>
      <c r="D39" s="226">
        <f t="shared" si="0"/>
        <v>4</v>
      </c>
      <c r="E39" s="226" t="s">
        <v>753</v>
      </c>
      <c r="F39" s="241">
        <v>4</v>
      </c>
      <c r="G39" s="241">
        <v>4</v>
      </c>
      <c r="H39" s="241">
        <v>4</v>
      </c>
      <c r="I39" s="241">
        <v>4</v>
      </c>
      <c r="J39" s="241">
        <v>4</v>
      </c>
      <c r="K39" s="241">
        <v>4</v>
      </c>
      <c r="L39" s="241">
        <v>4</v>
      </c>
      <c r="M39" s="241">
        <v>4</v>
      </c>
      <c r="N39" s="241">
        <v>4</v>
      </c>
      <c r="O39" s="241">
        <v>4</v>
      </c>
      <c r="P39" s="241">
        <v>4</v>
      </c>
      <c r="Q39" s="241">
        <v>4</v>
      </c>
    </row>
    <row r="40" outlineLevel="1" spans="1:17">
      <c r="A40" s="216">
        <v>9</v>
      </c>
      <c r="B40" s="237" t="s">
        <v>789</v>
      </c>
      <c r="C40" s="228" t="s">
        <v>68</v>
      </c>
      <c r="D40" s="229">
        <f t="shared" si="0"/>
        <v>0</v>
      </c>
      <c r="E40" s="229" t="s">
        <v>753</v>
      </c>
      <c r="F40" s="241"/>
      <c r="G40" s="241"/>
      <c r="H40" s="241"/>
      <c r="I40" s="241"/>
      <c r="J40" s="241"/>
      <c r="K40" s="241"/>
      <c r="L40" s="241"/>
      <c r="M40" s="241"/>
      <c r="N40" s="241"/>
      <c r="O40" s="241"/>
      <c r="P40" s="241"/>
      <c r="Q40" s="241"/>
    </row>
    <row r="41" outlineLevel="1" spans="1:17">
      <c r="A41" s="216">
        <v>9</v>
      </c>
      <c r="B41" s="237" t="s">
        <v>789</v>
      </c>
      <c r="C41" s="231" t="s">
        <v>19</v>
      </c>
      <c r="D41" s="232">
        <f t="shared" si="0"/>
        <v>0</v>
      </c>
      <c r="E41" s="232" t="s">
        <v>753</v>
      </c>
      <c r="F41" s="241"/>
      <c r="G41" s="241"/>
      <c r="H41" s="241"/>
      <c r="I41" s="241"/>
      <c r="J41" s="241"/>
      <c r="K41" s="241"/>
      <c r="L41" s="241"/>
      <c r="M41" s="241"/>
      <c r="N41" s="241"/>
      <c r="O41" s="241"/>
      <c r="P41" s="241"/>
      <c r="Q41" s="241"/>
    </row>
    <row r="42" outlineLevel="1" spans="1:17">
      <c r="A42" s="216">
        <v>10</v>
      </c>
      <c r="B42" s="237" t="s">
        <v>792</v>
      </c>
      <c r="C42" s="238" t="s">
        <v>2377</v>
      </c>
      <c r="D42" s="239">
        <f t="shared" si="0"/>
        <v>0</v>
      </c>
      <c r="E42" s="239" t="s">
        <v>753</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792</v>
      </c>
      <c r="C43" s="225" t="s">
        <v>109</v>
      </c>
      <c r="D43" s="226">
        <f t="shared" si="0"/>
        <v>0</v>
      </c>
      <c r="E43" s="226" t="s">
        <v>753</v>
      </c>
      <c r="F43" s="241"/>
      <c r="G43" s="241"/>
      <c r="H43" s="241"/>
      <c r="I43" s="241"/>
      <c r="J43" s="241"/>
      <c r="K43" s="241"/>
      <c r="L43" s="241"/>
      <c r="M43" s="241"/>
      <c r="N43" s="241"/>
      <c r="O43" s="241"/>
      <c r="P43" s="241"/>
      <c r="Q43" s="241"/>
    </row>
    <row r="44" outlineLevel="1" spans="1:17">
      <c r="A44" s="216">
        <v>10</v>
      </c>
      <c r="B44" s="237" t="s">
        <v>792</v>
      </c>
      <c r="C44" s="228" t="s">
        <v>68</v>
      </c>
      <c r="D44" s="229">
        <f t="shared" si="0"/>
        <v>0</v>
      </c>
      <c r="E44" s="229" t="s">
        <v>753</v>
      </c>
      <c r="F44" s="241"/>
      <c r="G44" s="241"/>
      <c r="H44" s="241"/>
      <c r="I44" s="241"/>
      <c r="J44" s="241"/>
      <c r="K44" s="241"/>
      <c r="L44" s="241"/>
      <c r="M44" s="241"/>
      <c r="N44" s="241"/>
      <c r="O44" s="241"/>
      <c r="P44" s="241"/>
      <c r="Q44" s="241"/>
    </row>
    <row r="45" outlineLevel="1" spans="1:17">
      <c r="A45" s="216">
        <v>10</v>
      </c>
      <c r="B45" s="237" t="s">
        <v>792</v>
      </c>
      <c r="C45" s="231" t="s">
        <v>19</v>
      </c>
      <c r="D45" s="232">
        <f t="shared" si="0"/>
        <v>0</v>
      </c>
      <c r="E45" s="232" t="s">
        <v>753</v>
      </c>
      <c r="F45" s="241"/>
      <c r="G45" s="241"/>
      <c r="H45" s="241"/>
      <c r="I45" s="241"/>
      <c r="J45" s="241"/>
      <c r="K45" s="241"/>
      <c r="L45" s="241"/>
      <c r="M45" s="241"/>
      <c r="N45" s="241"/>
      <c r="O45" s="241"/>
      <c r="P45" s="241"/>
      <c r="Q45" s="241"/>
    </row>
    <row r="46" outlineLevel="1" spans="1:17">
      <c r="A46" s="216">
        <v>11</v>
      </c>
      <c r="B46" s="237" t="s">
        <v>794</v>
      </c>
      <c r="C46" s="238" t="s">
        <v>2377</v>
      </c>
      <c r="D46" s="239">
        <f t="shared" si="0"/>
        <v>0</v>
      </c>
      <c r="E46" s="239" t="s">
        <v>753</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794</v>
      </c>
      <c r="C47" s="225" t="s">
        <v>109</v>
      </c>
      <c r="D47" s="226">
        <f t="shared" si="0"/>
        <v>0</v>
      </c>
      <c r="E47" s="226" t="s">
        <v>753</v>
      </c>
      <c r="F47" s="241"/>
      <c r="G47" s="241"/>
      <c r="H47" s="241"/>
      <c r="I47" s="241"/>
      <c r="J47" s="241"/>
      <c r="K47" s="241"/>
      <c r="L47" s="241"/>
      <c r="M47" s="241"/>
      <c r="N47" s="241"/>
      <c r="O47" s="241"/>
      <c r="P47" s="241"/>
      <c r="Q47" s="241"/>
    </row>
    <row r="48" outlineLevel="1" spans="1:17">
      <c r="A48" s="216">
        <v>11</v>
      </c>
      <c r="B48" s="237" t="s">
        <v>794</v>
      </c>
      <c r="C48" s="228" t="s">
        <v>68</v>
      </c>
      <c r="D48" s="229">
        <f t="shared" si="0"/>
        <v>0</v>
      </c>
      <c r="E48" s="229" t="s">
        <v>753</v>
      </c>
      <c r="F48" s="241"/>
      <c r="G48" s="241"/>
      <c r="H48" s="241"/>
      <c r="I48" s="241"/>
      <c r="J48" s="241"/>
      <c r="K48" s="241"/>
      <c r="L48" s="241"/>
      <c r="M48" s="241"/>
      <c r="N48" s="241"/>
      <c r="O48" s="241"/>
      <c r="P48" s="241"/>
      <c r="Q48" s="241"/>
    </row>
    <row r="49" outlineLevel="1" spans="1:17">
      <c r="A49" s="216">
        <v>11</v>
      </c>
      <c r="B49" s="237" t="s">
        <v>794</v>
      </c>
      <c r="C49" s="231" t="s">
        <v>19</v>
      </c>
      <c r="D49" s="232">
        <f t="shared" si="0"/>
        <v>0</v>
      </c>
      <c r="E49" s="232" t="s">
        <v>753</v>
      </c>
      <c r="F49" s="241"/>
      <c r="G49" s="241"/>
      <c r="H49" s="241"/>
      <c r="I49" s="241"/>
      <c r="J49" s="241"/>
      <c r="K49" s="241"/>
      <c r="L49" s="241"/>
      <c r="M49" s="241"/>
      <c r="N49" s="241"/>
      <c r="O49" s="241"/>
      <c r="P49" s="241"/>
      <c r="Q49" s="241"/>
    </row>
    <row r="50" outlineLevel="1" spans="1:17">
      <c r="A50" s="216">
        <v>12</v>
      </c>
      <c r="B50" s="237" t="s">
        <v>797</v>
      </c>
      <c r="C50" s="238" t="s">
        <v>2377</v>
      </c>
      <c r="D50" s="239">
        <f t="shared" si="0"/>
        <v>0</v>
      </c>
      <c r="E50" s="239" t="s">
        <v>753</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797</v>
      </c>
      <c r="C51" s="225" t="s">
        <v>109</v>
      </c>
      <c r="D51" s="226">
        <f t="shared" si="0"/>
        <v>0</v>
      </c>
      <c r="E51" s="226" t="s">
        <v>753</v>
      </c>
      <c r="F51" s="241"/>
      <c r="G51" s="241"/>
      <c r="H51" s="241"/>
      <c r="I51" s="241"/>
      <c r="J51" s="241"/>
      <c r="K51" s="241"/>
      <c r="L51" s="241"/>
      <c r="M51" s="241"/>
      <c r="N51" s="241"/>
      <c r="O51" s="241"/>
      <c r="P51" s="241"/>
      <c r="Q51" s="241"/>
    </row>
    <row r="52" outlineLevel="1" spans="1:17">
      <c r="A52" s="216">
        <v>12</v>
      </c>
      <c r="B52" s="237" t="s">
        <v>797</v>
      </c>
      <c r="C52" s="228" t="s">
        <v>68</v>
      </c>
      <c r="D52" s="229">
        <f t="shared" si="0"/>
        <v>0</v>
      </c>
      <c r="E52" s="229" t="s">
        <v>753</v>
      </c>
      <c r="F52" s="241"/>
      <c r="G52" s="241"/>
      <c r="H52" s="241"/>
      <c r="I52" s="241"/>
      <c r="J52" s="241"/>
      <c r="K52" s="241"/>
      <c r="L52" s="241"/>
      <c r="M52" s="241"/>
      <c r="N52" s="241"/>
      <c r="O52" s="241"/>
      <c r="P52" s="241"/>
      <c r="Q52" s="241"/>
    </row>
    <row r="53" outlineLevel="1" spans="1:17">
      <c r="A53" s="216">
        <v>12</v>
      </c>
      <c r="B53" s="237" t="s">
        <v>797</v>
      </c>
      <c r="C53" s="231" t="s">
        <v>19</v>
      </c>
      <c r="D53" s="232">
        <f t="shared" si="0"/>
        <v>0</v>
      </c>
      <c r="E53" s="232" t="s">
        <v>753</v>
      </c>
      <c r="F53" s="241"/>
      <c r="G53" s="241"/>
      <c r="H53" s="241"/>
      <c r="I53" s="241"/>
      <c r="J53" s="241"/>
      <c r="K53" s="241"/>
      <c r="L53" s="241"/>
      <c r="M53" s="241"/>
      <c r="N53" s="241"/>
      <c r="O53" s="241"/>
      <c r="P53" s="241"/>
      <c r="Q53" s="241"/>
    </row>
    <row r="54" outlineLevel="1" spans="1:17">
      <c r="A54" s="216">
        <v>13</v>
      </c>
      <c r="B54" s="237" t="s">
        <v>800</v>
      </c>
      <c r="C54" s="238" t="s">
        <v>2377</v>
      </c>
      <c r="D54" s="239">
        <f t="shared" si="0"/>
        <v>0</v>
      </c>
      <c r="E54" s="239" t="s">
        <v>753</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800</v>
      </c>
      <c r="C55" s="225" t="s">
        <v>109</v>
      </c>
      <c r="D55" s="226">
        <f t="shared" si="0"/>
        <v>0</v>
      </c>
      <c r="E55" s="226" t="s">
        <v>753</v>
      </c>
      <c r="F55" s="241"/>
      <c r="G55" s="241"/>
      <c r="H55" s="241"/>
      <c r="I55" s="241"/>
      <c r="J55" s="241"/>
      <c r="K55" s="241"/>
      <c r="L55" s="241"/>
      <c r="M55" s="241"/>
      <c r="N55" s="241"/>
      <c r="O55" s="241"/>
      <c r="P55" s="241"/>
      <c r="Q55" s="241"/>
    </row>
    <row r="56" outlineLevel="1" spans="1:17">
      <c r="A56" s="216">
        <v>13</v>
      </c>
      <c r="B56" s="237" t="s">
        <v>800</v>
      </c>
      <c r="C56" s="228" t="s">
        <v>68</v>
      </c>
      <c r="D56" s="229">
        <f t="shared" si="0"/>
        <v>0</v>
      </c>
      <c r="E56" s="229" t="s">
        <v>753</v>
      </c>
      <c r="F56" s="241"/>
      <c r="G56" s="241"/>
      <c r="H56" s="241"/>
      <c r="I56" s="241"/>
      <c r="J56" s="241"/>
      <c r="K56" s="241"/>
      <c r="L56" s="241"/>
      <c r="M56" s="241"/>
      <c r="N56" s="241"/>
      <c r="O56" s="241"/>
      <c r="P56" s="241"/>
      <c r="Q56" s="241"/>
    </row>
    <row r="57" outlineLevel="1" spans="1:17">
      <c r="A57" s="216">
        <v>13</v>
      </c>
      <c r="B57" s="237" t="s">
        <v>800</v>
      </c>
      <c r="C57" s="231" t="s">
        <v>19</v>
      </c>
      <c r="D57" s="232">
        <f t="shared" si="0"/>
        <v>0</v>
      </c>
      <c r="E57" s="232" t="s">
        <v>753</v>
      </c>
      <c r="F57" s="241"/>
      <c r="G57" s="241"/>
      <c r="H57" s="241"/>
      <c r="I57" s="241"/>
      <c r="J57" s="241"/>
      <c r="K57" s="241"/>
      <c r="L57" s="241"/>
      <c r="M57" s="241"/>
      <c r="N57" s="241"/>
      <c r="O57" s="241"/>
      <c r="P57" s="241"/>
      <c r="Q57" s="241"/>
    </row>
    <row r="58" outlineLevel="1" spans="1:17">
      <c r="A58" s="216">
        <v>14</v>
      </c>
      <c r="B58" s="237" t="s">
        <v>803</v>
      </c>
      <c r="C58" s="238" t="s">
        <v>2377</v>
      </c>
      <c r="D58" s="239">
        <f t="shared" si="0"/>
        <v>0</v>
      </c>
      <c r="E58" s="239" t="s">
        <v>753</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803</v>
      </c>
      <c r="C59" s="225" t="s">
        <v>109</v>
      </c>
      <c r="D59" s="226">
        <f t="shared" si="0"/>
        <v>0</v>
      </c>
      <c r="E59" s="226" t="s">
        <v>753</v>
      </c>
      <c r="F59" s="241"/>
      <c r="G59" s="241"/>
      <c r="H59" s="241"/>
      <c r="I59" s="241"/>
      <c r="J59" s="241"/>
      <c r="K59" s="241"/>
      <c r="L59" s="241"/>
      <c r="M59" s="241"/>
      <c r="N59" s="241"/>
      <c r="O59" s="241"/>
      <c r="P59" s="241"/>
      <c r="Q59" s="241"/>
    </row>
    <row r="60" outlineLevel="1" spans="1:17">
      <c r="A60" s="216">
        <v>14</v>
      </c>
      <c r="B60" s="237" t="s">
        <v>803</v>
      </c>
      <c r="C60" s="228" t="s">
        <v>68</v>
      </c>
      <c r="D60" s="229">
        <f t="shared" si="0"/>
        <v>0</v>
      </c>
      <c r="E60" s="229" t="s">
        <v>753</v>
      </c>
      <c r="F60" s="241"/>
      <c r="G60" s="241"/>
      <c r="H60" s="241"/>
      <c r="I60" s="241"/>
      <c r="J60" s="241"/>
      <c r="K60" s="241"/>
      <c r="L60" s="241"/>
      <c r="M60" s="241"/>
      <c r="N60" s="241"/>
      <c r="O60" s="241"/>
      <c r="P60" s="241"/>
      <c r="Q60" s="241"/>
    </row>
    <row r="61" outlineLevel="1" spans="1:17">
      <c r="A61" s="216">
        <v>14</v>
      </c>
      <c r="B61" s="237" t="s">
        <v>803</v>
      </c>
      <c r="C61" s="231" t="s">
        <v>19</v>
      </c>
      <c r="D61" s="232">
        <f t="shared" si="0"/>
        <v>0</v>
      </c>
      <c r="E61" s="232" t="s">
        <v>753</v>
      </c>
      <c r="F61" s="241"/>
      <c r="G61" s="241"/>
      <c r="H61" s="241"/>
      <c r="I61" s="241"/>
      <c r="J61" s="241"/>
      <c r="K61" s="241"/>
      <c r="L61" s="241"/>
      <c r="M61" s="241"/>
      <c r="N61" s="241"/>
      <c r="O61" s="241"/>
      <c r="P61" s="241"/>
      <c r="Q61" s="241"/>
    </row>
    <row r="62" outlineLevel="1" spans="1:17">
      <c r="A62" s="216">
        <v>15</v>
      </c>
      <c r="B62" s="237" t="s">
        <v>806</v>
      </c>
      <c r="C62" s="238" t="s">
        <v>2377</v>
      </c>
      <c r="D62" s="239">
        <f t="shared" si="0"/>
        <v>0</v>
      </c>
      <c r="E62" s="239" t="s">
        <v>753</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806</v>
      </c>
      <c r="C63" s="225" t="s">
        <v>109</v>
      </c>
      <c r="D63" s="226">
        <f t="shared" si="0"/>
        <v>0</v>
      </c>
      <c r="E63" s="226" t="s">
        <v>753</v>
      </c>
      <c r="F63" s="241"/>
      <c r="G63" s="241"/>
      <c r="H63" s="241"/>
      <c r="I63" s="241"/>
      <c r="J63" s="241"/>
      <c r="K63" s="241"/>
      <c r="L63" s="241"/>
      <c r="M63" s="241"/>
      <c r="N63" s="241"/>
      <c r="O63" s="241"/>
      <c r="P63" s="241"/>
      <c r="Q63" s="241"/>
    </row>
    <row r="64" outlineLevel="1" spans="1:17">
      <c r="A64" s="216">
        <v>15</v>
      </c>
      <c r="B64" s="237" t="s">
        <v>806</v>
      </c>
      <c r="C64" s="228" t="s">
        <v>68</v>
      </c>
      <c r="D64" s="229">
        <f t="shared" si="0"/>
        <v>0</v>
      </c>
      <c r="E64" s="229" t="s">
        <v>753</v>
      </c>
      <c r="F64" s="241"/>
      <c r="G64" s="241"/>
      <c r="H64" s="241"/>
      <c r="I64" s="241"/>
      <c r="J64" s="241"/>
      <c r="K64" s="241"/>
      <c r="L64" s="241"/>
      <c r="M64" s="241"/>
      <c r="N64" s="241"/>
      <c r="O64" s="241"/>
      <c r="P64" s="241"/>
      <c r="Q64" s="241"/>
    </row>
    <row r="65" outlineLevel="1" spans="1:17">
      <c r="A65" s="216">
        <v>15</v>
      </c>
      <c r="B65" s="237" t="s">
        <v>806</v>
      </c>
      <c r="C65" s="231" t="s">
        <v>19</v>
      </c>
      <c r="D65" s="232">
        <f t="shared" si="0"/>
        <v>0</v>
      </c>
      <c r="E65" s="232" t="s">
        <v>753</v>
      </c>
      <c r="F65" s="241"/>
      <c r="G65" s="241"/>
      <c r="H65" s="241"/>
      <c r="I65" s="241"/>
      <c r="J65" s="241"/>
      <c r="K65" s="241"/>
      <c r="L65" s="241"/>
      <c r="M65" s="241"/>
      <c r="N65" s="241"/>
      <c r="O65" s="241"/>
      <c r="P65" s="241"/>
      <c r="Q65" s="241"/>
    </row>
    <row r="66" outlineLevel="1" spans="1:17">
      <c r="A66" s="216">
        <v>16</v>
      </c>
      <c r="B66" s="237" t="s">
        <v>809</v>
      </c>
      <c r="C66" s="238" t="s">
        <v>2377</v>
      </c>
      <c r="D66" s="239">
        <f t="shared" ref="D66:D129" si="26">IFERROR(SUM(F66:Q66)/COUNTIF(F66:Q66,"&lt;&gt;0"),0)</f>
        <v>0</v>
      </c>
      <c r="E66" s="239" t="s">
        <v>753</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809</v>
      </c>
      <c r="C67" s="225" t="s">
        <v>109</v>
      </c>
      <c r="D67" s="226">
        <f t="shared" si="26"/>
        <v>0</v>
      </c>
      <c r="E67" s="226" t="s">
        <v>753</v>
      </c>
      <c r="F67" s="241"/>
      <c r="G67" s="241"/>
      <c r="H67" s="241"/>
      <c r="I67" s="241"/>
      <c r="J67" s="241"/>
      <c r="K67" s="241"/>
      <c r="L67" s="241"/>
      <c r="M67" s="241"/>
      <c r="N67" s="241"/>
      <c r="O67" s="241"/>
      <c r="P67" s="241"/>
      <c r="Q67" s="241"/>
    </row>
    <row r="68" outlineLevel="1" spans="1:17">
      <c r="A68" s="216">
        <v>16</v>
      </c>
      <c r="B68" s="237" t="s">
        <v>809</v>
      </c>
      <c r="C68" s="228" t="s">
        <v>68</v>
      </c>
      <c r="D68" s="229">
        <f t="shared" si="26"/>
        <v>0</v>
      </c>
      <c r="E68" s="229" t="s">
        <v>753</v>
      </c>
      <c r="F68" s="241"/>
      <c r="G68" s="241"/>
      <c r="H68" s="241"/>
      <c r="I68" s="241"/>
      <c r="J68" s="241"/>
      <c r="K68" s="241"/>
      <c r="L68" s="241"/>
      <c r="M68" s="241"/>
      <c r="N68" s="241"/>
      <c r="O68" s="241"/>
      <c r="P68" s="241"/>
      <c r="Q68" s="241"/>
    </row>
    <row r="69" outlineLevel="1" spans="1:17">
      <c r="A69" s="216">
        <v>16</v>
      </c>
      <c r="B69" s="237" t="s">
        <v>809</v>
      </c>
      <c r="C69" s="231" t="s">
        <v>19</v>
      </c>
      <c r="D69" s="232">
        <f t="shared" si="26"/>
        <v>0</v>
      </c>
      <c r="E69" s="232" t="s">
        <v>753</v>
      </c>
      <c r="F69" s="241"/>
      <c r="G69" s="241"/>
      <c r="H69" s="241"/>
      <c r="I69" s="241"/>
      <c r="J69" s="241"/>
      <c r="K69" s="241"/>
      <c r="L69" s="241"/>
      <c r="M69" s="241"/>
      <c r="N69" s="241"/>
      <c r="O69" s="241"/>
      <c r="P69" s="241"/>
      <c r="Q69" s="241"/>
    </row>
    <row r="70" spans="1:17">
      <c r="A70" s="216">
        <v>17</v>
      </c>
      <c r="B70" s="234" t="s">
        <v>191</v>
      </c>
      <c r="C70" s="234" t="s">
        <v>2377</v>
      </c>
      <c r="D70" s="235">
        <f t="shared" si="26"/>
        <v>6</v>
      </c>
      <c r="E70" s="235" t="s">
        <v>753</v>
      </c>
      <c r="F70" s="236">
        <f t="shared" ref="F70:Q70" si="28">F71+F72+F73</f>
        <v>6</v>
      </c>
      <c r="G70" s="236">
        <f t="shared" si="28"/>
        <v>6</v>
      </c>
      <c r="H70" s="236">
        <f t="shared" si="28"/>
        <v>6</v>
      </c>
      <c r="I70" s="236">
        <f t="shared" si="28"/>
        <v>6</v>
      </c>
      <c r="J70" s="236">
        <f t="shared" si="28"/>
        <v>6</v>
      </c>
      <c r="K70" s="236">
        <f t="shared" si="28"/>
        <v>6</v>
      </c>
      <c r="L70" s="236">
        <f t="shared" si="28"/>
        <v>6</v>
      </c>
      <c r="M70" s="236">
        <f t="shared" si="28"/>
        <v>6</v>
      </c>
      <c r="N70" s="236">
        <f t="shared" si="28"/>
        <v>6</v>
      </c>
      <c r="O70" s="236">
        <f t="shared" si="28"/>
        <v>6</v>
      </c>
      <c r="P70" s="236">
        <f t="shared" si="28"/>
        <v>6</v>
      </c>
      <c r="Q70" s="236">
        <f t="shared" si="28"/>
        <v>6</v>
      </c>
    </row>
    <row r="71" spans="1:17">
      <c r="A71" s="216">
        <v>17</v>
      </c>
      <c r="B71" s="234" t="s">
        <v>191</v>
      </c>
      <c r="C71" s="225" t="s">
        <v>109</v>
      </c>
      <c r="D71" s="226">
        <f t="shared" si="26"/>
        <v>2</v>
      </c>
      <c r="E71" s="226" t="s">
        <v>753</v>
      </c>
      <c r="F71" s="227">
        <f t="shared" ref="F71:Q71" si="29">F75+F79+F83+F87+F91+F95+F99+F103+F107+F111</f>
        <v>2</v>
      </c>
      <c r="G71" s="227">
        <f t="shared" si="29"/>
        <v>2</v>
      </c>
      <c r="H71" s="227">
        <f t="shared" si="29"/>
        <v>2</v>
      </c>
      <c r="I71" s="227">
        <f t="shared" si="29"/>
        <v>2</v>
      </c>
      <c r="J71" s="227">
        <f t="shared" si="29"/>
        <v>2</v>
      </c>
      <c r="K71" s="227">
        <f t="shared" si="29"/>
        <v>2</v>
      </c>
      <c r="L71" s="227">
        <f t="shared" si="29"/>
        <v>2</v>
      </c>
      <c r="M71" s="227">
        <f t="shared" si="29"/>
        <v>2</v>
      </c>
      <c r="N71" s="227">
        <f t="shared" si="29"/>
        <v>2</v>
      </c>
      <c r="O71" s="227">
        <f t="shared" si="29"/>
        <v>2</v>
      </c>
      <c r="P71" s="227">
        <f t="shared" si="29"/>
        <v>2</v>
      </c>
      <c r="Q71" s="227">
        <f t="shared" si="29"/>
        <v>2</v>
      </c>
    </row>
    <row r="72" spans="1:17">
      <c r="A72" s="216">
        <v>17</v>
      </c>
      <c r="B72" s="234" t="s">
        <v>191</v>
      </c>
      <c r="C72" s="228" t="s">
        <v>68</v>
      </c>
      <c r="D72" s="229">
        <f t="shared" si="26"/>
        <v>0</v>
      </c>
      <c r="E72" s="229" t="s">
        <v>753</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4</v>
      </c>
      <c r="E73" s="232" t="s">
        <v>753</v>
      </c>
      <c r="F73" s="233">
        <f t="shared" ref="F73:Q73" si="31">F77+F81+F85+F89+F93+F97+F101+F105+F109+F113</f>
        <v>4</v>
      </c>
      <c r="G73" s="233">
        <f t="shared" si="31"/>
        <v>4</v>
      </c>
      <c r="H73" s="233">
        <f t="shared" si="31"/>
        <v>4</v>
      </c>
      <c r="I73" s="233">
        <f t="shared" si="31"/>
        <v>4</v>
      </c>
      <c r="J73" s="233">
        <f t="shared" si="31"/>
        <v>4</v>
      </c>
      <c r="K73" s="233">
        <f t="shared" si="31"/>
        <v>4</v>
      </c>
      <c r="L73" s="233">
        <f t="shared" si="31"/>
        <v>4</v>
      </c>
      <c r="M73" s="233">
        <f t="shared" si="31"/>
        <v>4</v>
      </c>
      <c r="N73" s="233">
        <f t="shared" si="31"/>
        <v>4</v>
      </c>
      <c r="O73" s="233">
        <f t="shared" si="31"/>
        <v>4</v>
      </c>
      <c r="P73" s="233">
        <f t="shared" si="31"/>
        <v>4</v>
      </c>
      <c r="Q73" s="233">
        <f t="shared" si="31"/>
        <v>4</v>
      </c>
    </row>
    <row r="74" outlineLevel="1" spans="1:17">
      <c r="A74" s="216">
        <v>18</v>
      </c>
      <c r="B74" s="237" t="s">
        <v>833</v>
      </c>
      <c r="C74" s="238" t="s">
        <v>2377</v>
      </c>
      <c r="D74" s="239">
        <f t="shared" si="26"/>
        <v>6</v>
      </c>
      <c r="E74" s="239" t="s">
        <v>753</v>
      </c>
      <c r="F74" s="240">
        <f t="shared" ref="F74:Q74" si="32">F75+F76+F77</f>
        <v>6</v>
      </c>
      <c r="G74" s="240">
        <f t="shared" si="32"/>
        <v>6</v>
      </c>
      <c r="H74" s="240">
        <f t="shared" si="32"/>
        <v>6</v>
      </c>
      <c r="I74" s="240">
        <f t="shared" si="32"/>
        <v>6</v>
      </c>
      <c r="J74" s="240">
        <f t="shared" si="32"/>
        <v>6</v>
      </c>
      <c r="K74" s="240">
        <f t="shared" si="32"/>
        <v>6</v>
      </c>
      <c r="L74" s="240">
        <f t="shared" si="32"/>
        <v>6</v>
      </c>
      <c r="M74" s="240">
        <f t="shared" si="32"/>
        <v>6</v>
      </c>
      <c r="N74" s="240">
        <f t="shared" si="32"/>
        <v>6</v>
      </c>
      <c r="O74" s="240">
        <f t="shared" si="32"/>
        <v>6</v>
      </c>
      <c r="P74" s="240">
        <f t="shared" si="32"/>
        <v>6</v>
      </c>
      <c r="Q74" s="240">
        <f t="shared" si="32"/>
        <v>6</v>
      </c>
    </row>
    <row r="75" outlineLevel="1" spans="1:17">
      <c r="A75" s="216">
        <v>18</v>
      </c>
      <c r="B75" s="237" t="s">
        <v>833</v>
      </c>
      <c r="C75" s="225" t="s">
        <v>109</v>
      </c>
      <c r="D75" s="226">
        <f t="shared" si="26"/>
        <v>2</v>
      </c>
      <c r="E75" s="226" t="s">
        <v>753</v>
      </c>
      <c r="F75" s="241">
        <v>2</v>
      </c>
      <c r="G75" s="241">
        <v>2</v>
      </c>
      <c r="H75" s="241">
        <v>2</v>
      </c>
      <c r="I75" s="241">
        <v>2</v>
      </c>
      <c r="J75" s="241">
        <v>2</v>
      </c>
      <c r="K75" s="241">
        <v>2</v>
      </c>
      <c r="L75" s="241">
        <v>2</v>
      </c>
      <c r="M75" s="241">
        <v>2</v>
      </c>
      <c r="N75" s="241">
        <v>2</v>
      </c>
      <c r="O75" s="241">
        <v>2</v>
      </c>
      <c r="P75" s="241">
        <v>2</v>
      </c>
      <c r="Q75" s="241">
        <v>2</v>
      </c>
    </row>
    <row r="76" outlineLevel="1" spans="1:17">
      <c r="A76" s="216">
        <v>18</v>
      </c>
      <c r="B76" s="237" t="s">
        <v>833</v>
      </c>
      <c r="C76" s="228" t="s">
        <v>68</v>
      </c>
      <c r="D76" s="229">
        <f t="shared" si="26"/>
        <v>0</v>
      </c>
      <c r="E76" s="229" t="s">
        <v>753</v>
      </c>
      <c r="F76" s="241"/>
      <c r="G76" s="241"/>
      <c r="H76" s="241"/>
      <c r="I76" s="241"/>
      <c r="J76" s="241"/>
      <c r="K76" s="241"/>
      <c r="L76" s="241"/>
      <c r="M76" s="241"/>
      <c r="N76" s="241"/>
      <c r="O76" s="241"/>
      <c r="P76" s="241"/>
      <c r="Q76" s="241"/>
    </row>
    <row r="77" outlineLevel="1" spans="1:17">
      <c r="A77" s="216">
        <v>18</v>
      </c>
      <c r="B77" s="237" t="s">
        <v>833</v>
      </c>
      <c r="C77" s="231" t="s">
        <v>19</v>
      </c>
      <c r="D77" s="232">
        <f t="shared" si="26"/>
        <v>4</v>
      </c>
      <c r="E77" s="232" t="s">
        <v>753</v>
      </c>
      <c r="F77" s="241">
        <v>4</v>
      </c>
      <c r="G77" s="241">
        <v>4</v>
      </c>
      <c r="H77" s="241">
        <v>4</v>
      </c>
      <c r="I77" s="241">
        <v>4</v>
      </c>
      <c r="J77" s="241">
        <v>4</v>
      </c>
      <c r="K77" s="241">
        <v>4</v>
      </c>
      <c r="L77" s="241">
        <v>4</v>
      </c>
      <c r="M77" s="241">
        <v>4</v>
      </c>
      <c r="N77" s="241">
        <v>4</v>
      </c>
      <c r="O77" s="241">
        <v>4</v>
      </c>
      <c r="P77" s="241">
        <v>4</v>
      </c>
      <c r="Q77" s="241">
        <v>4</v>
      </c>
    </row>
    <row r="78" outlineLevel="1" spans="1:17">
      <c r="A78" s="216">
        <v>19</v>
      </c>
      <c r="B78" s="237" t="s">
        <v>836</v>
      </c>
      <c r="C78" s="238" t="s">
        <v>2377</v>
      </c>
      <c r="D78" s="239">
        <f t="shared" si="26"/>
        <v>0</v>
      </c>
      <c r="E78" s="239" t="s">
        <v>753</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836</v>
      </c>
      <c r="C79" s="225" t="s">
        <v>109</v>
      </c>
      <c r="D79" s="226">
        <f t="shared" si="26"/>
        <v>0</v>
      </c>
      <c r="E79" s="226" t="s">
        <v>753</v>
      </c>
      <c r="F79" s="241"/>
      <c r="G79" s="241"/>
      <c r="H79" s="241"/>
      <c r="I79" s="241"/>
      <c r="J79" s="241"/>
      <c r="K79" s="241"/>
      <c r="L79" s="241"/>
      <c r="M79" s="241"/>
      <c r="N79" s="241"/>
      <c r="O79" s="241"/>
      <c r="P79" s="241"/>
      <c r="Q79" s="241"/>
    </row>
    <row r="80" outlineLevel="1" spans="1:17">
      <c r="A80" s="216">
        <v>19</v>
      </c>
      <c r="B80" s="237" t="s">
        <v>836</v>
      </c>
      <c r="C80" s="228" t="s">
        <v>68</v>
      </c>
      <c r="D80" s="229">
        <f t="shared" si="26"/>
        <v>0</v>
      </c>
      <c r="E80" s="229" t="s">
        <v>753</v>
      </c>
      <c r="F80" s="241"/>
      <c r="G80" s="241"/>
      <c r="H80" s="241"/>
      <c r="I80" s="241"/>
      <c r="J80" s="241"/>
      <c r="K80" s="241"/>
      <c r="L80" s="241"/>
      <c r="M80" s="241"/>
      <c r="N80" s="241"/>
      <c r="O80" s="241"/>
      <c r="P80" s="241"/>
      <c r="Q80" s="241"/>
    </row>
    <row r="81" outlineLevel="1" spans="1:17">
      <c r="A81" s="216">
        <v>19</v>
      </c>
      <c r="B81" s="237" t="s">
        <v>836</v>
      </c>
      <c r="C81" s="231" t="s">
        <v>19</v>
      </c>
      <c r="D81" s="232">
        <f t="shared" si="26"/>
        <v>0</v>
      </c>
      <c r="E81" s="232" t="s">
        <v>753</v>
      </c>
      <c r="F81" s="241"/>
      <c r="G81" s="241"/>
      <c r="H81" s="241"/>
      <c r="I81" s="241"/>
      <c r="J81" s="241"/>
      <c r="K81" s="241"/>
      <c r="L81" s="241"/>
      <c r="M81" s="241"/>
      <c r="N81" s="241"/>
      <c r="O81" s="241"/>
      <c r="P81" s="241"/>
      <c r="Q81" s="241"/>
    </row>
    <row r="82" outlineLevel="1" spans="1:17">
      <c r="A82" s="216">
        <v>20</v>
      </c>
      <c r="B82" s="237" t="s">
        <v>839</v>
      </c>
      <c r="C82" s="238" t="s">
        <v>2377</v>
      </c>
      <c r="D82" s="239">
        <f t="shared" si="26"/>
        <v>0</v>
      </c>
      <c r="E82" s="239" t="s">
        <v>753</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839</v>
      </c>
      <c r="C83" s="225" t="s">
        <v>109</v>
      </c>
      <c r="D83" s="226">
        <f t="shared" si="26"/>
        <v>0</v>
      </c>
      <c r="E83" s="226" t="s">
        <v>753</v>
      </c>
      <c r="F83" s="241"/>
      <c r="G83" s="241"/>
      <c r="H83" s="241"/>
      <c r="I83" s="241"/>
      <c r="J83" s="241"/>
      <c r="K83" s="241"/>
      <c r="L83" s="241"/>
      <c r="M83" s="241"/>
      <c r="N83" s="241"/>
      <c r="O83" s="241"/>
      <c r="P83" s="241"/>
      <c r="Q83" s="241"/>
    </row>
    <row r="84" outlineLevel="1" spans="1:17">
      <c r="A84" s="216">
        <v>20</v>
      </c>
      <c r="B84" s="237" t="s">
        <v>839</v>
      </c>
      <c r="C84" s="228" t="s">
        <v>68</v>
      </c>
      <c r="D84" s="229">
        <f t="shared" si="26"/>
        <v>0</v>
      </c>
      <c r="E84" s="229" t="s">
        <v>753</v>
      </c>
      <c r="F84" s="241"/>
      <c r="G84" s="241"/>
      <c r="H84" s="241"/>
      <c r="I84" s="241"/>
      <c r="J84" s="241"/>
      <c r="K84" s="241"/>
      <c r="L84" s="241"/>
      <c r="M84" s="241"/>
      <c r="N84" s="241"/>
      <c r="O84" s="241"/>
      <c r="P84" s="241"/>
      <c r="Q84" s="241"/>
    </row>
    <row r="85" outlineLevel="1" spans="1:17">
      <c r="A85" s="216">
        <v>20</v>
      </c>
      <c r="B85" s="237" t="s">
        <v>839</v>
      </c>
      <c r="C85" s="231" t="s">
        <v>19</v>
      </c>
      <c r="D85" s="232">
        <f t="shared" si="26"/>
        <v>0</v>
      </c>
      <c r="E85" s="232" t="s">
        <v>753</v>
      </c>
      <c r="F85" s="241"/>
      <c r="G85" s="241"/>
      <c r="H85" s="241"/>
      <c r="I85" s="241"/>
      <c r="J85" s="241"/>
      <c r="K85" s="241"/>
      <c r="L85" s="241"/>
      <c r="M85" s="241"/>
      <c r="N85" s="241"/>
      <c r="O85" s="241"/>
      <c r="P85" s="241"/>
      <c r="Q85" s="241"/>
    </row>
    <row r="86" outlineLevel="1" spans="1:17">
      <c r="A86" s="216">
        <v>21</v>
      </c>
      <c r="B86" s="237" t="s">
        <v>842</v>
      </c>
      <c r="C86" s="238" t="s">
        <v>2377</v>
      </c>
      <c r="D86" s="239">
        <f t="shared" si="26"/>
        <v>0</v>
      </c>
      <c r="E86" s="239" t="s">
        <v>753</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842</v>
      </c>
      <c r="C87" s="225" t="s">
        <v>109</v>
      </c>
      <c r="D87" s="226">
        <f t="shared" si="26"/>
        <v>0</v>
      </c>
      <c r="E87" s="226" t="s">
        <v>753</v>
      </c>
      <c r="F87" s="241"/>
      <c r="G87" s="241"/>
      <c r="H87" s="241"/>
      <c r="I87" s="241"/>
      <c r="J87" s="241"/>
      <c r="K87" s="241"/>
      <c r="L87" s="241"/>
      <c r="M87" s="241"/>
      <c r="N87" s="241"/>
      <c r="O87" s="241"/>
      <c r="P87" s="241"/>
      <c r="Q87" s="241"/>
    </row>
    <row r="88" outlineLevel="1" spans="1:17">
      <c r="A88" s="216">
        <v>21</v>
      </c>
      <c r="B88" s="237" t="s">
        <v>842</v>
      </c>
      <c r="C88" s="228" t="s">
        <v>68</v>
      </c>
      <c r="D88" s="229">
        <f t="shared" si="26"/>
        <v>0</v>
      </c>
      <c r="E88" s="229" t="s">
        <v>753</v>
      </c>
      <c r="F88" s="241"/>
      <c r="G88" s="241"/>
      <c r="H88" s="241"/>
      <c r="I88" s="241"/>
      <c r="J88" s="241"/>
      <c r="K88" s="241"/>
      <c r="L88" s="241"/>
      <c r="M88" s="241"/>
      <c r="N88" s="241"/>
      <c r="O88" s="241"/>
      <c r="P88" s="241"/>
      <c r="Q88" s="241"/>
    </row>
    <row r="89" outlineLevel="1" spans="1:17">
      <c r="A89" s="216">
        <v>21</v>
      </c>
      <c r="B89" s="237" t="s">
        <v>842</v>
      </c>
      <c r="C89" s="231" t="s">
        <v>19</v>
      </c>
      <c r="D89" s="232">
        <f t="shared" si="26"/>
        <v>0</v>
      </c>
      <c r="E89" s="232" t="s">
        <v>753</v>
      </c>
      <c r="F89" s="241"/>
      <c r="G89" s="241"/>
      <c r="H89" s="241"/>
      <c r="I89" s="241"/>
      <c r="J89" s="241"/>
      <c r="K89" s="241"/>
      <c r="L89" s="241"/>
      <c r="M89" s="241"/>
      <c r="N89" s="241"/>
      <c r="O89" s="241"/>
      <c r="P89" s="241"/>
      <c r="Q89" s="241"/>
    </row>
    <row r="90" outlineLevel="1" spans="1:17">
      <c r="A90" s="216">
        <v>22</v>
      </c>
      <c r="B90" s="237" t="s">
        <v>845</v>
      </c>
      <c r="C90" s="238" t="s">
        <v>2377</v>
      </c>
      <c r="D90" s="239">
        <f t="shared" si="26"/>
        <v>0</v>
      </c>
      <c r="E90" s="239" t="s">
        <v>753</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845</v>
      </c>
      <c r="C91" s="225" t="s">
        <v>109</v>
      </c>
      <c r="D91" s="226">
        <f t="shared" si="26"/>
        <v>0</v>
      </c>
      <c r="E91" s="226" t="s">
        <v>753</v>
      </c>
      <c r="F91" s="241"/>
      <c r="G91" s="241"/>
      <c r="H91" s="241"/>
      <c r="I91" s="241"/>
      <c r="J91" s="241"/>
      <c r="K91" s="241"/>
      <c r="L91" s="241"/>
      <c r="M91" s="241"/>
      <c r="N91" s="241"/>
      <c r="O91" s="241"/>
      <c r="P91" s="241"/>
      <c r="Q91" s="241"/>
    </row>
    <row r="92" outlineLevel="1" spans="1:17">
      <c r="A92" s="216">
        <v>22</v>
      </c>
      <c r="B92" s="237" t="s">
        <v>845</v>
      </c>
      <c r="C92" s="228" t="s">
        <v>68</v>
      </c>
      <c r="D92" s="229">
        <f t="shared" si="26"/>
        <v>0</v>
      </c>
      <c r="E92" s="229" t="s">
        <v>753</v>
      </c>
      <c r="F92" s="241"/>
      <c r="G92" s="241"/>
      <c r="H92" s="241"/>
      <c r="I92" s="241"/>
      <c r="J92" s="241"/>
      <c r="K92" s="241"/>
      <c r="L92" s="241"/>
      <c r="M92" s="241"/>
      <c r="N92" s="241"/>
      <c r="O92" s="241"/>
      <c r="P92" s="241"/>
      <c r="Q92" s="241"/>
    </row>
    <row r="93" outlineLevel="1" spans="1:17">
      <c r="A93" s="216">
        <v>22</v>
      </c>
      <c r="B93" s="237" t="s">
        <v>845</v>
      </c>
      <c r="C93" s="231" t="s">
        <v>19</v>
      </c>
      <c r="D93" s="232">
        <f t="shared" si="26"/>
        <v>0</v>
      </c>
      <c r="E93" s="232" t="s">
        <v>753</v>
      </c>
      <c r="F93" s="241"/>
      <c r="G93" s="241"/>
      <c r="H93" s="241"/>
      <c r="I93" s="241"/>
      <c r="J93" s="241"/>
      <c r="K93" s="241"/>
      <c r="L93" s="241"/>
      <c r="M93" s="241"/>
      <c r="N93" s="241"/>
      <c r="O93" s="241"/>
      <c r="P93" s="241"/>
      <c r="Q93" s="241"/>
    </row>
    <row r="94" outlineLevel="1" spans="1:17">
      <c r="A94" s="216">
        <v>23</v>
      </c>
      <c r="B94" s="237" t="s">
        <v>848</v>
      </c>
      <c r="C94" s="238" t="s">
        <v>2377</v>
      </c>
      <c r="D94" s="239">
        <f t="shared" si="26"/>
        <v>0</v>
      </c>
      <c r="E94" s="239" t="s">
        <v>753</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848</v>
      </c>
      <c r="C95" s="225" t="s">
        <v>109</v>
      </c>
      <c r="D95" s="226">
        <f t="shared" si="26"/>
        <v>0</v>
      </c>
      <c r="E95" s="226" t="s">
        <v>753</v>
      </c>
      <c r="F95" s="241"/>
      <c r="G95" s="241"/>
      <c r="H95" s="241"/>
      <c r="I95" s="241"/>
      <c r="J95" s="241"/>
      <c r="K95" s="241"/>
      <c r="L95" s="241"/>
      <c r="M95" s="241"/>
      <c r="N95" s="241"/>
      <c r="O95" s="241"/>
      <c r="P95" s="241"/>
      <c r="Q95" s="241"/>
    </row>
    <row r="96" outlineLevel="1" spans="1:17">
      <c r="A96" s="216">
        <v>23</v>
      </c>
      <c r="B96" s="237" t="s">
        <v>848</v>
      </c>
      <c r="C96" s="228" t="s">
        <v>68</v>
      </c>
      <c r="D96" s="229">
        <f t="shared" si="26"/>
        <v>0</v>
      </c>
      <c r="E96" s="229" t="s">
        <v>753</v>
      </c>
      <c r="F96" s="241"/>
      <c r="G96" s="241"/>
      <c r="H96" s="241"/>
      <c r="I96" s="241"/>
      <c r="J96" s="241"/>
      <c r="K96" s="241"/>
      <c r="L96" s="241"/>
      <c r="M96" s="241"/>
      <c r="N96" s="241"/>
      <c r="O96" s="241"/>
      <c r="P96" s="241"/>
      <c r="Q96" s="241"/>
    </row>
    <row r="97" outlineLevel="1" spans="1:17">
      <c r="A97" s="216">
        <v>23</v>
      </c>
      <c r="B97" s="237" t="s">
        <v>848</v>
      </c>
      <c r="C97" s="231" t="s">
        <v>19</v>
      </c>
      <c r="D97" s="232">
        <f t="shared" si="26"/>
        <v>0</v>
      </c>
      <c r="E97" s="232" t="s">
        <v>753</v>
      </c>
      <c r="F97" s="241"/>
      <c r="G97" s="241"/>
      <c r="H97" s="241"/>
      <c r="I97" s="241"/>
      <c r="J97" s="241"/>
      <c r="K97" s="241"/>
      <c r="L97" s="241"/>
      <c r="M97" s="241"/>
      <c r="N97" s="241"/>
      <c r="O97" s="241"/>
      <c r="P97" s="241"/>
      <c r="Q97" s="241"/>
    </row>
    <row r="98" outlineLevel="1" spans="1:17">
      <c r="A98" s="216">
        <v>24</v>
      </c>
      <c r="B98" s="237" t="s">
        <v>851</v>
      </c>
      <c r="C98" s="238" t="s">
        <v>2377</v>
      </c>
      <c r="D98" s="239">
        <f t="shared" si="26"/>
        <v>0</v>
      </c>
      <c r="E98" s="239" t="s">
        <v>753</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851</v>
      </c>
      <c r="C99" s="225" t="s">
        <v>109</v>
      </c>
      <c r="D99" s="226">
        <f t="shared" si="26"/>
        <v>0</v>
      </c>
      <c r="E99" s="226" t="s">
        <v>753</v>
      </c>
      <c r="F99" s="241"/>
      <c r="G99" s="241"/>
      <c r="H99" s="241"/>
      <c r="I99" s="241"/>
      <c r="J99" s="241"/>
      <c r="K99" s="241"/>
      <c r="L99" s="241"/>
      <c r="M99" s="241"/>
      <c r="N99" s="241"/>
      <c r="O99" s="241"/>
      <c r="P99" s="241"/>
      <c r="Q99" s="241"/>
    </row>
    <row r="100" outlineLevel="1" spans="1:17">
      <c r="A100" s="216">
        <v>24</v>
      </c>
      <c r="B100" s="237" t="s">
        <v>851</v>
      </c>
      <c r="C100" s="228" t="s">
        <v>68</v>
      </c>
      <c r="D100" s="229">
        <f t="shared" si="26"/>
        <v>0</v>
      </c>
      <c r="E100" s="229" t="s">
        <v>753</v>
      </c>
      <c r="F100" s="241"/>
      <c r="G100" s="241"/>
      <c r="H100" s="241"/>
      <c r="I100" s="241"/>
      <c r="J100" s="241"/>
      <c r="K100" s="241"/>
      <c r="L100" s="241"/>
      <c r="M100" s="241"/>
      <c r="N100" s="241"/>
      <c r="O100" s="241"/>
      <c r="P100" s="241"/>
      <c r="Q100" s="241"/>
    </row>
    <row r="101" outlineLevel="1" spans="1:17">
      <c r="A101" s="216">
        <v>24</v>
      </c>
      <c r="B101" s="237" t="s">
        <v>851</v>
      </c>
      <c r="C101" s="231" t="s">
        <v>19</v>
      </c>
      <c r="D101" s="232">
        <f t="shared" si="26"/>
        <v>0</v>
      </c>
      <c r="E101" s="232" t="s">
        <v>753</v>
      </c>
      <c r="F101" s="241"/>
      <c r="G101" s="241"/>
      <c r="H101" s="241"/>
      <c r="I101" s="241"/>
      <c r="J101" s="241"/>
      <c r="K101" s="241"/>
      <c r="L101" s="241"/>
      <c r="M101" s="241"/>
      <c r="N101" s="241"/>
      <c r="O101" s="241"/>
      <c r="P101" s="241"/>
      <c r="Q101" s="241"/>
    </row>
    <row r="102" outlineLevel="1" spans="1:17">
      <c r="A102" s="216">
        <v>25</v>
      </c>
      <c r="B102" s="237" t="s">
        <v>854</v>
      </c>
      <c r="C102" s="238" t="s">
        <v>2377</v>
      </c>
      <c r="D102" s="239">
        <f t="shared" si="26"/>
        <v>0</v>
      </c>
      <c r="E102" s="239" t="s">
        <v>753</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854</v>
      </c>
      <c r="C103" s="225" t="s">
        <v>109</v>
      </c>
      <c r="D103" s="226">
        <f t="shared" si="26"/>
        <v>0</v>
      </c>
      <c r="E103" s="226" t="s">
        <v>753</v>
      </c>
      <c r="F103" s="241"/>
      <c r="G103" s="241"/>
      <c r="H103" s="241"/>
      <c r="I103" s="241"/>
      <c r="J103" s="241"/>
      <c r="K103" s="241"/>
      <c r="L103" s="241"/>
      <c r="M103" s="241"/>
      <c r="N103" s="241"/>
      <c r="O103" s="241"/>
      <c r="P103" s="241"/>
      <c r="Q103" s="241"/>
    </row>
    <row r="104" outlineLevel="1" spans="1:17">
      <c r="A104" s="216">
        <v>25</v>
      </c>
      <c r="B104" s="237" t="s">
        <v>854</v>
      </c>
      <c r="C104" s="228" t="s">
        <v>68</v>
      </c>
      <c r="D104" s="229">
        <f t="shared" si="26"/>
        <v>0</v>
      </c>
      <c r="E104" s="229" t="s">
        <v>753</v>
      </c>
      <c r="F104" s="241"/>
      <c r="G104" s="241"/>
      <c r="H104" s="241"/>
      <c r="I104" s="241"/>
      <c r="J104" s="241"/>
      <c r="K104" s="241"/>
      <c r="L104" s="241"/>
      <c r="M104" s="241"/>
      <c r="N104" s="241"/>
      <c r="O104" s="241"/>
      <c r="P104" s="241"/>
      <c r="Q104" s="241"/>
    </row>
    <row r="105" outlineLevel="1" spans="1:17">
      <c r="A105" s="216">
        <v>25</v>
      </c>
      <c r="B105" s="237" t="s">
        <v>854</v>
      </c>
      <c r="C105" s="231" t="s">
        <v>19</v>
      </c>
      <c r="D105" s="232">
        <f t="shared" si="26"/>
        <v>0</v>
      </c>
      <c r="E105" s="232" t="s">
        <v>753</v>
      </c>
      <c r="F105" s="241"/>
      <c r="G105" s="241"/>
      <c r="H105" s="241"/>
      <c r="I105" s="241"/>
      <c r="J105" s="241"/>
      <c r="K105" s="241"/>
      <c r="L105" s="241"/>
      <c r="M105" s="241"/>
      <c r="N105" s="241"/>
      <c r="O105" s="241"/>
      <c r="P105" s="241"/>
      <c r="Q105" s="241"/>
    </row>
    <row r="106" outlineLevel="1" spans="1:17">
      <c r="A106" s="216">
        <v>26</v>
      </c>
      <c r="B106" s="237" t="s">
        <v>857</v>
      </c>
      <c r="C106" s="238" t="s">
        <v>2377</v>
      </c>
      <c r="D106" s="239">
        <f t="shared" si="26"/>
        <v>0</v>
      </c>
      <c r="E106" s="239" t="s">
        <v>753</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857</v>
      </c>
      <c r="C107" s="225" t="s">
        <v>109</v>
      </c>
      <c r="D107" s="226">
        <f t="shared" si="26"/>
        <v>0</v>
      </c>
      <c r="E107" s="226" t="s">
        <v>753</v>
      </c>
      <c r="F107" s="241"/>
      <c r="G107" s="241"/>
      <c r="H107" s="241"/>
      <c r="I107" s="241"/>
      <c r="J107" s="241"/>
      <c r="K107" s="241"/>
      <c r="L107" s="241"/>
      <c r="M107" s="241"/>
      <c r="N107" s="241"/>
      <c r="O107" s="241"/>
      <c r="P107" s="241"/>
      <c r="Q107" s="241"/>
    </row>
    <row r="108" outlineLevel="1" spans="1:17">
      <c r="A108" s="216">
        <v>26</v>
      </c>
      <c r="B108" s="237" t="s">
        <v>857</v>
      </c>
      <c r="C108" s="228" t="s">
        <v>68</v>
      </c>
      <c r="D108" s="229">
        <f t="shared" si="26"/>
        <v>0</v>
      </c>
      <c r="E108" s="229" t="s">
        <v>753</v>
      </c>
      <c r="F108" s="241"/>
      <c r="G108" s="241"/>
      <c r="H108" s="241"/>
      <c r="I108" s="241"/>
      <c r="J108" s="241"/>
      <c r="K108" s="241"/>
      <c r="L108" s="241"/>
      <c r="M108" s="241"/>
      <c r="N108" s="241"/>
      <c r="O108" s="241"/>
      <c r="P108" s="241"/>
      <c r="Q108" s="241"/>
    </row>
    <row r="109" outlineLevel="1" spans="1:17">
      <c r="A109" s="216">
        <v>26</v>
      </c>
      <c r="B109" s="237" t="s">
        <v>857</v>
      </c>
      <c r="C109" s="231" t="s">
        <v>19</v>
      </c>
      <c r="D109" s="232">
        <f t="shared" si="26"/>
        <v>0</v>
      </c>
      <c r="E109" s="232" t="s">
        <v>753</v>
      </c>
      <c r="F109" s="241"/>
      <c r="G109" s="241"/>
      <c r="H109" s="241"/>
      <c r="I109" s="241"/>
      <c r="J109" s="241"/>
      <c r="K109" s="241"/>
      <c r="L109" s="241"/>
      <c r="M109" s="241"/>
      <c r="N109" s="241"/>
      <c r="O109" s="241"/>
      <c r="P109" s="241"/>
      <c r="Q109" s="241"/>
    </row>
    <row r="110" outlineLevel="1" spans="1:17">
      <c r="A110" s="216">
        <v>27</v>
      </c>
      <c r="B110" s="237" t="s">
        <v>860</v>
      </c>
      <c r="C110" s="238" t="s">
        <v>2377</v>
      </c>
      <c r="D110" s="239">
        <f t="shared" si="26"/>
        <v>0</v>
      </c>
      <c r="E110" s="239" t="s">
        <v>753</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860</v>
      </c>
      <c r="C111" s="225" t="s">
        <v>109</v>
      </c>
      <c r="D111" s="226">
        <f t="shared" si="26"/>
        <v>0</v>
      </c>
      <c r="E111" s="226" t="s">
        <v>753</v>
      </c>
      <c r="F111" s="241"/>
      <c r="G111" s="241"/>
      <c r="H111" s="241"/>
      <c r="I111" s="241"/>
      <c r="J111" s="241"/>
      <c r="K111" s="241"/>
      <c r="L111" s="241"/>
      <c r="M111" s="241"/>
      <c r="N111" s="241"/>
      <c r="O111" s="241"/>
      <c r="P111" s="241"/>
      <c r="Q111" s="241"/>
    </row>
    <row r="112" outlineLevel="1" spans="1:17">
      <c r="A112" s="216">
        <v>27</v>
      </c>
      <c r="B112" s="237" t="s">
        <v>860</v>
      </c>
      <c r="C112" s="228" t="s">
        <v>68</v>
      </c>
      <c r="D112" s="229">
        <f t="shared" si="26"/>
        <v>0</v>
      </c>
      <c r="E112" s="229" t="s">
        <v>753</v>
      </c>
      <c r="F112" s="241"/>
      <c r="G112" s="241"/>
      <c r="H112" s="241"/>
      <c r="I112" s="241"/>
      <c r="J112" s="241"/>
      <c r="K112" s="241"/>
      <c r="L112" s="241"/>
      <c r="M112" s="241"/>
      <c r="N112" s="241"/>
      <c r="O112" s="241"/>
      <c r="P112" s="241"/>
      <c r="Q112" s="241"/>
    </row>
    <row r="113" outlineLevel="1" spans="1:17">
      <c r="A113" s="216">
        <v>27</v>
      </c>
      <c r="B113" s="237" t="s">
        <v>860</v>
      </c>
      <c r="C113" s="231" t="s">
        <v>19</v>
      </c>
      <c r="D113" s="232">
        <f t="shared" si="26"/>
        <v>0</v>
      </c>
      <c r="E113" s="232" t="s">
        <v>753</v>
      </c>
      <c r="F113" s="241"/>
      <c r="G113" s="241"/>
      <c r="H113" s="241"/>
      <c r="I113" s="241"/>
      <c r="J113" s="241"/>
      <c r="K113" s="241"/>
      <c r="L113" s="241"/>
      <c r="M113" s="241"/>
      <c r="N113" s="241"/>
      <c r="O113" s="241"/>
      <c r="P113" s="241"/>
      <c r="Q113" s="241"/>
    </row>
    <row r="114" spans="1:17">
      <c r="A114" s="216">
        <v>28</v>
      </c>
      <c r="B114" s="234" t="s">
        <v>195</v>
      </c>
      <c r="C114" s="234" t="s">
        <v>2377</v>
      </c>
      <c r="D114" s="235">
        <f t="shared" si="26"/>
        <v>1</v>
      </c>
      <c r="E114" s="235" t="s">
        <v>753</v>
      </c>
      <c r="F114" s="236">
        <f t="shared" ref="F114:Q114" si="42">F115+F116+F117</f>
        <v>1</v>
      </c>
      <c r="G114" s="236">
        <f t="shared" si="42"/>
        <v>1</v>
      </c>
      <c r="H114" s="236">
        <f t="shared" si="42"/>
        <v>1</v>
      </c>
      <c r="I114" s="236">
        <f t="shared" si="42"/>
        <v>1</v>
      </c>
      <c r="J114" s="236">
        <f t="shared" si="42"/>
        <v>1</v>
      </c>
      <c r="K114" s="236">
        <f t="shared" si="42"/>
        <v>1</v>
      </c>
      <c r="L114" s="236">
        <f t="shared" si="42"/>
        <v>1</v>
      </c>
      <c r="M114" s="236">
        <f t="shared" si="42"/>
        <v>1</v>
      </c>
      <c r="N114" s="236">
        <f t="shared" si="42"/>
        <v>1</v>
      </c>
      <c r="O114" s="236">
        <f t="shared" si="42"/>
        <v>1</v>
      </c>
      <c r="P114" s="236">
        <f t="shared" si="42"/>
        <v>1</v>
      </c>
      <c r="Q114" s="236">
        <f t="shared" si="42"/>
        <v>1</v>
      </c>
    </row>
    <row r="115" spans="1:17">
      <c r="A115" s="216">
        <v>28</v>
      </c>
      <c r="B115" s="234" t="s">
        <v>195</v>
      </c>
      <c r="C115" s="225" t="s">
        <v>109</v>
      </c>
      <c r="D115" s="226">
        <f t="shared" si="26"/>
        <v>1</v>
      </c>
      <c r="E115" s="226" t="s">
        <v>753</v>
      </c>
      <c r="F115" s="227">
        <f t="shared" ref="F115:Q115" si="43">F119+F123+F127+F131+F135+F139+F143+F147+F151</f>
        <v>1</v>
      </c>
      <c r="G115" s="227">
        <f t="shared" si="43"/>
        <v>1</v>
      </c>
      <c r="H115" s="227">
        <f t="shared" si="43"/>
        <v>1</v>
      </c>
      <c r="I115" s="227">
        <f t="shared" si="43"/>
        <v>1</v>
      </c>
      <c r="J115" s="227">
        <f t="shared" si="43"/>
        <v>1</v>
      </c>
      <c r="K115" s="227">
        <f t="shared" si="43"/>
        <v>1</v>
      </c>
      <c r="L115" s="227">
        <f t="shared" si="43"/>
        <v>1</v>
      </c>
      <c r="M115" s="227">
        <f t="shared" si="43"/>
        <v>1</v>
      </c>
      <c r="N115" s="227">
        <f t="shared" si="43"/>
        <v>1</v>
      </c>
      <c r="O115" s="227">
        <f t="shared" si="43"/>
        <v>1</v>
      </c>
      <c r="P115" s="227">
        <f t="shared" si="43"/>
        <v>1</v>
      </c>
      <c r="Q115" s="227">
        <f t="shared" si="43"/>
        <v>1</v>
      </c>
    </row>
    <row r="116" spans="1:17">
      <c r="A116" s="216">
        <v>28</v>
      </c>
      <c r="B116" s="234" t="s">
        <v>195</v>
      </c>
      <c r="C116" s="228" t="s">
        <v>68</v>
      </c>
      <c r="D116" s="229">
        <f t="shared" si="26"/>
        <v>0</v>
      </c>
      <c r="E116" s="229" t="s">
        <v>753</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753</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934</v>
      </c>
      <c r="C118" s="238" t="s">
        <v>2377</v>
      </c>
      <c r="D118" s="239">
        <f t="shared" si="26"/>
        <v>1</v>
      </c>
      <c r="E118" s="239" t="s">
        <v>753</v>
      </c>
      <c r="F118" s="240">
        <f t="shared" ref="F118:Q118" si="46">F119+F120+F121</f>
        <v>1</v>
      </c>
      <c r="G118" s="240">
        <f t="shared" si="46"/>
        <v>1</v>
      </c>
      <c r="H118" s="240">
        <f t="shared" si="46"/>
        <v>1</v>
      </c>
      <c r="I118" s="240">
        <f t="shared" si="46"/>
        <v>1</v>
      </c>
      <c r="J118" s="240">
        <f t="shared" si="46"/>
        <v>1</v>
      </c>
      <c r="K118" s="240">
        <f t="shared" si="46"/>
        <v>1</v>
      </c>
      <c r="L118" s="240">
        <f t="shared" si="46"/>
        <v>1</v>
      </c>
      <c r="M118" s="240">
        <f t="shared" si="46"/>
        <v>1</v>
      </c>
      <c r="N118" s="240">
        <f t="shared" si="46"/>
        <v>1</v>
      </c>
      <c r="O118" s="240">
        <f t="shared" si="46"/>
        <v>1</v>
      </c>
      <c r="P118" s="240">
        <f t="shared" si="46"/>
        <v>1</v>
      </c>
      <c r="Q118" s="240">
        <f t="shared" si="46"/>
        <v>1</v>
      </c>
    </row>
    <row r="119" outlineLevel="1" spans="1:17">
      <c r="A119" s="216">
        <v>29</v>
      </c>
      <c r="B119" s="237" t="s">
        <v>934</v>
      </c>
      <c r="C119" s="225" t="s">
        <v>109</v>
      </c>
      <c r="D119" s="226">
        <f t="shared" si="26"/>
        <v>1</v>
      </c>
      <c r="E119" s="226" t="s">
        <v>753</v>
      </c>
      <c r="F119" s="241">
        <v>1</v>
      </c>
      <c r="G119" s="241">
        <v>1</v>
      </c>
      <c r="H119" s="241">
        <v>1</v>
      </c>
      <c r="I119" s="241">
        <v>1</v>
      </c>
      <c r="J119" s="241">
        <v>1</v>
      </c>
      <c r="K119" s="241">
        <v>1</v>
      </c>
      <c r="L119" s="241">
        <v>1</v>
      </c>
      <c r="M119" s="241">
        <v>1</v>
      </c>
      <c r="N119" s="241">
        <v>1</v>
      </c>
      <c r="O119" s="241">
        <v>1</v>
      </c>
      <c r="P119" s="241">
        <v>1</v>
      </c>
      <c r="Q119" s="241">
        <v>1</v>
      </c>
    </row>
    <row r="120" outlineLevel="1" spans="1:17">
      <c r="A120" s="216">
        <v>29</v>
      </c>
      <c r="B120" s="237" t="s">
        <v>934</v>
      </c>
      <c r="C120" s="228" t="s">
        <v>68</v>
      </c>
      <c r="D120" s="229">
        <f t="shared" si="26"/>
        <v>0</v>
      </c>
      <c r="E120" s="229" t="s">
        <v>753</v>
      </c>
      <c r="F120" s="241"/>
      <c r="G120" s="241"/>
      <c r="H120" s="241"/>
      <c r="I120" s="241"/>
      <c r="J120" s="241"/>
      <c r="K120" s="241"/>
      <c r="L120" s="241"/>
      <c r="M120" s="241"/>
      <c r="N120" s="241"/>
      <c r="O120" s="241"/>
      <c r="P120" s="241"/>
      <c r="Q120" s="241"/>
    </row>
    <row r="121" outlineLevel="1" spans="1:17">
      <c r="A121" s="216">
        <v>29</v>
      </c>
      <c r="B121" s="237" t="s">
        <v>934</v>
      </c>
      <c r="C121" s="231" t="s">
        <v>19</v>
      </c>
      <c r="D121" s="232">
        <f t="shared" si="26"/>
        <v>0</v>
      </c>
      <c r="E121" s="232" t="s">
        <v>753</v>
      </c>
      <c r="F121" s="241"/>
      <c r="G121" s="241"/>
      <c r="H121" s="241"/>
      <c r="I121" s="241"/>
      <c r="J121" s="241"/>
      <c r="K121" s="241"/>
      <c r="L121" s="241"/>
      <c r="M121" s="241"/>
      <c r="N121" s="241"/>
      <c r="O121" s="241"/>
      <c r="P121" s="241"/>
      <c r="Q121" s="241"/>
    </row>
    <row r="122" outlineLevel="1" spans="1:17">
      <c r="A122" s="216">
        <v>30</v>
      </c>
      <c r="B122" s="237" t="s">
        <v>937</v>
      </c>
      <c r="C122" s="238" t="s">
        <v>2377</v>
      </c>
      <c r="D122" s="239">
        <f t="shared" si="26"/>
        <v>0</v>
      </c>
      <c r="E122" s="239" t="s">
        <v>753</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937</v>
      </c>
      <c r="C123" s="225" t="s">
        <v>109</v>
      </c>
      <c r="D123" s="226">
        <f t="shared" si="26"/>
        <v>0</v>
      </c>
      <c r="E123" s="226" t="s">
        <v>753</v>
      </c>
      <c r="F123" s="241"/>
      <c r="G123" s="241"/>
      <c r="H123" s="241"/>
      <c r="I123" s="241"/>
      <c r="J123" s="241"/>
      <c r="K123" s="241"/>
      <c r="L123" s="241"/>
      <c r="M123" s="241"/>
      <c r="N123" s="241"/>
      <c r="O123" s="241"/>
      <c r="P123" s="241"/>
      <c r="Q123" s="241"/>
    </row>
    <row r="124" outlineLevel="1" spans="1:17">
      <c r="A124" s="216">
        <v>30</v>
      </c>
      <c r="B124" s="237" t="s">
        <v>937</v>
      </c>
      <c r="C124" s="228" t="s">
        <v>68</v>
      </c>
      <c r="D124" s="229">
        <f t="shared" si="26"/>
        <v>0</v>
      </c>
      <c r="E124" s="229" t="s">
        <v>753</v>
      </c>
      <c r="F124" s="241"/>
      <c r="G124" s="241"/>
      <c r="H124" s="241"/>
      <c r="I124" s="241"/>
      <c r="J124" s="241"/>
      <c r="K124" s="241"/>
      <c r="L124" s="241"/>
      <c r="M124" s="241"/>
      <c r="N124" s="241"/>
      <c r="O124" s="241"/>
      <c r="P124" s="241"/>
      <c r="Q124" s="241"/>
    </row>
    <row r="125" outlineLevel="1" spans="1:17">
      <c r="A125" s="216">
        <v>30</v>
      </c>
      <c r="B125" s="237" t="s">
        <v>937</v>
      </c>
      <c r="C125" s="231" t="s">
        <v>19</v>
      </c>
      <c r="D125" s="232">
        <f t="shared" si="26"/>
        <v>0</v>
      </c>
      <c r="E125" s="232" t="s">
        <v>753</v>
      </c>
      <c r="F125" s="241"/>
      <c r="G125" s="241"/>
      <c r="H125" s="241"/>
      <c r="I125" s="241"/>
      <c r="J125" s="241"/>
      <c r="K125" s="241"/>
      <c r="L125" s="241"/>
      <c r="M125" s="241"/>
      <c r="N125" s="241"/>
      <c r="O125" s="241"/>
      <c r="P125" s="241"/>
      <c r="Q125" s="241"/>
    </row>
    <row r="126" outlineLevel="1" spans="1:17">
      <c r="A126" s="216">
        <v>31</v>
      </c>
      <c r="B126" s="237" t="s">
        <v>940</v>
      </c>
      <c r="C126" s="238" t="s">
        <v>2377</v>
      </c>
      <c r="D126" s="239">
        <f t="shared" si="26"/>
        <v>0</v>
      </c>
      <c r="E126" s="239" t="s">
        <v>753</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940</v>
      </c>
      <c r="C127" s="225" t="s">
        <v>109</v>
      </c>
      <c r="D127" s="226">
        <f t="shared" si="26"/>
        <v>0</v>
      </c>
      <c r="E127" s="226" t="s">
        <v>753</v>
      </c>
      <c r="F127" s="241"/>
      <c r="G127" s="241"/>
      <c r="H127" s="241"/>
      <c r="I127" s="241"/>
      <c r="J127" s="241"/>
      <c r="K127" s="241"/>
      <c r="L127" s="241"/>
      <c r="M127" s="241"/>
      <c r="N127" s="241"/>
      <c r="O127" s="241"/>
      <c r="P127" s="241"/>
      <c r="Q127" s="241"/>
    </row>
    <row r="128" outlineLevel="1" spans="1:17">
      <c r="A128" s="216">
        <v>31</v>
      </c>
      <c r="B128" s="237" t="s">
        <v>940</v>
      </c>
      <c r="C128" s="228" t="s">
        <v>68</v>
      </c>
      <c r="D128" s="229">
        <f t="shared" si="26"/>
        <v>0</v>
      </c>
      <c r="E128" s="229" t="s">
        <v>753</v>
      </c>
      <c r="F128" s="241"/>
      <c r="G128" s="241"/>
      <c r="H128" s="241"/>
      <c r="I128" s="241"/>
      <c r="J128" s="241"/>
      <c r="K128" s="241"/>
      <c r="L128" s="241"/>
      <c r="M128" s="241"/>
      <c r="N128" s="241"/>
      <c r="O128" s="241"/>
      <c r="P128" s="241"/>
      <c r="Q128" s="241"/>
    </row>
    <row r="129" outlineLevel="1" spans="1:17">
      <c r="A129" s="216">
        <v>31</v>
      </c>
      <c r="B129" s="237" t="s">
        <v>940</v>
      </c>
      <c r="C129" s="231" t="s">
        <v>19</v>
      </c>
      <c r="D129" s="232">
        <f t="shared" si="26"/>
        <v>0</v>
      </c>
      <c r="E129" s="232" t="s">
        <v>753</v>
      </c>
      <c r="F129" s="241"/>
      <c r="G129" s="241"/>
      <c r="H129" s="241"/>
      <c r="I129" s="241"/>
      <c r="J129" s="241"/>
      <c r="K129" s="241"/>
      <c r="L129" s="241"/>
      <c r="M129" s="241"/>
      <c r="N129" s="241"/>
      <c r="O129" s="241"/>
      <c r="P129" s="241"/>
      <c r="Q129" s="241"/>
    </row>
    <row r="130" outlineLevel="1" spans="1:17">
      <c r="A130" s="216">
        <v>32</v>
      </c>
      <c r="B130" s="237" t="s">
        <v>943</v>
      </c>
      <c r="C130" s="238" t="s">
        <v>2377</v>
      </c>
      <c r="D130" s="239">
        <f t="shared" ref="D130:D193" si="49">IFERROR(SUM(F130:Q130)/COUNTIF(F130:Q130,"&lt;&gt;0"),0)</f>
        <v>0</v>
      </c>
      <c r="E130" s="239" t="s">
        <v>753</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943</v>
      </c>
      <c r="C131" s="225" t="s">
        <v>109</v>
      </c>
      <c r="D131" s="226">
        <f t="shared" si="49"/>
        <v>0</v>
      </c>
      <c r="E131" s="226" t="s">
        <v>753</v>
      </c>
      <c r="F131" s="241"/>
      <c r="G131" s="241"/>
      <c r="H131" s="241"/>
      <c r="I131" s="241"/>
      <c r="J131" s="241"/>
      <c r="K131" s="241"/>
      <c r="L131" s="241"/>
      <c r="M131" s="241"/>
      <c r="N131" s="241"/>
      <c r="O131" s="241"/>
      <c r="P131" s="241"/>
      <c r="Q131" s="241"/>
    </row>
    <row r="132" outlineLevel="1" spans="1:17">
      <c r="A132" s="216">
        <v>32</v>
      </c>
      <c r="B132" s="237" t="s">
        <v>943</v>
      </c>
      <c r="C132" s="228" t="s">
        <v>68</v>
      </c>
      <c r="D132" s="229">
        <f t="shared" si="49"/>
        <v>0</v>
      </c>
      <c r="E132" s="229" t="s">
        <v>753</v>
      </c>
      <c r="F132" s="241"/>
      <c r="G132" s="241"/>
      <c r="H132" s="241"/>
      <c r="I132" s="241"/>
      <c r="J132" s="241"/>
      <c r="K132" s="241"/>
      <c r="L132" s="241"/>
      <c r="M132" s="241"/>
      <c r="N132" s="241"/>
      <c r="O132" s="241"/>
      <c r="P132" s="241"/>
      <c r="Q132" s="241"/>
    </row>
    <row r="133" outlineLevel="1" spans="1:17">
      <c r="A133" s="216">
        <v>32</v>
      </c>
      <c r="B133" s="237" t="s">
        <v>943</v>
      </c>
      <c r="C133" s="231" t="s">
        <v>19</v>
      </c>
      <c r="D133" s="232">
        <f t="shared" si="49"/>
        <v>0</v>
      </c>
      <c r="E133" s="232" t="s">
        <v>753</v>
      </c>
      <c r="F133" s="241"/>
      <c r="G133" s="241"/>
      <c r="H133" s="241"/>
      <c r="I133" s="241"/>
      <c r="J133" s="241"/>
      <c r="K133" s="241"/>
      <c r="L133" s="241"/>
      <c r="M133" s="241"/>
      <c r="N133" s="241"/>
      <c r="O133" s="241"/>
      <c r="P133" s="241"/>
      <c r="Q133" s="241"/>
    </row>
    <row r="134" outlineLevel="1" spans="1:17">
      <c r="A134" s="216">
        <v>33</v>
      </c>
      <c r="B134" s="237" t="s">
        <v>946</v>
      </c>
      <c r="C134" s="238" t="s">
        <v>2377</v>
      </c>
      <c r="D134" s="239">
        <f t="shared" si="49"/>
        <v>0</v>
      </c>
      <c r="E134" s="239" t="s">
        <v>753</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946</v>
      </c>
      <c r="C135" s="225" t="s">
        <v>109</v>
      </c>
      <c r="D135" s="226">
        <f t="shared" si="49"/>
        <v>0</v>
      </c>
      <c r="E135" s="226" t="s">
        <v>753</v>
      </c>
      <c r="F135" s="241"/>
      <c r="G135" s="241"/>
      <c r="H135" s="241"/>
      <c r="I135" s="241"/>
      <c r="J135" s="241"/>
      <c r="K135" s="241"/>
      <c r="L135" s="241"/>
      <c r="M135" s="241"/>
      <c r="N135" s="241"/>
      <c r="O135" s="241"/>
      <c r="P135" s="241"/>
      <c r="Q135" s="241"/>
    </row>
    <row r="136" outlineLevel="1" spans="1:17">
      <c r="A136" s="216">
        <v>33</v>
      </c>
      <c r="B136" s="237" t="s">
        <v>946</v>
      </c>
      <c r="C136" s="228" t="s">
        <v>68</v>
      </c>
      <c r="D136" s="229">
        <f t="shared" si="49"/>
        <v>0</v>
      </c>
      <c r="E136" s="229" t="s">
        <v>753</v>
      </c>
      <c r="F136" s="241"/>
      <c r="G136" s="241"/>
      <c r="H136" s="241"/>
      <c r="I136" s="241"/>
      <c r="J136" s="241"/>
      <c r="K136" s="241"/>
      <c r="L136" s="241"/>
      <c r="M136" s="241"/>
      <c r="N136" s="241"/>
      <c r="O136" s="241"/>
      <c r="P136" s="241"/>
      <c r="Q136" s="241"/>
    </row>
    <row r="137" outlineLevel="1" spans="1:17">
      <c r="A137" s="216">
        <v>33</v>
      </c>
      <c r="B137" s="237" t="s">
        <v>946</v>
      </c>
      <c r="C137" s="231" t="s">
        <v>19</v>
      </c>
      <c r="D137" s="232">
        <f t="shared" si="49"/>
        <v>0</v>
      </c>
      <c r="E137" s="232" t="s">
        <v>753</v>
      </c>
      <c r="F137" s="241"/>
      <c r="G137" s="241"/>
      <c r="H137" s="241"/>
      <c r="I137" s="241"/>
      <c r="J137" s="241"/>
      <c r="K137" s="241"/>
      <c r="L137" s="241"/>
      <c r="M137" s="241"/>
      <c r="N137" s="241"/>
      <c r="O137" s="241"/>
      <c r="P137" s="241"/>
      <c r="Q137" s="241"/>
    </row>
    <row r="138" outlineLevel="1" spans="1:17">
      <c r="A138" s="216">
        <v>34</v>
      </c>
      <c r="B138" s="237" t="s">
        <v>948</v>
      </c>
      <c r="C138" s="238" t="s">
        <v>2377</v>
      </c>
      <c r="D138" s="239">
        <f t="shared" si="49"/>
        <v>0</v>
      </c>
      <c r="E138" s="239" t="s">
        <v>753</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948</v>
      </c>
      <c r="C139" s="225" t="s">
        <v>109</v>
      </c>
      <c r="D139" s="226">
        <f t="shared" si="49"/>
        <v>0</v>
      </c>
      <c r="E139" s="226" t="s">
        <v>753</v>
      </c>
      <c r="F139" s="241"/>
      <c r="G139" s="241"/>
      <c r="H139" s="241"/>
      <c r="I139" s="241"/>
      <c r="J139" s="241"/>
      <c r="K139" s="241"/>
      <c r="L139" s="241"/>
      <c r="M139" s="241"/>
      <c r="N139" s="241"/>
      <c r="O139" s="241"/>
      <c r="P139" s="241"/>
      <c r="Q139" s="241"/>
    </row>
    <row r="140" outlineLevel="1" spans="1:17">
      <c r="A140" s="216">
        <v>34</v>
      </c>
      <c r="B140" s="237" t="s">
        <v>948</v>
      </c>
      <c r="C140" s="228" t="s">
        <v>68</v>
      </c>
      <c r="D140" s="229">
        <f t="shared" si="49"/>
        <v>0</v>
      </c>
      <c r="E140" s="229" t="s">
        <v>753</v>
      </c>
      <c r="F140" s="241"/>
      <c r="G140" s="241"/>
      <c r="H140" s="241"/>
      <c r="I140" s="241"/>
      <c r="J140" s="241"/>
      <c r="K140" s="241"/>
      <c r="L140" s="241"/>
      <c r="M140" s="241"/>
      <c r="N140" s="241"/>
      <c r="O140" s="241"/>
      <c r="P140" s="241"/>
      <c r="Q140" s="241"/>
    </row>
    <row r="141" outlineLevel="1" spans="1:17">
      <c r="A141" s="216">
        <v>34</v>
      </c>
      <c r="B141" s="237" t="s">
        <v>948</v>
      </c>
      <c r="C141" s="231" t="s">
        <v>19</v>
      </c>
      <c r="D141" s="232">
        <f t="shared" si="49"/>
        <v>0</v>
      </c>
      <c r="E141" s="232" t="s">
        <v>753</v>
      </c>
      <c r="F141" s="241"/>
      <c r="G141" s="241"/>
      <c r="H141" s="241"/>
      <c r="I141" s="241"/>
      <c r="J141" s="241"/>
      <c r="K141" s="241"/>
      <c r="L141" s="241"/>
      <c r="M141" s="241"/>
      <c r="N141" s="241"/>
      <c r="O141" s="241"/>
      <c r="P141" s="241"/>
      <c r="Q141" s="241"/>
    </row>
    <row r="142" outlineLevel="1" spans="1:17">
      <c r="A142" s="216">
        <v>35</v>
      </c>
      <c r="B142" s="237" t="s">
        <v>950</v>
      </c>
      <c r="C142" s="238" t="s">
        <v>2377</v>
      </c>
      <c r="D142" s="239">
        <f t="shared" si="49"/>
        <v>0</v>
      </c>
      <c r="E142" s="239" t="s">
        <v>753</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950</v>
      </c>
      <c r="C143" s="225" t="s">
        <v>109</v>
      </c>
      <c r="D143" s="226">
        <f t="shared" si="49"/>
        <v>0</v>
      </c>
      <c r="E143" s="226" t="s">
        <v>753</v>
      </c>
      <c r="F143" s="241"/>
      <c r="G143" s="241"/>
      <c r="H143" s="241"/>
      <c r="I143" s="241"/>
      <c r="J143" s="241"/>
      <c r="K143" s="241"/>
      <c r="L143" s="241"/>
      <c r="M143" s="241"/>
      <c r="N143" s="241"/>
      <c r="O143" s="241"/>
      <c r="P143" s="241"/>
      <c r="Q143" s="241"/>
    </row>
    <row r="144" outlineLevel="1" spans="1:17">
      <c r="A144" s="216">
        <v>35</v>
      </c>
      <c r="B144" s="237" t="s">
        <v>950</v>
      </c>
      <c r="C144" s="228" t="s">
        <v>68</v>
      </c>
      <c r="D144" s="229">
        <f t="shared" si="49"/>
        <v>0</v>
      </c>
      <c r="E144" s="229" t="s">
        <v>753</v>
      </c>
      <c r="F144" s="241"/>
      <c r="G144" s="241"/>
      <c r="H144" s="241"/>
      <c r="I144" s="241"/>
      <c r="J144" s="241"/>
      <c r="K144" s="241"/>
      <c r="L144" s="241"/>
      <c r="M144" s="241"/>
      <c r="N144" s="241"/>
      <c r="O144" s="241"/>
      <c r="P144" s="241"/>
      <c r="Q144" s="241"/>
    </row>
    <row r="145" outlineLevel="1" spans="1:17">
      <c r="A145" s="216">
        <v>35</v>
      </c>
      <c r="B145" s="237" t="s">
        <v>950</v>
      </c>
      <c r="C145" s="231" t="s">
        <v>19</v>
      </c>
      <c r="D145" s="232">
        <f t="shared" si="49"/>
        <v>0</v>
      </c>
      <c r="E145" s="232" t="s">
        <v>753</v>
      </c>
      <c r="F145" s="241"/>
      <c r="G145" s="241"/>
      <c r="H145" s="241"/>
      <c r="I145" s="241"/>
      <c r="J145" s="241"/>
      <c r="K145" s="241"/>
      <c r="L145" s="241"/>
      <c r="M145" s="241"/>
      <c r="N145" s="241"/>
      <c r="O145" s="241"/>
      <c r="P145" s="241"/>
      <c r="Q145" s="241"/>
    </row>
    <row r="146" outlineLevel="1" spans="1:17">
      <c r="A146" s="216">
        <v>36</v>
      </c>
      <c r="B146" s="237" t="s">
        <v>952</v>
      </c>
      <c r="C146" s="238" t="s">
        <v>2377</v>
      </c>
      <c r="D146" s="239">
        <f t="shared" si="49"/>
        <v>0</v>
      </c>
      <c r="E146" s="239" t="s">
        <v>753</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952</v>
      </c>
      <c r="C147" s="225" t="s">
        <v>109</v>
      </c>
      <c r="D147" s="226">
        <f t="shared" si="49"/>
        <v>0</v>
      </c>
      <c r="E147" s="226" t="s">
        <v>753</v>
      </c>
      <c r="F147" s="241"/>
      <c r="G147" s="241"/>
      <c r="H147" s="241"/>
      <c r="I147" s="241"/>
      <c r="J147" s="241"/>
      <c r="K147" s="241"/>
      <c r="L147" s="241"/>
      <c r="M147" s="241"/>
      <c r="N147" s="241"/>
      <c r="O147" s="241"/>
      <c r="P147" s="241"/>
      <c r="Q147" s="241"/>
    </row>
    <row r="148" outlineLevel="1" spans="1:17">
      <c r="A148" s="216">
        <v>36</v>
      </c>
      <c r="B148" s="237" t="s">
        <v>952</v>
      </c>
      <c r="C148" s="228" t="s">
        <v>68</v>
      </c>
      <c r="D148" s="229">
        <f t="shared" si="49"/>
        <v>0</v>
      </c>
      <c r="E148" s="229" t="s">
        <v>753</v>
      </c>
      <c r="F148" s="241"/>
      <c r="G148" s="241"/>
      <c r="H148" s="241"/>
      <c r="I148" s="241"/>
      <c r="J148" s="241"/>
      <c r="K148" s="241"/>
      <c r="L148" s="241"/>
      <c r="M148" s="241"/>
      <c r="N148" s="241"/>
      <c r="O148" s="241"/>
      <c r="P148" s="241"/>
      <c r="Q148" s="241"/>
    </row>
    <row r="149" outlineLevel="1" spans="1:17">
      <c r="A149" s="216">
        <v>36</v>
      </c>
      <c r="B149" s="237" t="s">
        <v>952</v>
      </c>
      <c r="C149" s="231" t="s">
        <v>19</v>
      </c>
      <c r="D149" s="232">
        <f t="shared" si="49"/>
        <v>0</v>
      </c>
      <c r="E149" s="232" t="s">
        <v>753</v>
      </c>
      <c r="F149" s="241"/>
      <c r="G149" s="241"/>
      <c r="H149" s="241"/>
      <c r="I149" s="241"/>
      <c r="J149" s="241"/>
      <c r="K149" s="241"/>
      <c r="L149" s="241"/>
      <c r="M149" s="241"/>
      <c r="N149" s="241"/>
      <c r="O149" s="241"/>
      <c r="P149" s="241"/>
      <c r="Q149" s="241"/>
    </row>
    <row r="150" outlineLevel="1" spans="1:17">
      <c r="A150" s="216">
        <v>37</v>
      </c>
      <c r="B150" s="237" t="s">
        <v>955</v>
      </c>
      <c r="C150" s="238" t="s">
        <v>2377</v>
      </c>
      <c r="D150" s="239">
        <f t="shared" si="49"/>
        <v>0</v>
      </c>
      <c r="E150" s="239" t="s">
        <v>753</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955</v>
      </c>
      <c r="C151" s="225" t="s">
        <v>109</v>
      </c>
      <c r="D151" s="226">
        <f t="shared" si="49"/>
        <v>0</v>
      </c>
      <c r="E151" s="226" t="s">
        <v>753</v>
      </c>
      <c r="F151" s="241"/>
      <c r="G151" s="241"/>
      <c r="H151" s="241"/>
      <c r="I151" s="241"/>
      <c r="J151" s="241"/>
      <c r="K151" s="241"/>
      <c r="L151" s="241"/>
      <c r="M151" s="241"/>
      <c r="N151" s="241"/>
      <c r="O151" s="241"/>
      <c r="P151" s="241"/>
      <c r="Q151" s="241"/>
    </row>
    <row r="152" outlineLevel="1" spans="1:17">
      <c r="A152" s="216">
        <v>37</v>
      </c>
      <c r="B152" s="237" t="s">
        <v>955</v>
      </c>
      <c r="C152" s="228" t="s">
        <v>68</v>
      </c>
      <c r="D152" s="229">
        <f t="shared" si="49"/>
        <v>0</v>
      </c>
      <c r="E152" s="229" t="s">
        <v>753</v>
      </c>
      <c r="F152" s="241"/>
      <c r="G152" s="241"/>
      <c r="H152" s="241"/>
      <c r="I152" s="241"/>
      <c r="J152" s="241"/>
      <c r="K152" s="241"/>
      <c r="L152" s="241"/>
      <c r="M152" s="241"/>
      <c r="N152" s="241"/>
      <c r="O152" s="241"/>
      <c r="P152" s="241"/>
      <c r="Q152" s="241"/>
    </row>
    <row r="153" outlineLevel="1" spans="1:17">
      <c r="A153" s="216">
        <v>37</v>
      </c>
      <c r="B153" s="237" t="s">
        <v>955</v>
      </c>
      <c r="C153" s="231" t="s">
        <v>19</v>
      </c>
      <c r="D153" s="232">
        <f t="shared" si="49"/>
        <v>0</v>
      </c>
      <c r="E153" s="232" t="s">
        <v>753</v>
      </c>
      <c r="F153" s="241"/>
      <c r="G153" s="241"/>
      <c r="H153" s="241"/>
      <c r="I153" s="241"/>
      <c r="J153" s="241"/>
      <c r="K153" s="241"/>
      <c r="L153" s="241"/>
      <c r="M153" s="241"/>
      <c r="N153" s="241"/>
      <c r="O153" s="241"/>
      <c r="P153" s="241"/>
      <c r="Q153" s="241"/>
    </row>
    <row r="154" spans="1:17">
      <c r="A154" s="216">
        <v>38</v>
      </c>
      <c r="B154" s="234" t="s">
        <v>199</v>
      </c>
      <c r="C154" s="234" t="s">
        <v>2377</v>
      </c>
      <c r="D154" s="235">
        <f t="shared" si="49"/>
        <v>7</v>
      </c>
      <c r="E154" s="235" t="s">
        <v>753</v>
      </c>
      <c r="F154" s="236">
        <f t="shared" ref="F154:Q154" si="56">F155+F156+F157</f>
        <v>7</v>
      </c>
      <c r="G154" s="236">
        <f t="shared" si="56"/>
        <v>7</v>
      </c>
      <c r="H154" s="236">
        <f t="shared" si="56"/>
        <v>7</v>
      </c>
      <c r="I154" s="236">
        <f t="shared" si="56"/>
        <v>7</v>
      </c>
      <c r="J154" s="236">
        <f t="shared" si="56"/>
        <v>7</v>
      </c>
      <c r="K154" s="236">
        <f t="shared" si="56"/>
        <v>7</v>
      </c>
      <c r="L154" s="236">
        <f t="shared" si="56"/>
        <v>7</v>
      </c>
      <c r="M154" s="236">
        <f t="shared" si="56"/>
        <v>7</v>
      </c>
      <c r="N154" s="236">
        <f t="shared" si="56"/>
        <v>7</v>
      </c>
      <c r="O154" s="236">
        <f t="shared" si="56"/>
        <v>7</v>
      </c>
      <c r="P154" s="236">
        <f t="shared" si="56"/>
        <v>7</v>
      </c>
      <c r="Q154" s="236">
        <f t="shared" si="56"/>
        <v>7</v>
      </c>
    </row>
    <row r="155" spans="1:17">
      <c r="A155" s="216">
        <v>38</v>
      </c>
      <c r="B155" s="234" t="s">
        <v>199</v>
      </c>
      <c r="C155" s="225" t="s">
        <v>109</v>
      </c>
      <c r="D155" s="226">
        <f t="shared" si="49"/>
        <v>7</v>
      </c>
      <c r="E155" s="226" t="s">
        <v>753</v>
      </c>
      <c r="F155" s="227">
        <f t="shared" ref="F155:Q155" si="57">F159+F163+F167+F171</f>
        <v>7</v>
      </c>
      <c r="G155" s="227">
        <f t="shared" si="57"/>
        <v>7</v>
      </c>
      <c r="H155" s="227">
        <f t="shared" si="57"/>
        <v>7</v>
      </c>
      <c r="I155" s="227">
        <f t="shared" si="57"/>
        <v>7</v>
      </c>
      <c r="J155" s="227">
        <f t="shared" si="57"/>
        <v>7</v>
      </c>
      <c r="K155" s="227">
        <f t="shared" si="57"/>
        <v>7</v>
      </c>
      <c r="L155" s="227">
        <f t="shared" si="57"/>
        <v>7</v>
      </c>
      <c r="M155" s="227">
        <f t="shared" si="57"/>
        <v>7</v>
      </c>
      <c r="N155" s="227">
        <f t="shared" si="57"/>
        <v>7</v>
      </c>
      <c r="O155" s="227">
        <f t="shared" si="57"/>
        <v>7</v>
      </c>
      <c r="P155" s="227">
        <f t="shared" si="57"/>
        <v>7</v>
      </c>
      <c r="Q155" s="227">
        <f t="shared" si="57"/>
        <v>7</v>
      </c>
    </row>
    <row r="156" spans="1:17">
      <c r="A156" s="216">
        <v>38</v>
      </c>
      <c r="B156" s="234" t="s">
        <v>199</v>
      </c>
      <c r="C156" s="228" t="s">
        <v>68</v>
      </c>
      <c r="D156" s="229">
        <f t="shared" si="49"/>
        <v>0</v>
      </c>
      <c r="E156" s="229" t="s">
        <v>753</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753</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985</v>
      </c>
      <c r="C158" s="238" t="s">
        <v>2377</v>
      </c>
      <c r="D158" s="239">
        <f t="shared" si="49"/>
        <v>7</v>
      </c>
      <c r="E158" s="239" t="s">
        <v>753</v>
      </c>
      <c r="F158" s="240">
        <f t="shared" ref="F158:Q158" si="60">F159+F160+F161</f>
        <v>7</v>
      </c>
      <c r="G158" s="240">
        <f t="shared" si="60"/>
        <v>7</v>
      </c>
      <c r="H158" s="240">
        <f t="shared" si="60"/>
        <v>7</v>
      </c>
      <c r="I158" s="240">
        <f t="shared" si="60"/>
        <v>7</v>
      </c>
      <c r="J158" s="240">
        <f t="shared" si="60"/>
        <v>7</v>
      </c>
      <c r="K158" s="240">
        <f t="shared" si="60"/>
        <v>7</v>
      </c>
      <c r="L158" s="240">
        <f t="shared" si="60"/>
        <v>7</v>
      </c>
      <c r="M158" s="240">
        <f t="shared" si="60"/>
        <v>7</v>
      </c>
      <c r="N158" s="240">
        <f t="shared" si="60"/>
        <v>7</v>
      </c>
      <c r="O158" s="240">
        <f t="shared" si="60"/>
        <v>7</v>
      </c>
      <c r="P158" s="240">
        <f t="shared" si="60"/>
        <v>7</v>
      </c>
      <c r="Q158" s="240">
        <f t="shared" si="60"/>
        <v>7</v>
      </c>
    </row>
    <row r="159" outlineLevel="1" spans="1:17">
      <c r="A159" s="216">
        <v>39</v>
      </c>
      <c r="B159" s="237" t="s">
        <v>985</v>
      </c>
      <c r="C159" s="225" t="s">
        <v>109</v>
      </c>
      <c r="D159" s="226">
        <f t="shared" si="49"/>
        <v>7</v>
      </c>
      <c r="E159" s="226" t="s">
        <v>753</v>
      </c>
      <c r="F159" s="241">
        <v>7</v>
      </c>
      <c r="G159" s="241">
        <v>7</v>
      </c>
      <c r="H159" s="241">
        <v>7</v>
      </c>
      <c r="I159" s="241">
        <v>7</v>
      </c>
      <c r="J159" s="241">
        <v>7</v>
      </c>
      <c r="K159" s="241">
        <v>7</v>
      </c>
      <c r="L159" s="241">
        <v>7</v>
      </c>
      <c r="M159" s="241">
        <v>7</v>
      </c>
      <c r="N159" s="241">
        <v>7</v>
      </c>
      <c r="O159" s="241">
        <v>7</v>
      </c>
      <c r="P159" s="241">
        <v>7</v>
      </c>
      <c r="Q159" s="241">
        <v>7</v>
      </c>
    </row>
    <row r="160" outlineLevel="1" spans="1:17">
      <c r="A160" s="216">
        <v>39</v>
      </c>
      <c r="B160" s="237" t="s">
        <v>985</v>
      </c>
      <c r="C160" s="228" t="s">
        <v>68</v>
      </c>
      <c r="D160" s="229">
        <f t="shared" si="49"/>
        <v>0</v>
      </c>
      <c r="E160" s="229" t="s">
        <v>753</v>
      </c>
      <c r="F160" s="241"/>
      <c r="G160" s="241"/>
      <c r="H160" s="241"/>
      <c r="I160" s="241"/>
      <c r="J160" s="241"/>
      <c r="K160" s="241"/>
      <c r="L160" s="241"/>
      <c r="M160" s="241"/>
      <c r="N160" s="241"/>
      <c r="O160" s="241"/>
      <c r="P160" s="241"/>
      <c r="Q160" s="241"/>
    </row>
    <row r="161" outlineLevel="1" spans="1:17">
      <c r="A161" s="216">
        <v>39</v>
      </c>
      <c r="B161" s="237" t="s">
        <v>985</v>
      </c>
      <c r="C161" s="231" t="s">
        <v>19</v>
      </c>
      <c r="D161" s="232">
        <f t="shared" si="49"/>
        <v>0</v>
      </c>
      <c r="E161" s="232" t="s">
        <v>753</v>
      </c>
      <c r="F161" s="241"/>
      <c r="G161" s="241"/>
      <c r="H161" s="241"/>
      <c r="I161" s="241"/>
      <c r="J161" s="241"/>
      <c r="K161" s="241"/>
      <c r="L161" s="241"/>
      <c r="M161" s="241"/>
      <c r="N161" s="241"/>
      <c r="O161" s="241"/>
      <c r="P161" s="241"/>
      <c r="Q161" s="241"/>
    </row>
    <row r="162" outlineLevel="1" spans="1:17">
      <c r="A162" s="216">
        <v>40</v>
      </c>
      <c r="B162" s="237" t="s">
        <v>988</v>
      </c>
      <c r="C162" s="238" t="s">
        <v>2377</v>
      </c>
      <c r="D162" s="239">
        <f t="shared" si="49"/>
        <v>0</v>
      </c>
      <c r="E162" s="239" t="s">
        <v>753</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988</v>
      </c>
      <c r="C163" s="225" t="s">
        <v>109</v>
      </c>
      <c r="D163" s="226">
        <f t="shared" si="49"/>
        <v>0</v>
      </c>
      <c r="E163" s="226" t="s">
        <v>753</v>
      </c>
      <c r="F163" s="241"/>
      <c r="G163" s="241"/>
      <c r="H163" s="241"/>
      <c r="I163" s="241"/>
      <c r="J163" s="241"/>
      <c r="K163" s="241"/>
      <c r="L163" s="241"/>
      <c r="M163" s="241"/>
      <c r="N163" s="241"/>
      <c r="O163" s="241"/>
      <c r="P163" s="241"/>
      <c r="Q163" s="241"/>
    </row>
    <row r="164" outlineLevel="1" spans="1:17">
      <c r="A164" s="216">
        <v>40</v>
      </c>
      <c r="B164" s="237" t="s">
        <v>988</v>
      </c>
      <c r="C164" s="228" t="s">
        <v>68</v>
      </c>
      <c r="D164" s="229">
        <f t="shared" si="49"/>
        <v>0</v>
      </c>
      <c r="E164" s="229" t="s">
        <v>753</v>
      </c>
      <c r="F164" s="241"/>
      <c r="G164" s="241"/>
      <c r="H164" s="241"/>
      <c r="I164" s="241"/>
      <c r="J164" s="241"/>
      <c r="K164" s="241"/>
      <c r="L164" s="241"/>
      <c r="M164" s="241"/>
      <c r="N164" s="241"/>
      <c r="O164" s="241"/>
      <c r="P164" s="241"/>
      <c r="Q164" s="241"/>
    </row>
    <row r="165" outlineLevel="1" spans="1:17">
      <c r="A165" s="216">
        <v>40</v>
      </c>
      <c r="B165" s="237" t="s">
        <v>988</v>
      </c>
      <c r="C165" s="231" t="s">
        <v>19</v>
      </c>
      <c r="D165" s="232">
        <f t="shared" si="49"/>
        <v>0</v>
      </c>
      <c r="E165" s="232" t="s">
        <v>753</v>
      </c>
      <c r="F165" s="241"/>
      <c r="G165" s="241"/>
      <c r="H165" s="241"/>
      <c r="I165" s="241"/>
      <c r="J165" s="241"/>
      <c r="K165" s="241"/>
      <c r="L165" s="241"/>
      <c r="M165" s="241"/>
      <c r="N165" s="241"/>
      <c r="O165" s="241"/>
      <c r="P165" s="241"/>
      <c r="Q165" s="241"/>
    </row>
    <row r="166" outlineLevel="1" spans="1:17">
      <c r="A166" s="216">
        <v>41</v>
      </c>
      <c r="B166" s="237" t="s">
        <v>991</v>
      </c>
      <c r="C166" s="238" t="s">
        <v>2377</v>
      </c>
      <c r="D166" s="239">
        <f t="shared" si="49"/>
        <v>0</v>
      </c>
      <c r="E166" s="239" t="s">
        <v>753</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991</v>
      </c>
      <c r="C167" s="225" t="s">
        <v>109</v>
      </c>
      <c r="D167" s="226">
        <f t="shared" si="49"/>
        <v>0</v>
      </c>
      <c r="E167" s="226" t="s">
        <v>753</v>
      </c>
      <c r="F167" s="241"/>
      <c r="G167" s="241"/>
      <c r="H167" s="241"/>
      <c r="I167" s="241"/>
      <c r="J167" s="241"/>
      <c r="K167" s="241"/>
      <c r="L167" s="241"/>
      <c r="M167" s="241"/>
      <c r="N167" s="241"/>
      <c r="O167" s="241"/>
      <c r="P167" s="241"/>
      <c r="Q167" s="241"/>
    </row>
    <row r="168" outlineLevel="1" spans="1:17">
      <c r="A168" s="216">
        <v>41</v>
      </c>
      <c r="B168" s="237" t="s">
        <v>991</v>
      </c>
      <c r="C168" s="228" t="s">
        <v>68</v>
      </c>
      <c r="D168" s="229">
        <f t="shared" si="49"/>
        <v>0</v>
      </c>
      <c r="E168" s="229" t="s">
        <v>753</v>
      </c>
      <c r="F168" s="241"/>
      <c r="G168" s="241"/>
      <c r="H168" s="241"/>
      <c r="I168" s="241"/>
      <c r="J168" s="241"/>
      <c r="K168" s="241"/>
      <c r="L168" s="241"/>
      <c r="M168" s="241"/>
      <c r="N168" s="241"/>
      <c r="O168" s="241"/>
      <c r="P168" s="241"/>
      <c r="Q168" s="241"/>
    </row>
    <row r="169" outlineLevel="1" spans="1:17">
      <c r="A169" s="216">
        <v>41</v>
      </c>
      <c r="B169" s="237" t="s">
        <v>991</v>
      </c>
      <c r="C169" s="231" t="s">
        <v>19</v>
      </c>
      <c r="D169" s="232">
        <f t="shared" si="49"/>
        <v>0</v>
      </c>
      <c r="E169" s="232" t="s">
        <v>753</v>
      </c>
      <c r="F169" s="241"/>
      <c r="G169" s="241"/>
      <c r="H169" s="241"/>
      <c r="I169" s="241"/>
      <c r="J169" s="241"/>
      <c r="K169" s="241"/>
      <c r="L169" s="241"/>
      <c r="M169" s="241"/>
      <c r="N169" s="241"/>
      <c r="O169" s="241"/>
      <c r="P169" s="241"/>
      <c r="Q169" s="241"/>
    </row>
    <row r="170" outlineLevel="1" spans="1:17">
      <c r="A170" s="216">
        <v>42</v>
      </c>
      <c r="B170" s="237" t="s">
        <v>994</v>
      </c>
      <c r="C170" s="238" t="s">
        <v>2377</v>
      </c>
      <c r="D170" s="239">
        <f t="shared" si="49"/>
        <v>0</v>
      </c>
      <c r="E170" s="239" t="s">
        <v>753</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994</v>
      </c>
      <c r="C171" s="225" t="s">
        <v>109</v>
      </c>
      <c r="D171" s="226">
        <f t="shared" si="49"/>
        <v>0</v>
      </c>
      <c r="E171" s="226" t="s">
        <v>753</v>
      </c>
      <c r="F171" s="241"/>
      <c r="G171" s="241"/>
      <c r="H171" s="241"/>
      <c r="I171" s="241"/>
      <c r="J171" s="241"/>
      <c r="K171" s="241"/>
      <c r="L171" s="241"/>
      <c r="M171" s="241"/>
      <c r="N171" s="241"/>
      <c r="O171" s="241"/>
      <c r="P171" s="241"/>
      <c r="Q171" s="241"/>
    </row>
    <row r="172" outlineLevel="1" spans="1:17">
      <c r="A172" s="216">
        <v>42</v>
      </c>
      <c r="B172" s="237" t="s">
        <v>994</v>
      </c>
      <c r="C172" s="228" t="s">
        <v>68</v>
      </c>
      <c r="D172" s="229">
        <f t="shared" si="49"/>
        <v>0</v>
      </c>
      <c r="E172" s="229" t="s">
        <v>753</v>
      </c>
      <c r="F172" s="241"/>
      <c r="G172" s="241"/>
      <c r="H172" s="241"/>
      <c r="I172" s="241"/>
      <c r="J172" s="241"/>
      <c r="K172" s="241"/>
      <c r="L172" s="241"/>
      <c r="M172" s="241"/>
      <c r="N172" s="241"/>
      <c r="O172" s="241"/>
      <c r="P172" s="241"/>
      <c r="Q172" s="241"/>
    </row>
    <row r="173" outlineLevel="1" spans="1:17">
      <c r="A173" s="216">
        <v>42</v>
      </c>
      <c r="B173" s="237" t="s">
        <v>994</v>
      </c>
      <c r="C173" s="231" t="s">
        <v>19</v>
      </c>
      <c r="D173" s="232">
        <f t="shared" si="49"/>
        <v>0</v>
      </c>
      <c r="E173" s="232" t="s">
        <v>753</v>
      </c>
      <c r="F173" s="241"/>
      <c r="G173" s="241"/>
      <c r="H173" s="241"/>
      <c r="I173" s="241"/>
      <c r="J173" s="241"/>
      <c r="K173" s="241"/>
      <c r="L173" s="241"/>
      <c r="M173" s="241"/>
      <c r="N173" s="241"/>
      <c r="O173" s="241"/>
      <c r="P173" s="241"/>
      <c r="Q173" s="241"/>
    </row>
    <row r="174" spans="1:17">
      <c r="A174" s="216">
        <v>43</v>
      </c>
      <c r="B174" s="234" t="s">
        <v>2378</v>
      </c>
      <c r="C174" s="234" t="s">
        <v>2377</v>
      </c>
      <c r="D174" s="235">
        <f t="shared" si="49"/>
        <v>0</v>
      </c>
      <c r="E174" s="235" t="s">
        <v>753</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2378</v>
      </c>
      <c r="C175" s="225" t="s">
        <v>109</v>
      </c>
      <c r="D175" s="226">
        <f t="shared" si="49"/>
        <v>0</v>
      </c>
      <c r="E175" s="226" t="s">
        <v>753</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2378</v>
      </c>
      <c r="C176" s="228" t="s">
        <v>68</v>
      </c>
      <c r="D176" s="229">
        <f t="shared" si="49"/>
        <v>0</v>
      </c>
      <c r="E176" s="229" t="s">
        <v>753</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2378</v>
      </c>
      <c r="C177" s="231" t="s">
        <v>19</v>
      </c>
      <c r="D177" s="232">
        <f t="shared" si="49"/>
        <v>0</v>
      </c>
      <c r="E177" s="232" t="s">
        <v>753</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1017</v>
      </c>
      <c r="C178" s="238" t="s">
        <v>2377</v>
      </c>
      <c r="D178" s="239">
        <f t="shared" si="49"/>
        <v>0</v>
      </c>
      <c r="E178" s="239" t="s">
        <v>753</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1017</v>
      </c>
      <c r="C179" s="225" t="s">
        <v>109</v>
      </c>
      <c r="D179" s="226">
        <f t="shared" si="49"/>
        <v>0</v>
      </c>
      <c r="E179" s="226" t="s">
        <v>753</v>
      </c>
      <c r="F179" s="241"/>
      <c r="G179" s="241"/>
      <c r="H179" s="241"/>
      <c r="I179" s="241"/>
      <c r="J179" s="241"/>
      <c r="K179" s="241"/>
      <c r="L179" s="241"/>
      <c r="M179" s="241"/>
      <c r="N179" s="241"/>
      <c r="O179" s="241"/>
      <c r="P179" s="241"/>
      <c r="Q179" s="241"/>
    </row>
    <row r="180" outlineLevel="1" spans="1:17">
      <c r="A180" s="216">
        <v>44</v>
      </c>
      <c r="B180" s="237" t="s">
        <v>1017</v>
      </c>
      <c r="C180" s="228" t="s">
        <v>68</v>
      </c>
      <c r="D180" s="229">
        <f t="shared" si="49"/>
        <v>0</v>
      </c>
      <c r="E180" s="229" t="s">
        <v>753</v>
      </c>
      <c r="F180" s="241"/>
      <c r="G180" s="241"/>
      <c r="H180" s="241"/>
      <c r="I180" s="241"/>
      <c r="J180" s="241"/>
      <c r="K180" s="241"/>
      <c r="L180" s="241"/>
      <c r="M180" s="241"/>
      <c r="N180" s="241"/>
      <c r="O180" s="241"/>
      <c r="P180" s="241"/>
      <c r="Q180" s="241"/>
    </row>
    <row r="181" outlineLevel="1" spans="1:17">
      <c r="A181" s="216">
        <v>44</v>
      </c>
      <c r="B181" s="237" t="s">
        <v>1017</v>
      </c>
      <c r="C181" s="231" t="s">
        <v>19</v>
      </c>
      <c r="D181" s="232">
        <f t="shared" si="49"/>
        <v>0</v>
      </c>
      <c r="E181" s="232" t="s">
        <v>753</v>
      </c>
      <c r="F181" s="241"/>
      <c r="G181" s="241"/>
      <c r="H181" s="241"/>
      <c r="I181" s="241"/>
      <c r="J181" s="241"/>
      <c r="K181" s="241"/>
      <c r="L181" s="241"/>
      <c r="M181" s="241"/>
      <c r="N181" s="241"/>
      <c r="O181" s="241"/>
      <c r="P181" s="241"/>
      <c r="Q181" s="241"/>
    </row>
    <row r="182" outlineLevel="1" spans="1:17">
      <c r="A182" s="216">
        <v>45</v>
      </c>
      <c r="B182" s="237" t="s">
        <v>1020</v>
      </c>
      <c r="C182" s="238" t="s">
        <v>2377</v>
      </c>
      <c r="D182" s="239">
        <f t="shared" si="49"/>
        <v>0</v>
      </c>
      <c r="E182" s="239" t="s">
        <v>753</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1020</v>
      </c>
      <c r="C183" s="225" t="s">
        <v>109</v>
      </c>
      <c r="D183" s="226">
        <f t="shared" si="49"/>
        <v>0</v>
      </c>
      <c r="E183" s="226" t="s">
        <v>753</v>
      </c>
      <c r="F183" s="241"/>
      <c r="G183" s="241"/>
      <c r="H183" s="241"/>
      <c r="I183" s="241"/>
      <c r="J183" s="241"/>
      <c r="K183" s="241"/>
      <c r="L183" s="241"/>
      <c r="M183" s="241"/>
      <c r="N183" s="241"/>
      <c r="O183" s="241"/>
      <c r="P183" s="241"/>
      <c r="Q183" s="241"/>
    </row>
    <row r="184" outlineLevel="1" spans="1:17">
      <c r="A184" s="216">
        <v>45</v>
      </c>
      <c r="B184" s="237" t="s">
        <v>1020</v>
      </c>
      <c r="C184" s="228" t="s">
        <v>68</v>
      </c>
      <c r="D184" s="229">
        <f t="shared" si="49"/>
        <v>0</v>
      </c>
      <c r="E184" s="229" t="s">
        <v>753</v>
      </c>
      <c r="F184" s="241"/>
      <c r="G184" s="241"/>
      <c r="H184" s="241"/>
      <c r="I184" s="241"/>
      <c r="J184" s="241"/>
      <c r="K184" s="241"/>
      <c r="L184" s="241"/>
      <c r="M184" s="241"/>
      <c r="N184" s="241"/>
      <c r="O184" s="241"/>
      <c r="P184" s="241"/>
      <c r="Q184" s="241"/>
    </row>
    <row r="185" outlineLevel="1" spans="1:17">
      <c r="A185" s="216">
        <v>45</v>
      </c>
      <c r="B185" s="237" t="s">
        <v>1020</v>
      </c>
      <c r="C185" s="231" t="s">
        <v>19</v>
      </c>
      <c r="D185" s="232">
        <f t="shared" si="49"/>
        <v>0</v>
      </c>
      <c r="E185" s="232" t="s">
        <v>753</v>
      </c>
      <c r="F185" s="241"/>
      <c r="G185" s="241"/>
      <c r="H185" s="241"/>
      <c r="I185" s="241"/>
      <c r="J185" s="241"/>
      <c r="K185" s="241"/>
      <c r="L185" s="241"/>
      <c r="M185" s="241"/>
      <c r="N185" s="241"/>
      <c r="O185" s="241"/>
      <c r="P185" s="241"/>
      <c r="Q185" s="241"/>
    </row>
    <row r="186" outlineLevel="1" spans="1:17">
      <c r="A186" s="216">
        <v>46</v>
      </c>
      <c r="B186" s="237" t="s">
        <v>1023</v>
      </c>
      <c r="C186" s="238" t="s">
        <v>2377</v>
      </c>
      <c r="D186" s="239">
        <f t="shared" si="49"/>
        <v>0</v>
      </c>
      <c r="E186" s="239" t="s">
        <v>753</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1023</v>
      </c>
      <c r="C187" s="225" t="s">
        <v>109</v>
      </c>
      <c r="D187" s="226">
        <f t="shared" si="49"/>
        <v>0</v>
      </c>
      <c r="E187" s="226" t="s">
        <v>753</v>
      </c>
      <c r="F187" s="241"/>
      <c r="G187" s="241"/>
      <c r="H187" s="241"/>
      <c r="I187" s="241"/>
      <c r="J187" s="241"/>
      <c r="K187" s="241"/>
      <c r="L187" s="241"/>
      <c r="M187" s="241"/>
      <c r="N187" s="241"/>
      <c r="O187" s="241"/>
      <c r="P187" s="241"/>
      <c r="Q187" s="241"/>
    </row>
    <row r="188" outlineLevel="1" spans="1:17">
      <c r="A188" s="216">
        <v>46</v>
      </c>
      <c r="B188" s="237" t="s">
        <v>1023</v>
      </c>
      <c r="C188" s="228" t="s">
        <v>68</v>
      </c>
      <c r="D188" s="229">
        <f t="shared" si="49"/>
        <v>0</v>
      </c>
      <c r="E188" s="229" t="s">
        <v>753</v>
      </c>
      <c r="F188" s="241"/>
      <c r="G188" s="241"/>
      <c r="H188" s="241"/>
      <c r="I188" s="241"/>
      <c r="J188" s="241"/>
      <c r="K188" s="241"/>
      <c r="L188" s="241"/>
      <c r="M188" s="241"/>
      <c r="N188" s="241"/>
      <c r="O188" s="241"/>
      <c r="P188" s="241"/>
      <c r="Q188" s="241"/>
    </row>
    <row r="189" outlineLevel="1" spans="1:17">
      <c r="A189" s="216">
        <v>46</v>
      </c>
      <c r="B189" s="237" t="s">
        <v>1023</v>
      </c>
      <c r="C189" s="231" t="s">
        <v>19</v>
      </c>
      <c r="D189" s="232">
        <f t="shared" si="49"/>
        <v>0</v>
      </c>
      <c r="E189" s="232" t="s">
        <v>753</v>
      </c>
      <c r="F189" s="241"/>
      <c r="G189" s="241"/>
      <c r="H189" s="241"/>
      <c r="I189" s="241"/>
      <c r="J189" s="241"/>
      <c r="K189" s="241"/>
      <c r="L189" s="241"/>
      <c r="M189" s="241"/>
      <c r="N189" s="241"/>
      <c r="O189" s="241"/>
      <c r="P189" s="241"/>
      <c r="Q189" s="241"/>
    </row>
    <row r="190" outlineLevel="1" spans="1:17">
      <c r="A190" s="216">
        <v>47</v>
      </c>
      <c r="B190" s="237" t="s">
        <v>1026</v>
      </c>
      <c r="C190" s="238" t="s">
        <v>2377</v>
      </c>
      <c r="D190" s="239">
        <f t="shared" si="49"/>
        <v>0</v>
      </c>
      <c r="E190" s="239" t="s">
        <v>753</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1026</v>
      </c>
      <c r="C191" s="225" t="s">
        <v>109</v>
      </c>
      <c r="D191" s="226">
        <f t="shared" si="49"/>
        <v>0</v>
      </c>
      <c r="E191" s="226" t="s">
        <v>753</v>
      </c>
      <c r="F191" s="241"/>
      <c r="G191" s="241"/>
      <c r="H191" s="241"/>
      <c r="I191" s="241"/>
      <c r="J191" s="241"/>
      <c r="K191" s="241"/>
      <c r="L191" s="241"/>
      <c r="M191" s="241"/>
      <c r="N191" s="241"/>
      <c r="O191" s="241"/>
      <c r="P191" s="241"/>
      <c r="Q191" s="241"/>
    </row>
    <row r="192" outlineLevel="1" spans="1:17">
      <c r="A192" s="216">
        <v>47</v>
      </c>
      <c r="B192" s="237" t="s">
        <v>1026</v>
      </c>
      <c r="C192" s="228" t="s">
        <v>68</v>
      </c>
      <c r="D192" s="229">
        <f t="shared" si="49"/>
        <v>0</v>
      </c>
      <c r="E192" s="229" t="s">
        <v>753</v>
      </c>
      <c r="F192" s="241"/>
      <c r="G192" s="241"/>
      <c r="H192" s="241"/>
      <c r="I192" s="241"/>
      <c r="J192" s="241"/>
      <c r="K192" s="241"/>
      <c r="L192" s="241"/>
      <c r="M192" s="241"/>
      <c r="N192" s="241"/>
      <c r="O192" s="241"/>
      <c r="P192" s="241"/>
      <c r="Q192" s="241"/>
    </row>
    <row r="193" outlineLevel="1" spans="1:17">
      <c r="A193" s="216">
        <v>47</v>
      </c>
      <c r="B193" s="237" t="s">
        <v>1026</v>
      </c>
      <c r="C193" s="231" t="s">
        <v>19</v>
      </c>
      <c r="D193" s="232">
        <f t="shared" si="49"/>
        <v>0</v>
      </c>
      <c r="E193" s="232" t="s">
        <v>753</v>
      </c>
      <c r="F193" s="241"/>
      <c r="G193" s="241"/>
      <c r="H193" s="241"/>
      <c r="I193" s="241"/>
      <c r="J193" s="241"/>
      <c r="K193" s="241"/>
      <c r="L193" s="241"/>
      <c r="M193" s="241"/>
      <c r="N193" s="241"/>
      <c r="O193" s="241"/>
      <c r="P193" s="241"/>
      <c r="Q193" s="241"/>
    </row>
    <row r="194" spans="1:17">
      <c r="A194" s="216">
        <v>48</v>
      </c>
      <c r="B194" s="234" t="s">
        <v>2379</v>
      </c>
      <c r="C194" s="234" t="s">
        <v>2377</v>
      </c>
      <c r="D194" s="235">
        <f t="shared" ref="D194:D233" si="72">IFERROR(SUM(F194:Q194)/COUNTIF(F194:Q194,"&lt;&gt;0"),0)</f>
        <v>0</v>
      </c>
      <c r="E194" s="235" t="s">
        <v>753</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2379</v>
      </c>
      <c r="C195" s="225" t="s">
        <v>109</v>
      </c>
      <c r="D195" s="226">
        <f t="shared" si="72"/>
        <v>0</v>
      </c>
      <c r="E195" s="226" t="s">
        <v>753</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2379</v>
      </c>
      <c r="C196" s="228" t="s">
        <v>68</v>
      </c>
      <c r="D196" s="229">
        <f t="shared" si="72"/>
        <v>0</v>
      </c>
      <c r="E196" s="229" t="s">
        <v>753</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2379</v>
      </c>
      <c r="C197" s="231" t="s">
        <v>19</v>
      </c>
      <c r="D197" s="232">
        <f t="shared" si="72"/>
        <v>0</v>
      </c>
      <c r="E197" s="232" t="s">
        <v>753</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1048</v>
      </c>
      <c r="C198" s="238" t="s">
        <v>2377</v>
      </c>
      <c r="D198" s="239">
        <f t="shared" si="72"/>
        <v>0</v>
      </c>
      <c r="E198" s="239" t="s">
        <v>753</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1048</v>
      </c>
      <c r="C199" s="225" t="s">
        <v>109</v>
      </c>
      <c r="D199" s="226">
        <f t="shared" si="72"/>
        <v>0</v>
      </c>
      <c r="E199" s="226" t="s">
        <v>753</v>
      </c>
      <c r="F199" s="241"/>
      <c r="G199" s="241"/>
      <c r="H199" s="241"/>
      <c r="I199" s="241"/>
      <c r="J199" s="241"/>
      <c r="K199" s="241"/>
      <c r="L199" s="241"/>
      <c r="M199" s="241"/>
      <c r="N199" s="241"/>
      <c r="O199" s="241"/>
      <c r="P199" s="241"/>
      <c r="Q199" s="241"/>
    </row>
    <row r="200" outlineLevel="1" spans="1:17">
      <c r="A200" s="216">
        <v>49</v>
      </c>
      <c r="B200" s="237" t="s">
        <v>1048</v>
      </c>
      <c r="C200" s="228" t="s">
        <v>68</v>
      </c>
      <c r="D200" s="229">
        <f t="shared" si="72"/>
        <v>0</v>
      </c>
      <c r="E200" s="229" t="s">
        <v>753</v>
      </c>
      <c r="F200" s="241"/>
      <c r="G200" s="241"/>
      <c r="H200" s="241"/>
      <c r="I200" s="241"/>
      <c r="J200" s="241"/>
      <c r="K200" s="241"/>
      <c r="L200" s="241"/>
      <c r="M200" s="241"/>
      <c r="N200" s="241"/>
      <c r="O200" s="241"/>
      <c r="P200" s="241"/>
      <c r="Q200" s="241"/>
    </row>
    <row r="201" outlineLevel="1" spans="1:17">
      <c r="A201" s="216">
        <v>49</v>
      </c>
      <c r="B201" s="237" t="s">
        <v>1048</v>
      </c>
      <c r="C201" s="231" t="s">
        <v>19</v>
      </c>
      <c r="D201" s="232">
        <f t="shared" si="72"/>
        <v>0</v>
      </c>
      <c r="E201" s="232" t="s">
        <v>753</v>
      </c>
      <c r="F201" s="241"/>
      <c r="G201" s="241"/>
      <c r="H201" s="241"/>
      <c r="I201" s="241"/>
      <c r="J201" s="241"/>
      <c r="K201" s="241"/>
      <c r="L201" s="241"/>
      <c r="M201" s="241"/>
      <c r="N201" s="241"/>
      <c r="O201" s="241"/>
      <c r="P201" s="241"/>
      <c r="Q201" s="241"/>
    </row>
    <row r="202" outlineLevel="1" spans="1:17">
      <c r="A202" s="216">
        <v>50</v>
      </c>
      <c r="B202" s="237" t="s">
        <v>1046</v>
      </c>
      <c r="C202" s="238" t="s">
        <v>2377</v>
      </c>
      <c r="D202" s="239">
        <f t="shared" si="72"/>
        <v>0</v>
      </c>
      <c r="E202" s="239" t="s">
        <v>753</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1046</v>
      </c>
      <c r="C203" s="225" t="s">
        <v>109</v>
      </c>
      <c r="D203" s="226">
        <f t="shared" si="72"/>
        <v>0</v>
      </c>
      <c r="E203" s="226" t="s">
        <v>753</v>
      </c>
      <c r="F203" s="241"/>
      <c r="G203" s="241"/>
      <c r="H203" s="241"/>
      <c r="I203" s="241"/>
      <c r="J203" s="241"/>
      <c r="K203" s="241"/>
      <c r="L203" s="241"/>
      <c r="M203" s="241"/>
      <c r="N203" s="241"/>
      <c r="O203" s="241"/>
      <c r="P203" s="241"/>
      <c r="Q203" s="241"/>
    </row>
    <row r="204" outlineLevel="1" spans="1:17">
      <c r="A204" s="216">
        <v>50</v>
      </c>
      <c r="B204" s="237" t="s">
        <v>1046</v>
      </c>
      <c r="C204" s="228" t="s">
        <v>68</v>
      </c>
      <c r="D204" s="229">
        <f t="shared" si="72"/>
        <v>0</v>
      </c>
      <c r="E204" s="229" t="s">
        <v>753</v>
      </c>
      <c r="F204" s="241"/>
      <c r="G204" s="241"/>
      <c r="H204" s="241"/>
      <c r="I204" s="241"/>
      <c r="J204" s="241"/>
      <c r="K204" s="241"/>
      <c r="L204" s="241"/>
      <c r="M204" s="241"/>
      <c r="N204" s="241"/>
      <c r="O204" s="241"/>
      <c r="P204" s="241"/>
      <c r="Q204" s="241"/>
    </row>
    <row r="205" outlineLevel="1" spans="1:17">
      <c r="A205" s="216">
        <v>50</v>
      </c>
      <c r="B205" s="237" t="s">
        <v>1046</v>
      </c>
      <c r="C205" s="231" t="s">
        <v>19</v>
      </c>
      <c r="D205" s="232">
        <f t="shared" si="72"/>
        <v>0</v>
      </c>
      <c r="E205" s="232" t="s">
        <v>753</v>
      </c>
      <c r="F205" s="241"/>
      <c r="G205" s="241"/>
      <c r="H205" s="241"/>
      <c r="I205" s="241"/>
      <c r="J205" s="241"/>
      <c r="K205" s="241"/>
      <c r="L205" s="241"/>
      <c r="M205" s="241"/>
      <c r="N205" s="241"/>
      <c r="O205" s="241"/>
      <c r="P205" s="241"/>
      <c r="Q205" s="241"/>
    </row>
    <row r="206" outlineLevel="1" spans="1:17">
      <c r="A206" s="216">
        <v>51</v>
      </c>
      <c r="B206" s="237" t="s">
        <v>1053</v>
      </c>
      <c r="C206" s="238" t="s">
        <v>2377</v>
      </c>
      <c r="D206" s="239">
        <f t="shared" si="72"/>
        <v>0</v>
      </c>
      <c r="E206" s="239" t="s">
        <v>753</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1053</v>
      </c>
      <c r="C207" s="225" t="s">
        <v>109</v>
      </c>
      <c r="D207" s="226">
        <f t="shared" si="72"/>
        <v>0</v>
      </c>
      <c r="E207" s="226" t="s">
        <v>753</v>
      </c>
      <c r="F207" s="241"/>
      <c r="G207" s="241"/>
      <c r="H207" s="241"/>
      <c r="I207" s="241"/>
      <c r="J207" s="241"/>
      <c r="K207" s="241"/>
      <c r="L207" s="241"/>
      <c r="M207" s="241"/>
      <c r="N207" s="241"/>
      <c r="O207" s="241"/>
      <c r="P207" s="241"/>
      <c r="Q207" s="241"/>
    </row>
    <row r="208" outlineLevel="1" spans="1:17">
      <c r="A208" s="216">
        <v>51</v>
      </c>
      <c r="B208" s="237" t="s">
        <v>1053</v>
      </c>
      <c r="C208" s="228" t="s">
        <v>68</v>
      </c>
      <c r="D208" s="229">
        <f t="shared" si="72"/>
        <v>0</v>
      </c>
      <c r="E208" s="229" t="s">
        <v>753</v>
      </c>
      <c r="F208" s="241"/>
      <c r="G208" s="241"/>
      <c r="H208" s="241"/>
      <c r="I208" s="241"/>
      <c r="J208" s="241"/>
      <c r="K208" s="241"/>
      <c r="L208" s="241"/>
      <c r="M208" s="241"/>
      <c r="N208" s="241"/>
      <c r="O208" s="241"/>
      <c r="P208" s="241"/>
      <c r="Q208" s="241"/>
    </row>
    <row r="209" outlineLevel="1" spans="1:17">
      <c r="A209" s="216">
        <v>51</v>
      </c>
      <c r="B209" s="237" t="s">
        <v>1053</v>
      </c>
      <c r="C209" s="231" t="s">
        <v>19</v>
      </c>
      <c r="D209" s="232">
        <f t="shared" si="72"/>
        <v>0</v>
      </c>
      <c r="E209" s="232" t="s">
        <v>753</v>
      </c>
      <c r="F209" s="241"/>
      <c r="G209" s="241"/>
      <c r="H209" s="241"/>
      <c r="I209" s="241"/>
      <c r="J209" s="241"/>
      <c r="K209" s="241"/>
      <c r="L209" s="241"/>
      <c r="M209" s="241"/>
      <c r="N209" s="241"/>
      <c r="O209" s="241"/>
      <c r="P209" s="241"/>
      <c r="Q209" s="241"/>
    </row>
    <row r="210" spans="1:17">
      <c r="A210" s="216">
        <v>52</v>
      </c>
      <c r="B210" s="234" t="s">
        <v>1069</v>
      </c>
      <c r="C210" s="234" t="s">
        <v>2377</v>
      </c>
      <c r="D210" s="235">
        <f t="shared" si="72"/>
        <v>5</v>
      </c>
      <c r="E210" s="235" t="s">
        <v>753</v>
      </c>
      <c r="F210" s="236">
        <f t="shared" ref="F210:Q210" si="80">F211+F212+F213</f>
        <v>5</v>
      </c>
      <c r="G210" s="236">
        <f t="shared" si="80"/>
        <v>5</v>
      </c>
      <c r="H210" s="236">
        <f t="shared" si="80"/>
        <v>5</v>
      </c>
      <c r="I210" s="236">
        <f t="shared" si="80"/>
        <v>5</v>
      </c>
      <c r="J210" s="236">
        <f t="shared" si="80"/>
        <v>5</v>
      </c>
      <c r="K210" s="236">
        <f t="shared" si="80"/>
        <v>5</v>
      </c>
      <c r="L210" s="236">
        <f t="shared" si="80"/>
        <v>5</v>
      </c>
      <c r="M210" s="236">
        <f t="shared" si="80"/>
        <v>5</v>
      </c>
      <c r="N210" s="236">
        <f t="shared" si="80"/>
        <v>5</v>
      </c>
      <c r="O210" s="236">
        <f t="shared" si="80"/>
        <v>5</v>
      </c>
      <c r="P210" s="236">
        <f t="shared" si="80"/>
        <v>5</v>
      </c>
      <c r="Q210" s="236">
        <f t="shared" si="80"/>
        <v>5</v>
      </c>
    </row>
    <row r="211" spans="1:17">
      <c r="A211" s="216">
        <v>52</v>
      </c>
      <c r="B211" s="234" t="s">
        <v>1069</v>
      </c>
      <c r="C211" s="225" t="s">
        <v>109</v>
      </c>
      <c r="D211" s="226">
        <f t="shared" si="72"/>
        <v>5</v>
      </c>
      <c r="E211" s="226" t="s">
        <v>753</v>
      </c>
      <c r="F211" s="227">
        <f t="shared" ref="F211:F213" si="81">F215+F219+F223+F227+F231</f>
        <v>5</v>
      </c>
      <c r="G211" s="227">
        <f t="shared" ref="G211:Q211" si="82">G215+G219+G223+G227+G231</f>
        <v>5</v>
      </c>
      <c r="H211" s="227">
        <f t="shared" si="82"/>
        <v>5</v>
      </c>
      <c r="I211" s="227">
        <f t="shared" si="82"/>
        <v>5</v>
      </c>
      <c r="J211" s="227">
        <f t="shared" si="82"/>
        <v>5</v>
      </c>
      <c r="K211" s="227">
        <f t="shared" si="82"/>
        <v>5</v>
      </c>
      <c r="L211" s="227">
        <f t="shared" si="82"/>
        <v>5</v>
      </c>
      <c r="M211" s="227">
        <f t="shared" si="82"/>
        <v>5</v>
      </c>
      <c r="N211" s="227">
        <f t="shared" si="82"/>
        <v>5</v>
      </c>
      <c r="O211" s="227">
        <f t="shared" si="82"/>
        <v>5</v>
      </c>
      <c r="P211" s="227">
        <f t="shared" si="82"/>
        <v>5</v>
      </c>
      <c r="Q211" s="227">
        <f t="shared" si="82"/>
        <v>5</v>
      </c>
    </row>
    <row r="212" spans="1:17">
      <c r="A212" s="216">
        <v>52</v>
      </c>
      <c r="B212" s="234" t="s">
        <v>1069</v>
      </c>
      <c r="C212" s="228" t="s">
        <v>68</v>
      </c>
      <c r="D212" s="229">
        <f t="shared" si="72"/>
        <v>0</v>
      </c>
      <c r="E212" s="229" t="s">
        <v>753</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1069</v>
      </c>
      <c r="C213" s="231" t="s">
        <v>19</v>
      </c>
      <c r="D213" s="232">
        <f t="shared" si="72"/>
        <v>0</v>
      </c>
      <c r="E213" s="232" t="s">
        <v>753</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1071</v>
      </c>
      <c r="C214" s="238" t="s">
        <v>2377</v>
      </c>
      <c r="D214" s="239">
        <f t="shared" si="72"/>
        <v>5</v>
      </c>
      <c r="E214" s="238" t="s">
        <v>753</v>
      </c>
      <c r="F214" s="242">
        <f t="shared" ref="F214:Q214" si="85">F215+F216+F217</f>
        <v>5</v>
      </c>
      <c r="G214" s="242">
        <f t="shared" si="85"/>
        <v>5</v>
      </c>
      <c r="H214" s="242">
        <f t="shared" si="85"/>
        <v>5</v>
      </c>
      <c r="I214" s="242">
        <f t="shared" si="85"/>
        <v>5</v>
      </c>
      <c r="J214" s="242">
        <f t="shared" si="85"/>
        <v>5</v>
      </c>
      <c r="K214" s="242">
        <f t="shared" si="85"/>
        <v>5</v>
      </c>
      <c r="L214" s="242">
        <f t="shared" si="85"/>
        <v>5</v>
      </c>
      <c r="M214" s="242">
        <f t="shared" si="85"/>
        <v>5</v>
      </c>
      <c r="N214" s="242">
        <f t="shared" si="85"/>
        <v>5</v>
      </c>
      <c r="O214" s="242">
        <f t="shared" si="85"/>
        <v>5</v>
      </c>
      <c r="P214" s="242">
        <f t="shared" si="85"/>
        <v>5</v>
      </c>
      <c r="Q214" s="242">
        <f t="shared" si="85"/>
        <v>5</v>
      </c>
    </row>
    <row r="215" outlineLevel="1" spans="1:17">
      <c r="A215" s="216">
        <v>53</v>
      </c>
      <c r="B215" s="237" t="s">
        <v>1071</v>
      </c>
      <c r="C215" s="225" t="s">
        <v>109</v>
      </c>
      <c r="D215" s="226">
        <f t="shared" si="72"/>
        <v>5</v>
      </c>
      <c r="E215" s="225" t="s">
        <v>753</v>
      </c>
      <c r="F215" s="243">
        <v>5</v>
      </c>
      <c r="G215" s="243">
        <v>5</v>
      </c>
      <c r="H215" s="243">
        <v>5</v>
      </c>
      <c r="I215" s="243">
        <v>5</v>
      </c>
      <c r="J215" s="243">
        <v>5</v>
      </c>
      <c r="K215" s="243">
        <v>5</v>
      </c>
      <c r="L215" s="243">
        <v>5</v>
      </c>
      <c r="M215" s="243">
        <v>5</v>
      </c>
      <c r="N215" s="243">
        <v>5</v>
      </c>
      <c r="O215" s="243">
        <v>5</v>
      </c>
      <c r="P215" s="243">
        <v>5</v>
      </c>
      <c r="Q215" s="243">
        <v>5</v>
      </c>
    </row>
    <row r="216" outlineLevel="1" spans="1:17">
      <c r="A216" s="216">
        <v>53</v>
      </c>
      <c r="B216" s="237" t="s">
        <v>1071</v>
      </c>
      <c r="C216" s="228" t="s">
        <v>68</v>
      </c>
      <c r="D216" s="229">
        <f t="shared" si="72"/>
        <v>0</v>
      </c>
      <c r="E216" s="228" t="s">
        <v>753</v>
      </c>
      <c r="F216" s="243"/>
      <c r="G216" s="243"/>
      <c r="H216" s="243"/>
      <c r="I216" s="243"/>
      <c r="J216" s="243"/>
      <c r="K216" s="243"/>
      <c r="L216" s="243"/>
      <c r="M216" s="243"/>
      <c r="N216" s="243"/>
      <c r="O216" s="243"/>
      <c r="P216" s="243"/>
      <c r="Q216" s="243"/>
    </row>
    <row r="217" outlineLevel="1" spans="1:17">
      <c r="A217" s="216">
        <v>53</v>
      </c>
      <c r="B217" s="237" t="s">
        <v>1071</v>
      </c>
      <c r="C217" s="231" t="s">
        <v>19</v>
      </c>
      <c r="D217" s="232">
        <f t="shared" si="72"/>
        <v>0</v>
      </c>
      <c r="E217" s="231" t="s">
        <v>753</v>
      </c>
      <c r="F217" s="243"/>
      <c r="G217" s="243"/>
      <c r="H217" s="243"/>
      <c r="I217" s="243"/>
      <c r="J217" s="243"/>
      <c r="K217" s="243"/>
      <c r="L217" s="243"/>
      <c r="M217" s="243"/>
      <c r="N217" s="243"/>
      <c r="O217" s="243"/>
      <c r="P217" s="243"/>
      <c r="Q217" s="243"/>
    </row>
    <row r="218" outlineLevel="1" spans="1:17">
      <c r="A218" s="216">
        <v>54</v>
      </c>
      <c r="B218" s="237" t="s">
        <v>1074</v>
      </c>
      <c r="C218" s="238" t="s">
        <v>2377</v>
      </c>
      <c r="D218" s="239">
        <f t="shared" si="72"/>
        <v>0</v>
      </c>
      <c r="E218" s="238" t="s">
        <v>753</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1074</v>
      </c>
      <c r="C219" s="225" t="s">
        <v>109</v>
      </c>
      <c r="D219" s="226">
        <f t="shared" si="72"/>
        <v>0</v>
      </c>
      <c r="E219" s="225" t="s">
        <v>753</v>
      </c>
      <c r="F219" s="243"/>
      <c r="G219" s="243"/>
      <c r="H219" s="243"/>
      <c r="I219" s="243"/>
      <c r="J219" s="243"/>
      <c r="K219" s="243"/>
      <c r="L219" s="243"/>
      <c r="M219" s="243"/>
      <c r="N219" s="243"/>
      <c r="O219" s="243"/>
      <c r="P219" s="243"/>
      <c r="Q219" s="243"/>
    </row>
    <row r="220" outlineLevel="1" spans="1:17">
      <c r="A220" s="216">
        <v>54</v>
      </c>
      <c r="B220" s="237" t="s">
        <v>1074</v>
      </c>
      <c r="C220" s="228" t="s">
        <v>68</v>
      </c>
      <c r="D220" s="229">
        <f t="shared" si="72"/>
        <v>0</v>
      </c>
      <c r="E220" s="228" t="s">
        <v>753</v>
      </c>
      <c r="F220" s="243"/>
      <c r="G220" s="243"/>
      <c r="H220" s="243"/>
      <c r="I220" s="243"/>
      <c r="J220" s="243"/>
      <c r="K220" s="243"/>
      <c r="L220" s="243"/>
      <c r="M220" s="243"/>
      <c r="N220" s="243"/>
      <c r="O220" s="243"/>
      <c r="P220" s="243"/>
      <c r="Q220" s="243"/>
    </row>
    <row r="221" outlineLevel="1" spans="1:17">
      <c r="A221" s="216">
        <v>54</v>
      </c>
      <c r="B221" s="237" t="s">
        <v>1074</v>
      </c>
      <c r="C221" s="231" t="s">
        <v>19</v>
      </c>
      <c r="D221" s="232">
        <f t="shared" si="72"/>
        <v>0</v>
      </c>
      <c r="E221" s="231" t="s">
        <v>753</v>
      </c>
      <c r="F221" s="243"/>
      <c r="G221" s="243"/>
      <c r="H221" s="243"/>
      <c r="I221" s="243"/>
      <c r="J221" s="243"/>
      <c r="K221" s="243"/>
      <c r="L221" s="243"/>
      <c r="M221" s="243"/>
      <c r="N221" s="243"/>
      <c r="O221" s="243"/>
      <c r="P221" s="243"/>
      <c r="Q221" s="243"/>
    </row>
    <row r="222" outlineLevel="1" spans="1:17">
      <c r="A222" s="216">
        <v>55</v>
      </c>
      <c r="B222" s="237" t="s">
        <v>1076</v>
      </c>
      <c r="C222" s="238" t="s">
        <v>2377</v>
      </c>
      <c r="D222" s="239">
        <f t="shared" si="72"/>
        <v>0</v>
      </c>
      <c r="E222" s="238" t="s">
        <v>753</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1076</v>
      </c>
      <c r="C223" s="225" t="s">
        <v>109</v>
      </c>
      <c r="D223" s="226">
        <f t="shared" si="72"/>
        <v>0</v>
      </c>
      <c r="E223" s="225" t="s">
        <v>753</v>
      </c>
      <c r="F223" s="243"/>
      <c r="G223" s="243"/>
      <c r="H223" s="243"/>
      <c r="I223" s="243"/>
      <c r="J223" s="243"/>
      <c r="K223" s="243"/>
      <c r="L223" s="243"/>
      <c r="M223" s="243"/>
      <c r="N223" s="243"/>
      <c r="O223" s="243"/>
      <c r="P223" s="243"/>
      <c r="Q223" s="243"/>
    </row>
    <row r="224" outlineLevel="1" spans="1:17">
      <c r="A224" s="216">
        <v>55</v>
      </c>
      <c r="B224" s="237" t="s">
        <v>1076</v>
      </c>
      <c r="C224" s="228" t="s">
        <v>68</v>
      </c>
      <c r="D224" s="229">
        <f t="shared" si="72"/>
        <v>0</v>
      </c>
      <c r="E224" s="228" t="s">
        <v>753</v>
      </c>
      <c r="F224" s="243"/>
      <c r="G224" s="243"/>
      <c r="H224" s="243"/>
      <c r="I224" s="243"/>
      <c r="J224" s="243"/>
      <c r="K224" s="243"/>
      <c r="L224" s="243"/>
      <c r="M224" s="243"/>
      <c r="N224" s="243"/>
      <c r="O224" s="243"/>
      <c r="P224" s="243"/>
      <c r="Q224" s="243"/>
    </row>
    <row r="225" outlineLevel="1" spans="1:17">
      <c r="A225" s="216">
        <v>55</v>
      </c>
      <c r="B225" s="237" t="s">
        <v>1076</v>
      </c>
      <c r="C225" s="231" t="s">
        <v>19</v>
      </c>
      <c r="D225" s="232">
        <f t="shared" si="72"/>
        <v>0</v>
      </c>
      <c r="E225" s="231" t="s">
        <v>753</v>
      </c>
      <c r="F225" s="243"/>
      <c r="G225" s="243"/>
      <c r="H225" s="243"/>
      <c r="I225" s="243"/>
      <c r="J225" s="243"/>
      <c r="K225" s="243"/>
      <c r="L225" s="243"/>
      <c r="M225" s="243"/>
      <c r="N225" s="243"/>
      <c r="O225" s="243"/>
      <c r="P225" s="243"/>
      <c r="Q225" s="243"/>
    </row>
    <row r="226" outlineLevel="1" spans="1:17">
      <c r="A226" s="216">
        <v>56</v>
      </c>
      <c r="B226" s="237" t="s">
        <v>1078</v>
      </c>
      <c r="C226" s="238" t="s">
        <v>2377</v>
      </c>
      <c r="D226" s="239">
        <f t="shared" si="72"/>
        <v>0</v>
      </c>
      <c r="E226" s="238" t="s">
        <v>753</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1078</v>
      </c>
      <c r="C227" s="225" t="s">
        <v>109</v>
      </c>
      <c r="D227" s="226">
        <f t="shared" si="72"/>
        <v>0</v>
      </c>
      <c r="E227" s="225" t="s">
        <v>753</v>
      </c>
      <c r="F227" s="243"/>
      <c r="G227" s="243"/>
      <c r="H227" s="243"/>
      <c r="I227" s="243"/>
      <c r="J227" s="243"/>
      <c r="K227" s="243"/>
      <c r="L227" s="243"/>
      <c r="M227" s="243"/>
      <c r="N227" s="243"/>
      <c r="O227" s="243"/>
      <c r="P227" s="243"/>
      <c r="Q227" s="243"/>
    </row>
    <row r="228" outlineLevel="1" spans="1:17">
      <c r="A228" s="216">
        <v>56</v>
      </c>
      <c r="B228" s="237" t="s">
        <v>1078</v>
      </c>
      <c r="C228" s="228" t="s">
        <v>68</v>
      </c>
      <c r="D228" s="229">
        <f t="shared" si="72"/>
        <v>0</v>
      </c>
      <c r="E228" s="228" t="s">
        <v>753</v>
      </c>
      <c r="F228" s="243"/>
      <c r="G228" s="243"/>
      <c r="H228" s="243"/>
      <c r="I228" s="243"/>
      <c r="J228" s="243"/>
      <c r="K228" s="243"/>
      <c r="L228" s="243"/>
      <c r="M228" s="243"/>
      <c r="N228" s="243"/>
      <c r="O228" s="243"/>
      <c r="P228" s="243"/>
      <c r="Q228" s="243"/>
    </row>
    <row r="229" outlineLevel="1" spans="1:17">
      <c r="A229" s="216">
        <v>56</v>
      </c>
      <c r="B229" s="237" t="s">
        <v>1078</v>
      </c>
      <c r="C229" s="231" t="s">
        <v>19</v>
      </c>
      <c r="D229" s="232">
        <f t="shared" si="72"/>
        <v>0</v>
      </c>
      <c r="E229" s="231" t="s">
        <v>753</v>
      </c>
      <c r="F229" s="243"/>
      <c r="G229" s="243"/>
      <c r="H229" s="243"/>
      <c r="I229" s="243"/>
      <c r="J229" s="243"/>
      <c r="K229" s="243"/>
      <c r="L229" s="243"/>
      <c r="M229" s="243"/>
      <c r="N229" s="243"/>
      <c r="O229" s="243"/>
      <c r="P229" s="243"/>
      <c r="Q229" s="243"/>
    </row>
    <row r="230" outlineLevel="1" spans="1:17">
      <c r="A230" s="216">
        <v>57</v>
      </c>
      <c r="B230" s="237" t="s">
        <v>1080</v>
      </c>
      <c r="C230" s="238" t="s">
        <v>2377</v>
      </c>
      <c r="D230" s="239">
        <f t="shared" si="72"/>
        <v>0</v>
      </c>
      <c r="E230" s="238" t="s">
        <v>753</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1080</v>
      </c>
      <c r="C231" s="225" t="s">
        <v>109</v>
      </c>
      <c r="D231" s="226">
        <f t="shared" si="72"/>
        <v>0</v>
      </c>
      <c r="E231" s="225" t="s">
        <v>753</v>
      </c>
      <c r="F231" s="243"/>
      <c r="G231" s="243"/>
      <c r="H231" s="243"/>
      <c r="I231" s="243"/>
      <c r="J231" s="243"/>
      <c r="K231" s="243"/>
      <c r="L231" s="243"/>
      <c r="M231" s="243"/>
      <c r="N231" s="243"/>
      <c r="O231" s="243"/>
      <c r="P231" s="243"/>
      <c r="Q231" s="243"/>
    </row>
    <row r="232" outlineLevel="1" spans="1:17">
      <c r="A232" s="216">
        <v>57</v>
      </c>
      <c r="B232" s="237" t="s">
        <v>1080</v>
      </c>
      <c r="C232" s="228" t="s">
        <v>68</v>
      </c>
      <c r="D232" s="229">
        <f t="shared" si="72"/>
        <v>0</v>
      </c>
      <c r="E232" s="228" t="s">
        <v>753</v>
      </c>
      <c r="F232" s="243"/>
      <c r="G232" s="243"/>
      <c r="H232" s="243"/>
      <c r="I232" s="243"/>
      <c r="J232" s="243"/>
      <c r="K232" s="243"/>
      <c r="L232" s="243"/>
      <c r="M232" s="243"/>
      <c r="N232" s="243"/>
      <c r="O232" s="243"/>
      <c r="P232" s="243"/>
      <c r="Q232" s="243"/>
    </row>
    <row r="233" outlineLevel="1" spans="1:17">
      <c r="A233" s="216">
        <v>57</v>
      </c>
      <c r="B233" s="237" t="s">
        <v>1080</v>
      </c>
      <c r="C233" s="231" t="s">
        <v>19</v>
      </c>
      <c r="D233" s="232">
        <f t="shared" si="72"/>
        <v>0</v>
      </c>
      <c r="E233" s="231" t="s">
        <v>753</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4" t="s">
        <v>729</v>
      </c>
      <c r="C3" s="214" t="s">
        <v>2368</v>
      </c>
      <c r="D3" s="214" t="s">
        <v>2370</v>
      </c>
    </row>
    <row r="4" spans="2:4">
      <c r="B4" t="s">
        <v>1799</v>
      </c>
      <c r="C4" t="s">
        <v>2369</v>
      </c>
      <c r="D4" t="s">
        <v>2380</v>
      </c>
    </row>
    <row r="5" spans="2:4">
      <c r="B5" t="s">
        <v>891</v>
      </c>
      <c r="C5" t="s">
        <v>2381</v>
      </c>
      <c r="D5" t="s">
        <v>2371</v>
      </c>
    </row>
    <row r="6" spans="2:4">
      <c r="B6" s="215" t="s">
        <v>1371</v>
      </c>
      <c r="C6" t="s">
        <v>2382</v>
      </c>
      <c r="D6" t="s">
        <v>2383</v>
      </c>
    </row>
    <row r="7" spans="2:4">
      <c r="B7" t="s">
        <v>751</v>
      </c>
      <c r="D7" t="s">
        <v>2384</v>
      </c>
    </row>
    <row r="8" spans="4:4">
      <c r="D8" t="s">
        <v>2385</v>
      </c>
    </row>
    <row r="9" spans="4:4">
      <c r="D9" t="s">
        <v>2386</v>
      </c>
    </row>
    <row r="10" spans="4:4">
      <c r="D10" t="s">
        <v>2387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100" workbookViewId="0">
      <selection activeCell="F118" sqref="F118"/>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4" t="s">
        <v>1601</v>
      </c>
      <c r="C2" s="174" t="s">
        <v>2388</v>
      </c>
      <c r="D2" s="175">
        <v>150</v>
      </c>
      <c r="E2" s="176"/>
    </row>
    <row r="3" ht="14.5" spans="2:5">
      <c r="B3" s="174" t="s">
        <v>1604</v>
      </c>
      <c r="C3" s="174" t="s">
        <v>2388</v>
      </c>
      <c r="D3" s="175">
        <v>610</v>
      </c>
      <c r="E3" s="176"/>
    </row>
    <row r="4" ht="14.5" spans="2:5">
      <c r="B4" s="174" t="s">
        <v>1607</v>
      </c>
      <c r="C4" s="174" t="s">
        <v>2388</v>
      </c>
      <c r="D4" s="175">
        <v>270</v>
      </c>
      <c r="E4" s="176"/>
    </row>
    <row r="5" ht="14.5" spans="2:5">
      <c r="B5" s="174" t="s">
        <v>1609</v>
      </c>
      <c r="C5" s="174" t="s">
        <v>2388</v>
      </c>
      <c r="D5" s="175">
        <v>600</v>
      </c>
      <c r="E5" s="176"/>
    </row>
    <row r="6" ht="14.5" spans="2:5">
      <c r="B6" s="174" t="s">
        <v>1611</v>
      </c>
      <c r="C6" s="174" t="s">
        <v>2388</v>
      </c>
      <c r="D6" s="175">
        <v>150</v>
      </c>
      <c r="E6" s="176"/>
    </row>
    <row r="7" ht="14.5" spans="2:5">
      <c r="B7" s="174" t="s">
        <v>1613</v>
      </c>
      <c r="C7" s="174" t="s">
        <v>2388</v>
      </c>
      <c r="D7" s="175">
        <v>380</v>
      </c>
      <c r="E7" s="176"/>
    </row>
    <row r="8" ht="14.5" spans="2:5">
      <c r="B8" s="174" t="s">
        <v>1615</v>
      </c>
      <c r="C8" s="174" t="s">
        <v>2388</v>
      </c>
      <c r="D8" s="175">
        <v>150</v>
      </c>
      <c r="E8" s="176"/>
    </row>
    <row r="9" ht="14.5" spans="2:5">
      <c r="B9" s="174" t="s">
        <v>1601</v>
      </c>
      <c r="C9" s="174" t="s">
        <v>2389</v>
      </c>
      <c r="D9" s="175">
        <v>250</v>
      </c>
      <c r="E9" s="176"/>
    </row>
    <row r="10" ht="14.5" spans="2:5">
      <c r="B10" s="174" t="s">
        <v>1604</v>
      </c>
      <c r="C10" s="174" t="s">
        <v>2389</v>
      </c>
      <c r="D10" s="175">
        <v>910</v>
      </c>
      <c r="E10" s="176"/>
    </row>
    <row r="11" ht="14.5" spans="2:5">
      <c r="B11" s="174" t="s">
        <v>1607</v>
      </c>
      <c r="C11" s="174" t="s">
        <v>2389</v>
      </c>
      <c r="D11" s="175">
        <v>260</v>
      </c>
      <c r="E11" s="176"/>
    </row>
    <row r="12" ht="14.5" spans="2:5">
      <c r="B12" s="174" t="s">
        <v>1609</v>
      </c>
      <c r="C12" s="174" t="s">
        <v>2389</v>
      </c>
      <c r="D12" s="175">
        <v>1012</v>
      </c>
      <c r="E12" s="176"/>
    </row>
    <row r="13" ht="14.5" spans="2:5">
      <c r="B13" s="174" t="s">
        <v>1611</v>
      </c>
      <c r="C13" s="174" t="s">
        <v>2389</v>
      </c>
      <c r="D13" s="175">
        <v>150</v>
      </c>
      <c r="E13" s="176"/>
    </row>
    <row r="14" ht="14.5" spans="2:5">
      <c r="B14" s="174" t="s">
        <v>1613</v>
      </c>
      <c r="C14" s="174" t="s">
        <v>2389</v>
      </c>
      <c r="D14" s="175">
        <v>380</v>
      </c>
      <c r="E14" s="176"/>
    </row>
    <row r="15" ht="14.5" spans="2:5">
      <c r="B15" s="174" t="s">
        <v>1615</v>
      </c>
      <c r="C15" s="174" t="s">
        <v>2389</v>
      </c>
      <c r="D15" s="175">
        <v>150</v>
      </c>
      <c r="E15" s="176"/>
    </row>
    <row r="16" ht="14.5" spans="2:5">
      <c r="B16" s="174" t="s">
        <v>1601</v>
      </c>
      <c r="C16" s="174" t="s">
        <v>2390</v>
      </c>
      <c r="D16" s="175">
        <v>250</v>
      </c>
      <c r="E16" s="176"/>
    </row>
    <row r="17" ht="14.5" spans="2:5">
      <c r="B17" s="174" t="s">
        <v>1604</v>
      </c>
      <c r="C17" s="174" t="s">
        <v>2390</v>
      </c>
      <c r="D17" s="175">
        <v>960</v>
      </c>
      <c r="E17" s="176"/>
    </row>
    <row r="18" ht="14.5" spans="2:5">
      <c r="B18" s="174" t="s">
        <v>1607</v>
      </c>
      <c r="C18" s="174" t="s">
        <v>2390</v>
      </c>
      <c r="D18" s="175">
        <v>260</v>
      </c>
      <c r="E18" s="176"/>
    </row>
    <row r="19" ht="14.5" spans="2:5">
      <c r="B19" s="174" t="s">
        <v>1609</v>
      </c>
      <c r="C19" s="174" t="s">
        <v>2390</v>
      </c>
      <c r="D19" s="175">
        <v>1012</v>
      </c>
      <c r="E19" s="176"/>
    </row>
    <row r="20" ht="14.5" spans="2:5">
      <c r="B20" s="174" t="s">
        <v>1611</v>
      </c>
      <c r="C20" s="174" t="s">
        <v>2390</v>
      </c>
      <c r="D20" s="175">
        <v>150</v>
      </c>
      <c r="E20" s="176"/>
    </row>
    <row r="21" ht="14.5" spans="2:5">
      <c r="B21" s="174" t="s">
        <v>1613</v>
      </c>
      <c r="C21" s="174" t="s">
        <v>2390</v>
      </c>
      <c r="D21" s="175">
        <v>380</v>
      </c>
      <c r="E21" s="176"/>
    </row>
    <row r="22" ht="14.5" spans="2:5">
      <c r="B22" s="174" t="s">
        <v>1615</v>
      </c>
      <c r="C22" s="174" t="s">
        <v>2390</v>
      </c>
      <c r="D22" s="175">
        <v>150</v>
      </c>
      <c r="E22" s="176"/>
    </row>
    <row r="26" ht="105" spans="2:131">
      <c r="B26" s="177" t="s">
        <v>2391</v>
      </c>
      <c r="C26" s="178" t="s">
        <v>2392</v>
      </c>
      <c r="D26" s="177" t="s">
        <v>2393</v>
      </c>
      <c r="E26" s="177"/>
      <c r="F26" s="179" t="s">
        <v>2369</v>
      </c>
      <c r="G26" s="179" t="s">
        <v>2369</v>
      </c>
      <c r="H26" s="179" t="s">
        <v>2369</v>
      </c>
      <c r="I26" s="179" t="s">
        <v>2369</v>
      </c>
      <c r="J26" s="179" t="s">
        <v>2369</v>
      </c>
      <c r="K26" s="179" t="s">
        <v>2369</v>
      </c>
      <c r="L26" s="179" t="s">
        <v>2369</v>
      </c>
      <c r="M26" s="179" t="s">
        <v>2369</v>
      </c>
      <c r="N26" s="179" t="s">
        <v>2369</v>
      </c>
      <c r="O26" s="179" t="s">
        <v>2369</v>
      </c>
      <c r="P26" s="179" t="s">
        <v>2369</v>
      </c>
      <c r="Q26" s="179" t="s">
        <v>2369</v>
      </c>
      <c r="R26" s="179" t="s">
        <v>2369</v>
      </c>
      <c r="S26" s="179" t="s">
        <v>2369</v>
      </c>
      <c r="T26" s="179" t="s">
        <v>2369</v>
      </c>
      <c r="U26" s="179" t="s">
        <v>2369</v>
      </c>
      <c r="V26" s="179" t="s">
        <v>2369</v>
      </c>
      <c r="W26" s="179" t="s">
        <v>2369</v>
      </c>
      <c r="X26" s="179" t="s">
        <v>2369</v>
      </c>
      <c r="Y26" s="179" t="s">
        <v>2369</v>
      </c>
      <c r="Z26" s="179" t="s">
        <v>2369</v>
      </c>
      <c r="AA26" s="179" t="s">
        <v>2381</v>
      </c>
      <c r="AB26" s="179" t="s">
        <v>2381</v>
      </c>
      <c r="AC26" s="179" t="s">
        <v>2381</v>
      </c>
      <c r="AD26" s="179" t="s">
        <v>2381</v>
      </c>
      <c r="AE26" s="179" t="s">
        <v>2381</v>
      </c>
      <c r="AF26" s="179" t="s">
        <v>2381</v>
      </c>
      <c r="AG26" s="179" t="s">
        <v>2381</v>
      </c>
      <c r="AH26" s="179" t="s">
        <v>2381</v>
      </c>
      <c r="AI26" s="179" t="s">
        <v>2381</v>
      </c>
      <c r="AJ26" s="179" t="s">
        <v>2381</v>
      </c>
      <c r="AK26" s="179" t="s">
        <v>2381</v>
      </c>
      <c r="AL26" s="179" t="s">
        <v>2381</v>
      </c>
      <c r="AM26" s="179" t="s">
        <v>2381</v>
      </c>
      <c r="AN26" s="179" t="s">
        <v>2381</v>
      </c>
      <c r="AO26" s="179" t="s">
        <v>2381</v>
      </c>
      <c r="AP26" s="179" t="s">
        <v>2381</v>
      </c>
      <c r="AQ26" s="179" t="s">
        <v>2381</v>
      </c>
      <c r="AR26" s="179" t="s">
        <v>2381</v>
      </c>
      <c r="AS26" s="179" t="s">
        <v>2381</v>
      </c>
      <c r="AT26" s="179" t="s">
        <v>2381</v>
      </c>
      <c r="AU26" s="179" t="s">
        <v>2381</v>
      </c>
      <c r="AV26" s="179" t="s">
        <v>2382</v>
      </c>
      <c r="AW26" s="179" t="s">
        <v>2382</v>
      </c>
      <c r="AX26" s="179" t="s">
        <v>2382</v>
      </c>
      <c r="AY26" s="179" t="s">
        <v>2382</v>
      </c>
      <c r="AZ26" s="179" t="s">
        <v>2382</v>
      </c>
      <c r="BA26" s="179" t="s">
        <v>2382</v>
      </c>
      <c r="BB26" s="179" t="s">
        <v>2382</v>
      </c>
      <c r="BC26" s="179" t="s">
        <v>2382</v>
      </c>
      <c r="BD26" s="179" t="s">
        <v>2382</v>
      </c>
      <c r="BE26" s="179" t="s">
        <v>2382</v>
      </c>
      <c r="BF26" s="179" t="s">
        <v>2382</v>
      </c>
      <c r="BG26" s="179" t="s">
        <v>2382</v>
      </c>
      <c r="BH26" s="179" t="s">
        <v>2382</v>
      </c>
      <c r="BI26" s="179" t="s">
        <v>2382</v>
      </c>
      <c r="BJ26" s="179" t="s">
        <v>2382</v>
      </c>
      <c r="BK26" s="179" t="s">
        <v>2382</v>
      </c>
      <c r="BL26" s="179" t="s">
        <v>2382</v>
      </c>
      <c r="BM26" s="179" t="s">
        <v>2382</v>
      </c>
      <c r="BN26" s="179" t="s">
        <v>2382</v>
      </c>
      <c r="BO26" s="179" t="s">
        <v>2382</v>
      </c>
      <c r="BP26" s="179" t="s">
        <v>2382</v>
      </c>
      <c r="BQ26" s="179" t="s">
        <v>2369</v>
      </c>
      <c r="BR26" s="179" t="s">
        <v>2369</v>
      </c>
      <c r="BS26" s="179" t="s">
        <v>2369</v>
      </c>
      <c r="BT26" s="179" t="s">
        <v>2369</v>
      </c>
      <c r="BU26" s="179" t="s">
        <v>2369</v>
      </c>
      <c r="BV26" s="179" t="s">
        <v>2369</v>
      </c>
      <c r="BW26" s="179" t="s">
        <v>2369</v>
      </c>
      <c r="BX26" s="179" t="s">
        <v>2369</v>
      </c>
      <c r="BY26" s="179" t="s">
        <v>2369</v>
      </c>
      <c r="BZ26" s="179" t="s">
        <v>2369</v>
      </c>
      <c r="CA26" s="179" t="s">
        <v>2369</v>
      </c>
      <c r="CB26" s="179" t="s">
        <v>2369</v>
      </c>
      <c r="CC26" s="179" t="s">
        <v>2369</v>
      </c>
      <c r="CD26" s="179" t="s">
        <v>2369</v>
      </c>
      <c r="CE26" s="179" t="s">
        <v>2369</v>
      </c>
      <c r="CF26" s="179" t="s">
        <v>2369</v>
      </c>
      <c r="CG26" s="179" t="s">
        <v>2369</v>
      </c>
      <c r="CH26" s="179" t="s">
        <v>2369</v>
      </c>
      <c r="CI26" s="179" t="s">
        <v>2369</v>
      </c>
      <c r="CJ26" s="179" t="s">
        <v>2369</v>
      </c>
      <c r="CK26" s="179" t="s">
        <v>2369</v>
      </c>
      <c r="CL26" s="179" t="s">
        <v>2381</v>
      </c>
      <c r="CM26" s="179" t="s">
        <v>2381</v>
      </c>
      <c r="CN26" s="179" t="s">
        <v>2381</v>
      </c>
      <c r="CO26" s="179" t="s">
        <v>2381</v>
      </c>
      <c r="CP26" s="179" t="s">
        <v>2381</v>
      </c>
      <c r="CQ26" s="179" t="s">
        <v>2381</v>
      </c>
      <c r="CR26" s="179" t="s">
        <v>2381</v>
      </c>
      <c r="CS26" s="179" t="s">
        <v>2381</v>
      </c>
      <c r="CT26" s="179" t="s">
        <v>2381</v>
      </c>
      <c r="CU26" s="179" t="s">
        <v>2381</v>
      </c>
      <c r="CV26" s="179" t="s">
        <v>2381</v>
      </c>
      <c r="CW26" s="179" t="s">
        <v>2381</v>
      </c>
      <c r="CX26" s="179" t="s">
        <v>2381</v>
      </c>
      <c r="CY26" s="179" t="s">
        <v>2381</v>
      </c>
      <c r="CZ26" s="179" t="s">
        <v>2381</v>
      </c>
      <c r="DA26" s="179" t="s">
        <v>2381</v>
      </c>
      <c r="DB26" s="179" t="s">
        <v>2381</v>
      </c>
      <c r="DC26" s="179" t="s">
        <v>2381</v>
      </c>
      <c r="DD26" s="179" t="s">
        <v>2381</v>
      </c>
      <c r="DE26" s="179" t="s">
        <v>2381</v>
      </c>
      <c r="DF26" s="179" t="s">
        <v>2381</v>
      </c>
      <c r="DG26" s="179" t="s">
        <v>2382</v>
      </c>
      <c r="DH26" s="179" t="s">
        <v>2382</v>
      </c>
      <c r="DI26" s="179" t="s">
        <v>2382</v>
      </c>
      <c r="DJ26" s="179" t="s">
        <v>2382</v>
      </c>
      <c r="DK26" s="179" t="s">
        <v>2382</v>
      </c>
      <c r="DL26" s="179" t="s">
        <v>2382</v>
      </c>
      <c r="DM26" s="179" t="s">
        <v>2382</v>
      </c>
      <c r="DN26" s="179" t="s">
        <v>2382</v>
      </c>
      <c r="DO26" s="179" t="s">
        <v>2382</v>
      </c>
      <c r="DP26" s="179" t="s">
        <v>2382</v>
      </c>
      <c r="DQ26" s="179" t="s">
        <v>2382</v>
      </c>
      <c r="DR26" s="179" t="s">
        <v>2382</v>
      </c>
      <c r="DS26" s="179" t="s">
        <v>2382</v>
      </c>
      <c r="DT26" s="179" t="s">
        <v>2382</v>
      </c>
      <c r="DU26" s="179" t="s">
        <v>2382</v>
      </c>
      <c r="DV26" s="179" t="s">
        <v>2382</v>
      </c>
      <c r="DW26" s="179" t="s">
        <v>2382</v>
      </c>
      <c r="DX26" s="179" t="s">
        <v>2382</v>
      </c>
      <c r="DY26" s="179" t="s">
        <v>2382</v>
      </c>
      <c r="DZ26" s="179" t="s">
        <v>2382</v>
      </c>
      <c r="EA26" s="179" t="s">
        <v>2382</v>
      </c>
    </row>
    <row r="27" ht="35" spans="2:131">
      <c r="B27" s="177"/>
      <c r="C27" s="180"/>
      <c r="D27" s="177"/>
      <c r="E27" s="177"/>
      <c r="F27" s="179" t="s">
        <v>2394</v>
      </c>
      <c r="G27" s="179" t="s">
        <v>2394</v>
      </c>
      <c r="H27" s="179" t="s">
        <v>2394</v>
      </c>
      <c r="I27" s="179" t="s">
        <v>2394</v>
      </c>
      <c r="J27" s="179" t="s">
        <v>2394</v>
      </c>
      <c r="K27" s="179" t="s">
        <v>2394</v>
      </c>
      <c r="L27" s="179" t="s">
        <v>2394</v>
      </c>
      <c r="M27" s="179" t="s">
        <v>2395</v>
      </c>
      <c r="N27" s="179" t="s">
        <v>2395</v>
      </c>
      <c r="O27" s="179" t="s">
        <v>2395</v>
      </c>
      <c r="P27" s="179" t="s">
        <v>2395</v>
      </c>
      <c r="Q27" s="179" t="s">
        <v>2395</v>
      </c>
      <c r="R27" s="179" t="s">
        <v>2395</v>
      </c>
      <c r="S27" s="179" t="s">
        <v>2395</v>
      </c>
      <c r="T27" s="179" t="s">
        <v>2396</v>
      </c>
      <c r="U27" s="179" t="s">
        <v>2396</v>
      </c>
      <c r="V27" s="179" t="s">
        <v>2396</v>
      </c>
      <c r="W27" s="179" t="s">
        <v>2396</v>
      </c>
      <c r="X27" s="179" t="s">
        <v>2396</v>
      </c>
      <c r="Y27" s="179" t="s">
        <v>2396</v>
      </c>
      <c r="Z27" s="179" t="s">
        <v>2396</v>
      </c>
      <c r="AA27" s="179" t="s">
        <v>2394</v>
      </c>
      <c r="AB27" s="179" t="s">
        <v>2394</v>
      </c>
      <c r="AC27" s="179" t="s">
        <v>2394</v>
      </c>
      <c r="AD27" s="179" t="s">
        <v>2394</v>
      </c>
      <c r="AE27" s="179" t="s">
        <v>2394</v>
      </c>
      <c r="AF27" s="179" t="s">
        <v>2394</v>
      </c>
      <c r="AG27" s="179" t="s">
        <v>2394</v>
      </c>
      <c r="AH27" s="179" t="s">
        <v>2395</v>
      </c>
      <c r="AI27" s="179" t="s">
        <v>2395</v>
      </c>
      <c r="AJ27" s="179" t="s">
        <v>2395</v>
      </c>
      <c r="AK27" s="179" t="s">
        <v>2395</v>
      </c>
      <c r="AL27" s="179" t="s">
        <v>2395</v>
      </c>
      <c r="AM27" s="179" t="s">
        <v>2395</v>
      </c>
      <c r="AN27" s="179" t="s">
        <v>2395</v>
      </c>
      <c r="AO27" s="179" t="s">
        <v>2396</v>
      </c>
      <c r="AP27" s="179" t="s">
        <v>2396</v>
      </c>
      <c r="AQ27" s="179" t="s">
        <v>2396</v>
      </c>
      <c r="AR27" s="179" t="s">
        <v>2396</v>
      </c>
      <c r="AS27" s="179" t="s">
        <v>2396</v>
      </c>
      <c r="AT27" s="179" t="s">
        <v>2396</v>
      </c>
      <c r="AU27" s="179" t="s">
        <v>2396</v>
      </c>
      <c r="AV27" s="179" t="s">
        <v>2394</v>
      </c>
      <c r="AW27" s="179" t="s">
        <v>2394</v>
      </c>
      <c r="AX27" s="179" t="s">
        <v>2394</v>
      </c>
      <c r="AY27" s="179" t="s">
        <v>2394</v>
      </c>
      <c r="AZ27" s="179" t="s">
        <v>2394</v>
      </c>
      <c r="BA27" s="179" t="s">
        <v>2394</v>
      </c>
      <c r="BB27" s="179" t="s">
        <v>2394</v>
      </c>
      <c r="BC27" s="179" t="s">
        <v>2395</v>
      </c>
      <c r="BD27" s="179" t="s">
        <v>2395</v>
      </c>
      <c r="BE27" s="179" t="s">
        <v>2395</v>
      </c>
      <c r="BF27" s="179" t="s">
        <v>2395</v>
      </c>
      <c r="BG27" s="179" t="s">
        <v>2395</v>
      </c>
      <c r="BH27" s="179" t="s">
        <v>2395</v>
      </c>
      <c r="BI27" s="179" t="s">
        <v>2395</v>
      </c>
      <c r="BJ27" s="179" t="s">
        <v>2396</v>
      </c>
      <c r="BK27" s="179" t="s">
        <v>2396</v>
      </c>
      <c r="BL27" s="179" t="s">
        <v>2396</v>
      </c>
      <c r="BM27" s="179" t="s">
        <v>2396</v>
      </c>
      <c r="BN27" s="179" t="s">
        <v>2396</v>
      </c>
      <c r="BO27" s="179" t="s">
        <v>2396</v>
      </c>
      <c r="BP27" s="179" t="s">
        <v>2396</v>
      </c>
      <c r="BQ27" s="179" t="s">
        <v>2394</v>
      </c>
      <c r="BR27" s="179" t="s">
        <v>2394</v>
      </c>
      <c r="BS27" s="179" t="s">
        <v>2394</v>
      </c>
      <c r="BT27" s="179" t="s">
        <v>2394</v>
      </c>
      <c r="BU27" s="179" t="s">
        <v>2394</v>
      </c>
      <c r="BV27" s="179" t="s">
        <v>2394</v>
      </c>
      <c r="BW27" s="179" t="s">
        <v>2394</v>
      </c>
      <c r="BX27" s="179" t="s">
        <v>2395</v>
      </c>
      <c r="BY27" s="179" t="s">
        <v>2395</v>
      </c>
      <c r="BZ27" s="179" t="s">
        <v>2395</v>
      </c>
      <c r="CA27" s="179" t="s">
        <v>2395</v>
      </c>
      <c r="CB27" s="179" t="s">
        <v>2395</v>
      </c>
      <c r="CC27" s="179" t="s">
        <v>2395</v>
      </c>
      <c r="CD27" s="179" t="s">
        <v>2395</v>
      </c>
      <c r="CE27" s="179" t="s">
        <v>2396</v>
      </c>
      <c r="CF27" s="179" t="s">
        <v>2396</v>
      </c>
      <c r="CG27" s="179" t="s">
        <v>2396</v>
      </c>
      <c r="CH27" s="179" t="s">
        <v>2396</v>
      </c>
      <c r="CI27" s="179" t="s">
        <v>2396</v>
      </c>
      <c r="CJ27" s="179" t="s">
        <v>2396</v>
      </c>
      <c r="CK27" s="179" t="s">
        <v>2396</v>
      </c>
      <c r="CL27" s="179" t="s">
        <v>2394</v>
      </c>
      <c r="CM27" s="179" t="s">
        <v>2394</v>
      </c>
      <c r="CN27" s="179" t="s">
        <v>2394</v>
      </c>
      <c r="CO27" s="179" t="s">
        <v>2394</v>
      </c>
      <c r="CP27" s="179" t="s">
        <v>2394</v>
      </c>
      <c r="CQ27" s="179" t="s">
        <v>2394</v>
      </c>
      <c r="CR27" s="179" t="s">
        <v>2394</v>
      </c>
      <c r="CS27" s="179" t="s">
        <v>2395</v>
      </c>
      <c r="CT27" s="179" t="s">
        <v>2395</v>
      </c>
      <c r="CU27" s="179" t="s">
        <v>2395</v>
      </c>
      <c r="CV27" s="179" t="s">
        <v>2395</v>
      </c>
      <c r="CW27" s="179" t="s">
        <v>2395</v>
      </c>
      <c r="CX27" s="179" t="s">
        <v>2395</v>
      </c>
      <c r="CY27" s="179" t="s">
        <v>2395</v>
      </c>
      <c r="CZ27" s="179" t="s">
        <v>2396</v>
      </c>
      <c r="DA27" s="179" t="s">
        <v>2396</v>
      </c>
      <c r="DB27" s="179" t="s">
        <v>2396</v>
      </c>
      <c r="DC27" s="179" t="s">
        <v>2396</v>
      </c>
      <c r="DD27" s="179" t="s">
        <v>2396</v>
      </c>
      <c r="DE27" s="179" t="s">
        <v>2396</v>
      </c>
      <c r="DF27" s="179" t="s">
        <v>2396</v>
      </c>
      <c r="DG27" s="179" t="s">
        <v>2394</v>
      </c>
      <c r="DH27" s="179" t="s">
        <v>2394</v>
      </c>
      <c r="DI27" s="179" t="s">
        <v>2394</v>
      </c>
      <c r="DJ27" s="179" t="s">
        <v>2394</v>
      </c>
      <c r="DK27" s="179" t="s">
        <v>2394</v>
      </c>
      <c r="DL27" s="179" t="s">
        <v>2394</v>
      </c>
      <c r="DM27" s="179" t="s">
        <v>2394</v>
      </c>
      <c r="DN27" s="179" t="s">
        <v>2395</v>
      </c>
      <c r="DO27" s="179" t="s">
        <v>2395</v>
      </c>
      <c r="DP27" s="179" t="s">
        <v>2395</v>
      </c>
      <c r="DQ27" s="179" t="s">
        <v>2395</v>
      </c>
      <c r="DR27" s="179" t="s">
        <v>2395</v>
      </c>
      <c r="DS27" s="179" t="s">
        <v>2395</v>
      </c>
      <c r="DT27" s="179" t="s">
        <v>2395</v>
      </c>
      <c r="DU27" s="179" t="s">
        <v>2396</v>
      </c>
      <c r="DV27" s="179" t="s">
        <v>2396</v>
      </c>
      <c r="DW27" s="179" t="s">
        <v>2396</v>
      </c>
      <c r="DX27" s="179" t="s">
        <v>2396</v>
      </c>
      <c r="DY27" s="179" t="s">
        <v>2396</v>
      </c>
      <c r="DZ27" s="179" t="s">
        <v>2396</v>
      </c>
      <c r="EA27" s="179" t="s">
        <v>2396</v>
      </c>
    </row>
    <row r="28" ht="42" spans="2:131">
      <c r="B28" s="177"/>
      <c r="C28" s="181"/>
      <c r="D28" s="177"/>
      <c r="E28" s="177"/>
      <c r="F28" s="179" t="s">
        <v>2380</v>
      </c>
      <c r="G28" s="182" t="s">
        <v>2371</v>
      </c>
      <c r="H28" s="182" t="s">
        <v>2383</v>
      </c>
      <c r="I28" s="182" t="s">
        <v>2384</v>
      </c>
      <c r="J28" s="182" t="s">
        <v>2385</v>
      </c>
      <c r="K28" s="182" t="s">
        <v>2386</v>
      </c>
      <c r="L28" s="203" t="s">
        <v>2387</v>
      </c>
      <c r="M28" s="179" t="s">
        <v>2380</v>
      </c>
      <c r="N28" s="182" t="s">
        <v>2371</v>
      </c>
      <c r="O28" s="182" t="s">
        <v>2383</v>
      </c>
      <c r="P28" s="204" t="s">
        <v>2384</v>
      </c>
      <c r="Q28" s="204" t="s">
        <v>2385</v>
      </c>
      <c r="R28" s="204" t="s">
        <v>2386</v>
      </c>
      <c r="S28" s="203" t="s">
        <v>2387</v>
      </c>
      <c r="T28" s="208" t="s">
        <v>2380</v>
      </c>
      <c r="U28" s="204" t="s">
        <v>2371</v>
      </c>
      <c r="V28" s="204" t="s">
        <v>2383</v>
      </c>
      <c r="W28" s="204" t="s">
        <v>2384</v>
      </c>
      <c r="X28" s="204" t="s">
        <v>2385</v>
      </c>
      <c r="Y28" s="204" t="s">
        <v>2386</v>
      </c>
      <c r="Z28" s="203" t="s">
        <v>2387</v>
      </c>
      <c r="AA28" s="209" t="s">
        <v>2380</v>
      </c>
      <c r="AB28" s="204" t="s">
        <v>2371</v>
      </c>
      <c r="AC28" s="204" t="s">
        <v>2383</v>
      </c>
      <c r="AD28" s="204" t="s">
        <v>2384</v>
      </c>
      <c r="AE28" s="204" t="s">
        <v>2385</v>
      </c>
      <c r="AF28" s="204" t="s">
        <v>2386</v>
      </c>
      <c r="AG28" s="203" t="s">
        <v>2387</v>
      </c>
      <c r="AH28" s="209" t="s">
        <v>2380</v>
      </c>
      <c r="AI28" s="204" t="s">
        <v>2371</v>
      </c>
      <c r="AJ28" s="204" t="s">
        <v>2383</v>
      </c>
      <c r="AK28" s="204" t="s">
        <v>2384</v>
      </c>
      <c r="AL28" s="204" t="s">
        <v>2385</v>
      </c>
      <c r="AM28" s="204" t="s">
        <v>2386</v>
      </c>
      <c r="AN28" s="203" t="s">
        <v>2387</v>
      </c>
      <c r="AO28" s="209" t="s">
        <v>2380</v>
      </c>
      <c r="AP28" s="204" t="s">
        <v>2371</v>
      </c>
      <c r="AQ28" s="204" t="s">
        <v>2383</v>
      </c>
      <c r="AR28" s="204" t="s">
        <v>2384</v>
      </c>
      <c r="AS28" s="204" t="s">
        <v>2385</v>
      </c>
      <c r="AT28" s="204" t="s">
        <v>2386</v>
      </c>
      <c r="AU28" s="203" t="s">
        <v>2387</v>
      </c>
      <c r="AV28" s="208" t="s">
        <v>2380</v>
      </c>
      <c r="AW28" s="203" t="s">
        <v>2371</v>
      </c>
      <c r="AX28" s="203" t="s">
        <v>2383</v>
      </c>
      <c r="AY28" s="203" t="s">
        <v>2384</v>
      </c>
      <c r="AZ28" s="203" t="s">
        <v>2385</v>
      </c>
      <c r="BA28" s="203" t="s">
        <v>2386</v>
      </c>
      <c r="BB28" s="203" t="s">
        <v>2387</v>
      </c>
      <c r="BC28" s="208" t="s">
        <v>2380</v>
      </c>
      <c r="BD28" s="203" t="s">
        <v>2371</v>
      </c>
      <c r="BE28" s="203" t="s">
        <v>2383</v>
      </c>
      <c r="BF28" s="203" t="s">
        <v>2384</v>
      </c>
      <c r="BG28" s="211" t="s">
        <v>2385</v>
      </c>
      <c r="BH28" s="211" t="s">
        <v>2386</v>
      </c>
      <c r="BI28" s="211" t="s">
        <v>2387</v>
      </c>
      <c r="BJ28" s="179" t="s">
        <v>2380</v>
      </c>
      <c r="BK28" s="211" t="s">
        <v>2371</v>
      </c>
      <c r="BL28" s="211" t="s">
        <v>2383</v>
      </c>
      <c r="BM28" s="211" t="s">
        <v>2384</v>
      </c>
      <c r="BN28" s="211" t="s">
        <v>2385</v>
      </c>
      <c r="BO28" s="211" t="s">
        <v>2386</v>
      </c>
      <c r="BP28" s="211" t="s">
        <v>2387</v>
      </c>
      <c r="BQ28" s="179" t="s">
        <v>2380</v>
      </c>
      <c r="BR28" s="182" t="s">
        <v>2371</v>
      </c>
      <c r="BS28" s="182" t="s">
        <v>2383</v>
      </c>
      <c r="BT28" s="182" t="s">
        <v>2384</v>
      </c>
      <c r="BU28" s="182" t="s">
        <v>2385</v>
      </c>
      <c r="BV28" s="182" t="s">
        <v>2386</v>
      </c>
      <c r="BW28" s="203" t="s">
        <v>2387</v>
      </c>
      <c r="BX28" s="179" t="s">
        <v>2380</v>
      </c>
      <c r="BY28" s="182" t="s">
        <v>2371</v>
      </c>
      <c r="BZ28" s="182" t="s">
        <v>2383</v>
      </c>
      <c r="CA28" s="204" t="s">
        <v>2384</v>
      </c>
      <c r="CB28" s="204" t="s">
        <v>2385</v>
      </c>
      <c r="CC28" s="204" t="s">
        <v>2386</v>
      </c>
      <c r="CD28" s="203" t="s">
        <v>2387</v>
      </c>
      <c r="CE28" s="208" t="s">
        <v>2380</v>
      </c>
      <c r="CF28" s="204" t="s">
        <v>2371</v>
      </c>
      <c r="CG28" s="204" t="s">
        <v>2383</v>
      </c>
      <c r="CH28" s="204" t="s">
        <v>2384</v>
      </c>
      <c r="CI28" s="204" t="s">
        <v>2385</v>
      </c>
      <c r="CJ28" s="204" t="s">
        <v>2386</v>
      </c>
      <c r="CK28" s="203" t="s">
        <v>2387</v>
      </c>
      <c r="CL28" s="209" t="s">
        <v>2380</v>
      </c>
      <c r="CM28" s="204" t="s">
        <v>2371</v>
      </c>
      <c r="CN28" s="204" t="s">
        <v>2383</v>
      </c>
      <c r="CO28" s="204" t="s">
        <v>2384</v>
      </c>
      <c r="CP28" s="204" t="s">
        <v>2385</v>
      </c>
      <c r="CQ28" s="204" t="s">
        <v>2386</v>
      </c>
      <c r="CR28" s="203" t="s">
        <v>2387</v>
      </c>
      <c r="CS28" s="209" t="s">
        <v>2380</v>
      </c>
      <c r="CT28" s="204" t="s">
        <v>2371</v>
      </c>
      <c r="CU28" s="204" t="s">
        <v>2383</v>
      </c>
      <c r="CV28" s="204" t="s">
        <v>2384</v>
      </c>
      <c r="CW28" s="204" t="s">
        <v>2385</v>
      </c>
      <c r="CX28" s="204" t="s">
        <v>2386</v>
      </c>
      <c r="CY28" s="203" t="s">
        <v>2387</v>
      </c>
      <c r="CZ28" s="209" t="s">
        <v>2380</v>
      </c>
      <c r="DA28" s="204" t="s">
        <v>2371</v>
      </c>
      <c r="DB28" s="204" t="s">
        <v>2383</v>
      </c>
      <c r="DC28" s="204" t="s">
        <v>2384</v>
      </c>
      <c r="DD28" s="204" t="s">
        <v>2385</v>
      </c>
      <c r="DE28" s="204" t="s">
        <v>2386</v>
      </c>
      <c r="DF28" s="203" t="s">
        <v>2387</v>
      </c>
      <c r="DG28" s="208" t="s">
        <v>2380</v>
      </c>
      <c r="DH28" s="203" t="s">
        <v>2371</v>
      </c>
      <c r="DI28" s="203" t="s">
        <v>2383</v>
      </c>
      <c r="DJ28" s="203" t="s">
        <v>2384</v>
      </c>
      <c r="DK28" s="203" t="s">
        <v>2385</v>
      </c>
      <c r="DL28" s="203" t="s">
        <v>2386</v>
      </c>
      <c r="DM28" s="203" t="s">
        <v>2387</v>
      </c>
      <c r="DN28" s="208" t="s">
        <v>2380</v>
      </c>
      <c r="DO28" s="203" t="s">
        <v>2371</v>
      </c>
      <c r="DP28" s="203" t="s">
        <v>2383</v>
      </c>
      <c r="DQ28" s="203" t="s">
        <v>2384</v>
      </c>
      <c r="DR28" s="211" t="s">
        <v>2385</v>
      </c>
      <c r="DS28" s="211" t="s">
        <v>2386</v>
      </c>
      <c r="DT28" s="211" t="s">
        <v>2387</v>
      </c>
      <c r="DU28" s="179" t="s">
        <v>2380</v>
      </c>
      <c r="DV28" s="211" t="s">
        <v>2371</v>
      </c>
      <c r="DW28" s="211" t="s">
        <v>2383</v>
      </c>
      <c r="DX28" s="211" t="s">
        <v>2384</v>
      </c>
      <c r="DY28" s="211" t="s">
        <v>2385</v>
      </c>
      <c r="DZ28" s="211" t="s">
        <v>2386</v>
      </c>
      <c r="EA28" s="211" t="s">
        <v>2387</v>
      </c>
    </row>
    <row r="29" ht="21" spans="2:131">
      <c r="B29" s="178"/>
      <c r="C29" s="180"/>
      <c r="D29" s="177"/>
      <c r="E29" s="177"/>
      <c r="F29" s="179" t="s">
        <v>2397</v>
      </c>
      <c r="G29" s="179" t="s">
        <v>2397</v>
      </c>
      <c r="H29" s="179" t="s">
        <v>2397</v>
      </c>
      <c r="I29" s="179" t="s">
        <v>2397</v>
      </c>
      <c r="J29" s="179" t="s">
        <v>2397</v>
      </c>
      <c r="K29" s="179" t="s">
        <v>2397</v>
      </c>
      <c r="L29" s="179" t="s">
        <v>2397</v>
      </c>
      <c r="M29" s="179" t="s">
        <v>2397</v>
      </c>
      <c r="N29" s="179" t="s">
        <v>2397</v>
      </c>
      <c r="O29" s="179" t="s">
        <v>2397</v>
      </c>
      <c r="P29" s="179" t="s">
        <v>2397</v>
      </c>
      <c r="Q29" s="179" t="s">
        <v>2397</v>
      </c>
      <c r="R29" s="179" t="s">
        <v>2397</v>
      </c>
      <c r="S29" s="179" t="s">
        <v>2397</v>
      </c>
      <c r="T29" s="179" t="s">
        <v>2397</v>
      </c>
      <c r="U29" s="179" t="s">
        <v>2397</v>
      </c>
      <c r="V29" s="179" t="s">
        <v>2397</v>
      </c>
      <c r="W29" s="179" t="s">
        <v>2397</v>
      </c>
      <c r="X29" s="179" t="s">
        <v>2397</v>
      </c>
      <c r="Y29" s="179" t="s">
        <v>2397</v>
      </c>
      <c r="Z29" s="179" t="s">
        <v>2397</v>
      </c>
      <c r="AA29" s="179" t="s">
        <v>2397</v>
      </c>
      <c r="AB29" s="179" t="s">
        <v>2397</v>
      </c>
      <c r="AC29" s="179" t="s">
        <v>2397</v>
      </c>
      <c r="AD29" s="179" t="s">
        <v>2397</v>
      </c>
      <c r="AE29" s="179" t="s">
        <v>2397</v>
      </c>
      <c r="AF29" s="179" t="s">
        <v>2397</v>
      </c>
      <c r="AG29" s="179" t="s">
        <v>2397</v>
      </c>
      <c r="AH29" s="179" t="s">
        <v>2397</v>
      </c>
      <c r="AI29" s="179" t="s">
        <v>2397</v>
      </c>
      <c r="AJ29" s="179" t="s">
        <v>2397</v>
      </c>
      <c r="AK29" s="179" t="s">
        <v>2397</v>
      </c>
      <c r="AL29" s="179" t="s">
        <v>2397</v>
      </c>
      <c r="AM29" s="179" t="s">
        <v>2397</v>
      </c>
      <c r="AN29" s="179" t="s">
        <v>2397</v>
      </c>
      <c r="AO29" s="179" t="s">
        <v>2397</v>
      </c>
      <c r="AP29" s="179" t="s">
        <v>2397</v>
      </c>
      <c r="AQ29" s="179" t="s">
        <v>2397</v>
      </c>
      <c r="AR29" s="179" t="s">
        <v>2397</v>
      </c>
      <c r="AS29" s="179" t="s">
        <v>2397</v>
      </c>
      <c r="AT29" s="179" t="s">
        <v>2397</v>
      </c>
      <c r="AU29" s="179" t="s">
        <v>2397</v>
      </c>
      <c r="AV29" s="179" t="s">
        <v>2397</v>
      </c>
      <c r="AW29" s="179" t="s">
        <v>2397</v>
      </c>
      <c r="AX29" s="179" t="s">
        <v>2397</v>
      </c>
      <c r="AY29" s="179" t="s">
        <v>2397</v>
      </c>
      <c r="AZ29" s="179" t="s">
        <v>2397</v>
      </c>
      <c r="BA29" s="179" t="s">
        <v>2397</v>
      </c>
      <c r="BB29" s="179" t="s">
        <v>2397</v>
      </c>
      <c r="BC29" s="179" t="s">
        <v>2397</v>
      </c>
      <c r="BD29" s="179" t="s">
        <v>2397</v>
      </c>
      <c r="BE29" s="179" t="s">
        <v>2397</v>
      </c>
      <c r="BF29" s="179" t="s">
        <v>2397</v>
      </c>
      <c r="BG29" s="179" t="s">
        <v>2397</v>
      </c>
      <c r="BH29" s="179" t="s">
        <v>2397</v>
      </c>
      <c r="BI29" s="179" t="s">
        <v>2397</v>
      </c>
      <c r="BJ29" s="179" t="s">
        <v>2397</v>
      </c>
      <c r="BK29" s="179" t="s">
        <v>2397</v>
      </c>
      <c r="BL29" s="179" t="s">
        <v>2397</v>
      </c>
      <c r="BM29" s="179" t="s">
        <v>2397</v>
      </c>
      <c r="BN29" s="179" t="s">
        <v>2397</v>
      </c>
      <c r="BO29" s="179" t="s">
        <v>2397</v>
      </c>
      <c r="BP29" s="179" t="s">
        <v>2397</v>
      </c>
      <c r="BQ29" s="179" t="s">
        <v>2366</v>
      </c>
      <c r="BR29" s="179" t="s">
        <v>2366</v>
      </c>
      <c r="BS29" s="179" t="s">
        <v>2366</v>
      </c>
      <c r="BT29" s="179" t="s">
        <v>2366</v>
      </c>
      <c r="BU29" s="179" t="s">
        <v>2366</v>
      </c>
      <c r="BV29" s="179" t="s">
        <v>2366</v>
      </c>
      <c r="BW29" s="179" t="s">
        <v>2366</v>
      </c>
      <c r="BX29" s="179" t="s">
        <v>2366</v>
      </c>
      <c r="BY29" s="179" t="s">
        <v>2366</v>
      </c>
      <c r="BZ29" s="179" t="s">
        <v>2366</v>
      </c>
      <c r="CA29" s="179" t="s">
        <v>2366</v>
      </c>
      <c r="CB29" s="179" t="s">
        <v>2366</v>
      </c>
      <c r="CC29" s="179" t="s">
        <v>2366</v>
      </c>
      <c r="CD29" s="179" t="s">
        <v>2366</v>
      </c>
      <c r="CE29" s="179" t="s">
        <v>2366</v>
      </c>
      <c r="CF29" s="179" t="s">
        <v>2366</v>
      </c>
      <c r="CG29" s="179" t="s">
        <v>2366</v>
      </c>
      <c r="CH29" s="179" t="s">
        <v>2366</v>
      </c>
      <c r="CI29" s="179" t="s">
        <v>2366</v>
      </c>
      <c r="CJ29" s="179" t="s">
        <v>2366</v>
      </c>
      <c r="CK29" s="179" t="s">
        <v>2366</v>
      </c>
      <c r="CL29" s="179" t="s">
        <v>2366</v>
      </c>
      <c r="CM29" s="179" t="s">
        <v>2366</v>
      </c>
      <c r="CN29" s="179" t="s">
        <v>2366</v>
      </c>
      <c r="CO29" s="179" t="s">
        <v>2366</v>
      </c>
      <c r="CP29" s="179" t="s">
        <v>2366</v>
      </c>
      <c r="CQ29" s="179" t="s">
        <v>2366</v>
      </c>
      <c r="CR29" s="179" t="s">
        <v>2366</v>
      </c>
      <c r="CS29" s="179" t="s">
        <v>2366</v>
      </c>
      <c r="CT29" s="179" t="s">
        <v>2366</v>
      </c>
      <c r="CU29" s="179" t="s">
        <v>2366</v>
      </c>
      <c r="CV29" s="179" t="s">
        <v>2366</v>
      </c>
      <c r="CW29" s="179" t="s">
        <v>2366</v>
      </c>
      <c r="CX29" s="179" t="s">
        <v>2366</v>
      </c>
      <c r="CY29" s="179" t="s">
        <v>2366</v>
      </c>
      <c r="CZ29" s="179" t="s">
        <v>2366</v>
      </c>
      <c r="DA29" s="179" t="s">
        <v>2366</v>
      </c>
      <c r="DB29" s="179" t="s">
        <v>2366</v>
      </c>
      <c r="DC29" s="179" t="s">
        <v>2366</v>
      </c>
      <c r="DD29" s="179" t="s">
        <v>2366</v>
      </c>
      <c r="DE29" s="179" t="s">
        <v>2366</v>
      </c>
      <c r="DF29" s="179" t="s">
        <v>2366</v>
      </c>
      <c r="DG29" s="179" t="s">
        <v>2366</v>
      </c>
      <c r="DH29" s="179" t="s">
        <v>2366</v>
      </c>
      <c r="DI29" s="179" t="s">
        <v>2366</v>
      </c>
      <c r="DJ29" s="179" t="s">
        <v>2366</v>
      </c>
      <c r="DK29" s="179" t="s">
        <v>2366</v>
      </c>
      <c r="DL29" s="179" t="s">
        <v>2366</v>
      </c>
      <c r="DM29" s="179" t="s">
        <v>2366</v>
      </c>
      <c r="DN29" s="179" t="s">
        <v>2366</v>
      </c>
      <c r="DO29" s="179" t="s">
        <v>2366</v>
      </c>
      <c r="DP29" s="179" t="s">
        <v>2366</v>
      </c>
      <c r="DQ29" s="179" t="s">
        <v>2366</v>
      </c>
      <c r="DR29" s="179" t="s">
        <v>2366</v>
      </c>
      <c r="DS29" s="179" t="s">
        <v>2366</v>
      </c>
      <c r="DT29" s="179" t="s">
        <v>2366</v>
      </c>
      <c r="DU29" s="179" t="s">
        <v>2366</v>
      </c>
      <c r="DV29" s="179" t="s">
        <v>2366</v>
      </c>
      <c r="DW29" s="179" t="s">
        <v>2366</v>
      </c>
      <c r="DX29" s="179" t="s">
        <v>2366</v>
      </c>
      <c r="DY29" s="179" t="s">
        <v>2366</v>
      </c>
      <c r="DZ29" s="179" t="s">
        <v>2366</v>
      </c>
      <c r="EA29" s="179" t="s">
        <v>2366</v>
      </c>
    </row>
    <row r="30" ht="26" spans="2:131">
      <c r="B30" s="183" t="s">
        <v>2397</v>
      </c>
      <c r="C30" s="184" t="s">
        <v>2398</v>
      </c>
      <c r="D30" s="185" t="s">
        <v>2399</v>
      </c>
      <c r="E30" s="185" t="s">
        <v>1096</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193">
        <v>330</v>
      </c>
      <c r="BR30" s="193">
        <v>340</v>
      </c>
      <c r="BS30" s="193">
        <v>340</v>
      </c>
      <c r="BT30" s="213">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6" spans="2:131">
      <c r="B31" s="183" t="s">
        <v>2397</v>
      </c>
      <c r="C31" s="187" t="s">
        <v>2398</v>
      </c>
      <c r="D31" s="185" t="s">
        <v>2400</v>
      </c>
      <c r="E31" s="185" t="s">
        <v>1101</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3">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6" spans="2:131">
      <c r="B32" s="183" t="s">
        <v>2397</v>
      </c>
      <c r="C32" s="187" t="s">
        <v>2398</v>
      </c>
      <c r="D32" s="185" t="s">
        <v>2401</v>
      </c>
      <c r="E32" s="185" t="s">
        <v>1103</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3">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6" spans="2:131">
      <c r="B33" s="183" t="s">
        <v>2397</v>
      </c>
      <c r="C33" s="187" t="s">
        <v>2398</v>
      </c>
      <c r="D33" s="188" t="s">
        <v>2402</v>
      </c>
      <c r="E33" s="188" t="s">
        <v>1105</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3">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6" spans="2:131">
      <c r="B34" s="183" t="s">
        <v>2397</v>
      </c>
      <c r="C34" s="187" t="s">
        <v>2398</v>
      </c>
      <c r="D34" s="185" t="s">
        <v>2403</v>
      </c>
      <c r="E34" s="185" t="s">
        <v>1107</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6" spans="2:131">
      <c r="B35" s="183" t="s">
        <v>2397</v>
      </c>
      <c r="C35" s="189" t="s">
        <v>2404</v>
      </c>
      <c r="D35" s="185" t="s">
        <v>2405</v>
      </c>
      <c r="E35" s="185" t="s">
        <v>1109</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6" spans="2:131">
      <c r="B36" s="183" t="s">
        <v>2397</v>
      </c>
      <c r="C36" s="189" t="s">
        <v>2404</v>
      </c>
      <c r="D36" s="185" t="s">
        <v>2403</v>
      </c>
      <c r="E36" s="185" t="s">
        <v>1111</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6" spans="2:131">
      <c r="B37" s="183" t="s">
        <v>2397</v>
      </c>
      <c r="C37" s="189" t="s">
        <v>2404</v>
      </c>
      <c r="D37" s="185" t="s">
        <v>2406</v>
      </c>
      <c r="E37" s="185" t="s">
        <v>1113</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6" spans="2:131">
      <c r="B38" s="183" t="s">
        <v>2397</v>
      </c>
      <c r="C38" s="189" t="s">
        <v>2407</v>
      </c>
      <c r="D38" s="185" t="s">
        <v>2405</v>
      </c>
      <c r="E38" s="185" t="s">
        <v>1115</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6" spans="2:131">
      <c r="B39" s="183" t="s">
        <v>2397</v>
      </c>
      <c r="C39" s="189" t="s">
        <v>2407</v>
      </c>
      <c r="D39" s="185" t="s">
        <v>2403</v>
      </c>
      <c r="E39" s="185" t="s">
        <v>1117</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6" spans="2:131">
      <c r="B40" s="183" t="s">
        <v>2397</v>
      </c>
      <c r="C40" s="189" t="s">
        <v>2407</v>
      </c>
      <c r="D40" s="185" t="s">
        <v>2406</v>
      </c>
      <c r="E40" s="185" t="s">
        <v>1119</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9" spans="2:68">
      <c r="B41" s="190" t="s">
        <v>2408</v>
      </c>
      <c r="C41" s="191" t="s">
        <v>2409</v>
      </c>
      <c r="D41" s="192" t="s">
        <v>2409</v>
      </c>
      <c r="E41" s="192" t="s">
        <v>1121</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52" spans="2:68">
      <c r="B42" s="194" t="s">
        <v>2408</v>
      </c>
      <c r="C42" s="195" t="s">
        <v>2410</v>
      </c>
      <c r="D42" s="196" t="s">
        <v>2410</v>
      </c>
      <c r="E42" s="196" t="s">
        <v>1123</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2.5" spans="2:5">
      <c r="B45" s="197" t="s">
        <v>2411</v>
      </c>
      <c r="C45" s="197"/>
      <c r="D45" s="197"/>
      <c r="E45" s="197"/>
    </row>
    <row r="46" ht="16.5" spans="2:3">
      <c r="B46" s="198" t="s">
        <v>2341</v>
      </c>
      <c r="C46" s="198" t="s">
        <v>2412</v>
      </c>
    </row>
    <row r="47" ht="16.5" spans="2:3">
      <c r="B47" s="199" t="s">
        <v>2413</v>
      </c>
      <c r="C47" s="199" t="s">
        <v>2394</v>
      </c>
    </row>
    <row r="48" ht="16.5" spans="2:3">
      <c r="B48" s="199" t="s">
        <v>2414</v>
      </c>
      <c r="C48" s="199" t="s">
        <v>2394</v>
      </c>
    </row>
    <row r="49" ht="16.5" spans="2:3">
      <c r="B49" s="199" t="s">
        <v>2342</v>
      </c>
      <c r="C49" s="199" t="s">
        <v>2394</v>
      </c>
    </row>
    <row r="50" ht="16.5" spans="2:3">
      <c r="B50" s="199" t="s">
        <v>2415</v>
      </c>
      <c r="C50" s="199" t="s">
        <v>2394</v>
      </c>
    </row>
    <row r="51" ht="16.5" spans="2:3">
      <c r="B51" s="200" t="s">
        <v>2416</v>
      </c>
      <c r="C51" s="200" t="s">
        <v>2395</v>
      </c>
    </row>
    <row r="52" ht="16.5" spans="2:3">
      <c r="B52" s="201" t="s">
        <v>2417</v>
      </c>
      <c r="C52" s="200" t="s">
        <v>2395</v>
      </c>
    </row>
    <row r="53" ht="16.5" spans="2:3">
      <c r="B53" s="200" t="s">
        <v>2418</v>
      </c>
      <c r="C53" s="200" t="s">
        <v>2395</v>
      </c>
    </row>
    <row r="54" ht="16.5" spans="2:3">
      <c r="B54" s="200" t="s">
        <v>2419</v>
      </c>
      <c r="C54" s="200" t="s">
        <v>2395</v>
      </c>
    </row>
    <row r="55" ht="16.5" spans="2:3">
      <c r="B55" s="200" t="s">
        <v>2420</v>
      </c>
      <c r="C55" s="200" t="s">
        <v>2395</v>
      </c>
    </row>
    <row r="56" ht="16.5" spans="2:3">
      <c r="B56" s="200" t="s">
        <v>2421</v>
      </c>
      <c r="C56" s="200" t="s">
        <v>2395</v>
      </c>
    </row>
    <row r="57" ht="16.5" spans="2:3">
      <c r="B57" s="201" t="s">
        <v>2422</v>
      </c>
      <c r="C57" s="200" t="s">
        <v>2395</v>
      </c>
    </row>
    <row r="58" ht="16.5" spans="2:3">
      <c r="B58" s="200" t="s">
        <v>2423</v>
      </c>
      <c r="C58" s="200" t="s">
        <v>2395</v>
      </c>
    </row>
    <row r="59" ht="16.5" spans="2:3">
      <c r="B59" s="200" t="s">
        <v>2424</v>
      </c>
      <c r="C59" s="200" t="s">
        <v>2395</v>
      </c>
    </row>
    <row r="60" ht="16.5" spans="2:3">
      <c r="B60" s="200" t="s">
        <v>2425</v>
      </c>
      <c r="C60" s="200" t="s">
        <v>2395</v>
      </c>
    </row>
    <row r="61" ht="16.5" spans="2:3">
      <c r="B61" s="200" t="s">
        <v>2426</v>
      </c>
      <c r="C61" s="200" t="s">
        <v>2395</v>
      </c>
    </row>
    <row r="62" ht="16.5" spans="2:3">
      <c r="B62" s="202" t="s">
        <v>2427</v>
      </c>
      <c r="C62" s="202" t="s">
        <v>2396</v>
      </c>
    </row>
    <row r="63" ht="16.5" spans="2:3">
      <c r="B63" s="200" t="s">
        <v>2428</v>
      </c>
      <c r="C63" s="200" t="s">
        <v>2395</v>
      </c>
    </row>
    <row r="64" ht="16.5" spans="2:3">
      <c r="B64" s="200" t="s">
        <v>2429</v>
      </c>
      <c r="C64" s="200" t="s">
        <v>2395</v>
      </c>
    </row>
    <row r="65" ht="16.5" spans="2:3">
      <c r="B65" s="200" t="s">
        <v>2430</v>
      </c>
      <c r="C65" s="200" t="s">
        <v>2395</v>
      </c>
    </row>
    <row r="66" ht="16.5" spans="2:3">
      <c r="B66" s="201" t="s">
        <v>2431</v>
      </c>
      <c r="C66" s="200" t="s">
        <v>2395</v>
      </c>
    </row>
    <row r="67" ht="16.5" spans="2:3">
      <c r="B67" s="200" t="s">
        <v>2432</v>
      </c>
      <c r="C67" s="200" t="s">
        <v>2395</v>
      </c>
    </row>
    <row r="68" ht="16.5" spans="2:3">
      <c r="B68" s="202" t="s">
        <v>2433</v>
      </c>
      <c r="C68" s="202" t="s">
        <v>2396</v>
      </c>
    </row>
    <row r="69" ht="16.5" spans="2:3">
      <c r="B69" s="200" t="s">
        <v>2434</v>
      </c>
      <c r="C69" s="200" t="s">
        <v>2395</v>
      </c>
    </row>
    <row r="70" ht="16.5" spans="2:3">
      <c r="B70" s="200" t="s">
        <v>2435</v>
      </c>
      <c r="C70" s="200" t="s">
        <v>2395</v>
      </c>
    </row>
    <row r="71" ht="16.5" spans="2:3">
      <c r="B71" s="200" t="s">
        <v>2436</v>
      </c>
      <c r="C71" s="200" t="s">
        <v>2395</v>
      </c>
    </row>
    <row r="72" ht="16.5" spans="2:3">
      <c r="B72" s="202" t="s">
        <v>2437</v>
      </c>
      <c r="C72" s="202" t="s">
        <v>2396</v>
      </c>
    </row>
    <row r="73" ht="16.5" spans="2:3">
      <c r="B73" s="202" t="s">
        <v>2438</v>
      </c>
      <c r="C73" s="202" t="s">
        <v>2396</v>
      </c>
    </row>
    <row r="74" ht="16.5" spans="2:3">
      <c r="B74" s="200" t="s">
        <v>2439</v>
      </c>
      <c r="C74" s="200" t="s">
        <v>2395</v>
      </c>
    </row>
    <row r="75" ht="16.5" spans="2:3">
      <c r="B75" s="200" t="s">
        <v>2440</v>
      </c>
      <c r="C75" s="200" t="s">
        <v>2395</v>
      </c>
    </row>
    <row r="76" ht="16.5" spans="2:3">
      <c r="B76" s="202" t="s">
        <v>2441</v>
      </c>
      <c r="C76" s="202" t="s">
        <v>2396</v>
      </c>
    </row>
    <row r="77" ht="16.5" spans="2:3">
      <c r="B77" s="200" t="s">
        <v>2442</v>
      </c>
      <c r="C77" s="200" t="s">
        <v>2395</v>
      </c>
    </row>
    <row r="78" ht="16.5" spans="2:3">
      <c r="B78" s="200" t="s">
        <v>2443</v>
      </c>
      <c r="C78" s="200" t="s">
        <v>2395</v>
      </c>
    </row>
    <row r="79" ht="16.5" spans="2:3">
      <c r="B79" s="202" t="s">
        <v>2444</v>
      </c>
      <c r="C79" s="202" t="s">
        <v>2396</v>
      </c>
    </row>
    <row r="80" ht="16.5" spans="2:3">
      <c r="B80" s="200" t="s">
        <v>2445</v>
      </c>
      <c r="C80" s="200" t="s">
        <v>2395</v>
      </c>
    </row>
    <row r="81" ht="16.5" spans="2:3">
      <c r="B81" s="200" t="s">
        <v>2446</v>
      </c>
      <c r="C81" s="200" t="s">
        <v>2395</v>
      </c>
    </row>
    <row r="82" ht="16.5" spans="2:3">
      <c r="B82" s="202" t="s">
        <v>2447</v>
      </c>
      <c r="C82" s="202" t="s">
        <v>2396</v>
      </c>
    </row>
    <row r="83" ht="16.5" spans="2:3">
      <c r="B83" s="202" t="s">
        <v>2448</v>
      </c>
      <c r="C83" s="202" t="s">
        <v>2396</v>
      </c>
    </row>
    <row r="84" ht="16.5" spans="2:3">
      <c r="B84" s="200" t="s">
        <v>2449</v>
      </c>
      <c r="C84" s="200" t="s">
        <v>2395</v>
      </c>
    </row>
    <row r="85" ht="16.5" spans="2:3">
      <c r="B85" s="202" t="s">
        <v>2450</v>
      </c>
      <c r="C85" s="202" t="s">
        <v>2396</v>
      </c>
    </row>
    <row r="86" ht="16.5" spans="2:3">
      <c r="B86" s="202" t="s">
        <v>2451</v>
      </c>
      <c r="C86" s="202" t="s">
        <v>2396</v>
      </c>
    </row>
    <row r="87" ht="16.5" spans="2:3">
      <c r="B87" s="200" t="s">
        <v>2452</v>
      </c>
      <c r="C87" s="200" t="s">
        <v>2395</v>
      </c>
    </row>
    <row r="88" ht="16.5" spans="2:3">
      <c r="B88" s="202" t="s">
        <v>2453</v>
      </c>
      <c r="C88" s="202" t="s">
        <v>2396</v>
      </c>
    </row>
    <row r="89" ht="16.5" spans="2:3">
      <c r="B89" s="202" t="s">
        <v>2454</v>
      </c>
      <c r="C89" s="202" t="s">
        <v>2396</v>
      </c>
    </row>
    <row r="90" ht="16.5" spans="2:3">
      <c r="B90" s="202" t="s">
        <v>2455</v>
      </c>
      <c r="C90" s="202" t="s">
        <v>2396</v>
      </c>
    </row>
    <row r="91" ht="16.5" spans="2:3">
      <c r="B91" s="202" t="s">
        <v>2456</v>
      </c>
      <c r="C91" s="202" t="s">
        <v>2396</v>
      </c>
    </row>
    <row r="92" ht="16.5" spans="2:3">
      <c r="B92" s="202" t="s">
        <v>2457</v>
      </c>
      <c r="C92" s="202" t="s">
        <v>2396</v>
      </c>
    </row>
    <row r="93" ht="16.5" spans="2:3">
      <c r="B93" s="200" t="s">
        <v>2458</v>
      </c>
      <c r="C93" s="200" t="s">
        <v>2395</v>
      </c>
    </row>
    <row r="94" ht="16.5" spans="2:3">
      <c r="B94" s="202" t="s">
        <v>2459</v>
      </c>
      <c r="C94" s="202" t="s">
        <v>2396</v>
      </c>
    </row>
    <row r="95" ht="16.5" spans="2:3">
      <c r="B95" s="202" t="s">
        <v>2460</v>
      </c>
      <c r="C95" s="202" t="s">
        <v>2396</v>
      </c>
    </row>
    <row r="96" ht="16.5" spans="2:3">
      <c r="B96" s="202" t="s">
        <v>2461</v>
      </c>
      <c r="C96" s="202" t="s">
        <v>2396</v>
      </c>
    </row>
    <row r="97" ht="16.5" spans="2:3">
      <c r="B97" s="202" t="s">
        <v>2462</v>
      </c>
      <c r="C97" s="202" t="s">
        <v>2396</v>
      </c>
    </row>
    <row r="98" ht="16.5" spans="2:3">
      <c r="B98" s="202" t="s">
        <v>2463</v>
      </c>
      <c r="C98" s="202" t="s">
        <v>2396</v>
      </c>
    </row>
    <row r="99" ht="16.5" spans="2:3">
      <c r="B99" s="200" t="s">
        <v>2464</v>
      </c>
      <c r="C99" s="200" t="s">
        <v>2395</v>
      </c>
    </row>
    <row r="100" ht="16.5" spans="2:3">
      <c r="B100" s="202" t="s">
        <v>2465</v>
      </c>
      <c r="C100" s="202" t="s">
        <v>2396</v>
      </c>
    </row>
    <row r="101" ht="16.5" spans="2:3">
      <c r="B101" s="202" t="s">
        <v>2466</v>
      </c>
      <c r="C101" s="202" t="s">
        <v>2396</v>
      </c>
    </row>
    <row r="102" ht="16.5" spans="2:3">
      <c r="B102" s="202" t="s">
        <v>2467</v>
      </c>
      <c r="C102" s="202" t="s">
        <v>2396</v>
      </c>
    </row>
    <row r="103" ht="16.5" spans="2:3">
      <c r="B103" s="202" t="s">
        <v>2468</v>
      </c>
      <c r="C103" s="202" t="s">
        <v>2396</v>
      </c>
    </row>
    <row r="104" ht="16.5" spans="2:3">
      <c r="B104" s="200" t="s">
        <v>2469</v>
      </c>
      <c r="C104" s="200" t="s">
        <v>2395</v>
      </c>
    </row>
    <row r="105" ht="16.5" spans="2:3">
      <c r="B105" s="202" t="s">
        <v>2470</v>
      </c>
      <c r="C105" s="202" t="s">
        <v>2396</v>
      </c>
    </row>
    <row r="106" ht="16.5" spans="2:3">
      <c r="B106" s="202" t="s">
        <v>2471</v>
      </c>
      <c r="C106" s="202" t="s">
        <v>2396</v>
      </c>
    </row>
    <row r="107" ht="16.5" spans="2:3">
      <c r="B107" s="200" t="s">
        <v>2472</v>
      </c>
      <c r="C107" s="200" t="s">
        <v>2395</v>
      </c>
    </row>
    <row r="108" ht="16.5" spans="2:3">
      <c r="B108" s="202" t="s">
        <v>2473</v>
      </c>
      <c r="C108" s="202" t="s">
        <v>2396</v>
      </c>
    </row>
    <row r="109" ht="16.5" spans="2:3">
      <c r="B109" s="202" t="s">
        <v>2474</v>
      </c>
      <c r="C109" s="202" t="s">
        <v>2396</v>
      </c>
    </row>
    <row r="110" ht="16.5" spans="2:3">
      <c r="B110" s="202" t="s">
        <v>2475</v>
      </c>
      <c r="C110" s="202" t="s">
        <v>2396</v>
      </c>
    </row>
    <row r="111" ht="16.5" spans="2:3">
      <c r="B111" s="202" t="s">
        <v>2476</v>
      </c>
      <c r="C111" s="202" t="s">
        <v>2396</v>
      </c>
    </row>
    <row r="112" ht="16.5" spans="2:3">
      <c r="B112" s="202" t="s">
        <v>2477</v>
      </c>
      <c r="C112" s="202" t="s">
        <v>2396</v>
      </c>
    </row>
    <row r="113" ht="16.5" spans="2:3">
      <c r="B113" s="200" t="s">
        <v>2435</v>
      </c>
      <c r="C113" s="200" t="s">
        <v>2395</v>
      </c>
    </row>
    <row r="114" ht="16.5" spans="2:3">
      <c r="B114" s="202" t="s">
        <v>2478</v>
      </c>
      <c r="C114" s="202" t="s">
        <v>2396</v>
      </c>
    </row>
    <row r="115" ht="16.5" spans="2:3">
      <c r="B115" s="202" t="s">
        <v>2479</v>
      </c>
      <c r="C115" s="202" t="s">
        <v>2396</v>
      </c>
    </row>
    <row r="116" ht="16.5" spans="2:3">
      <c r="B116" s="202" t="s">
        <v>2480</v>
      </c>
      <c r="C116" s="202" t="s">
        <v>2396</v>
      </c>
    </row>
    <row r="117" ht="16.5" spans="2:3">
      <c r="B117" s="202" t="s">
        <v>2481</v>
      </c>
      <c r="C117" s="202" t="s">
        <v>2396</v>
      </c>
    </row>
    <row r="118" ht="16.5" spans="2:3">
      <c r="B118" s="202" t="s">
        <v>2482</v>
      </c>
      <c r="C118" s="202" t="s">
        <v>2396</v>
      </c>
    </row>
    <row r="119" ht="16.5" spans="2:3">
      <c r="B119" s="202" t="s">
        <v>2483</v>
      </c>
      <c r="C119" s="202" t="s">
        <v>2396</v>
      </c>
    </row>
    <row r="120" ht="16.5" spans="2:3">
      <c r="B120" s="202" t="s">
        <v>2484</v>
      </c>
      <c r="C120" s="202" t="s">
        <v>2396</v>
      </c>
    </row>
    <row r="121" ht="16.5" spans="2:3">
      <c r="B121" s="202" t="s">
        <v>2485</v>
      </c>
      <c r="C121" s="202" t="s">
        <v>2396</v>
      </c>
    </row>
    <row r="122" ht="16.5" spans="2:3">
      <c r="B122" s="202" t="s">
        <v>2486</v>
      </c>
      <c r="C122" s="202" t="s">
        <v>2396</v>
      </c>
    </row>
    <row r="123" ht="16.5" spans="2:3">
      <c r="B123" s="202" t="s">
        <v>2487</v>
      </c>
      <c r="C123" s="202" t="s">
        <v>2396</v>
      </c>
    </row>
    <row r="124" ht="16.5" spans="2:3">
      <c r="B124" s="202" t="s">
        <v>2488</v>
      </c>
      <c r="C124" s="202" t="s">
        <v>2396</v>
      </c>
    </row>
    <row r="125" ht="16.5" spans="2:3">
      <c r="B125" s="202" t="s">
        <v>2489</v>
      </c>
      <c r="C125" s="202" t="s">
        <v>2396</v>
      </c>
    </row>
    <row r="126" ht="16.5" spans="2:3">
      <c r="B126" s="202" t="s">
        <v>2490</v>
      </c>
      <c r="C126" s="202" t="s">
        <v>2396</v>
      </c>
    </row>
    <row r="127" ht="16.5" spans="2:3">
      <c r="B127" s="202" t="s">
        <v>2491</v>
      </c>
      <c r="C127" s="202" t="s">
        <v>2396</v>
      </c>
    </row>
    <row r="128" ht="16.5" spans="2:3">
      <c r="B128" s="202" t="s">
        <v>2492</v>
      </c>
      <c r="C128" s="202" t="s">
        <v>2396</v>
      </c>
    </row>
    <row r="129" ht="16.5" spans="2:3">
      <c r="B129" s="202" t="s">
        <v>2493</v>
      </c>
      <c r="C129" s="202" t="s">
        <v>2396</v>
      </c>
    </row>
    <row r="130" ht="16.5" spans="2:3">
      <c r="B130" s="202" t="s">
        <v>2494</v>
      </c>
      <c r="C130" s="202" t="s">
        <v>2396</v>
      </c>
    </row>
    <row r="131" ht="16.5" spans="2:3">
      <c r="B131" s="202" t="s">
        <v>2495</v>
      </c>
      <c r="C131" s="202" t="s">
        <v>2396</v>
      </c>
    </row>
    <row r="132" ht="16.5" spans="2:3">
      <c r="B132" s="202" t="s">
        <v>2496</v>
      </c>
      <c r="C132" s="202" t="s">
        <v>2396</v>
      </c>
    </row>
    <row r="133" ht="16.5" spans="2:3">
      <c r="B133" s="202" t="s">
        <v>2497</v>
      </c>
      <c r="C133" s="202" t="s">
        <v>2396</v>
      </c>
    </row>
    <row r="134" ht="16.5" spans="2:3">
      <c r="B134" s="202" t="s">
        <v>2498</v>
      </c>
      <c r="C134" s="202" t="s">
        <v>2396</v>
      </c>
    </row>
    <row r="135" ht="16.5" spans="2:3">
      <c r="B135" s="202" t="s">
        <v>2499</v>
      </c>
      <c r="C135" s="202" t="s">
        <v>2396</v>
      </c>
    </row>
    <row r="136" ht="16.5" spans="2:3">
      <c r="B136" s="202" t="s">
        <v>2500</v>
      </c>
      <c r="C136" s="202" t="s">
        <v>2396</v>
      </c>
    </row>
    <row r="137" ht="16.5" spans="2:3">
      <c r="B137" s="202" t="s">
        <v>2501</v>
      </c>
      <c r="C137" s="202" t="s">
        <v>2396</v>
      </c>
    </row>
    <row r="138" ht="16.5" spans="2:3">
      <c r="B138" s="202" t="s">
        <v>2502</v>
      </c>
      <c r="C138" s="202" t="s">
        <v>2396</v>
      </c>
    </row>
    <row r="139" ht="16.5" spans="2:3">
      <c r="B139" s="202" t="s">
        <v>2503</v>
      </c>
      <c r="C139" s="202" t="s">
        <v>2396</v>
      </c>
    </row>
    <row r="140" ht="16.5" spans="2:3">
      <c r="B140" s="202" t="s">
        <v>2504</v>
      </c>
      <c r="C140" s="202" t="s">
        <v>2396</v>
      </c>
    </row>
    <row r="141" ht="16.5" spans="2:3">
      <c r="B141" s="202" t="s">
        <v>2505</v>
      </c>
      <c r="C141" s="202" t="s">
        <v>2396</v>
      </c>
    </row>
    <row r="142" ht="16.5" spans="2:3">
      <c r="B142" s="202" t="s">
        <v>2506</v>
      </c>
      <c r="C142" s="202" t="s">
        <v>2396</v>
      </c>
    </row>
    <row r="143" ht="16.5" spans="2:3">
      <c r="B143" s="202" t="s">
        <v>2507</v>
      </c>
      <c r="C143" s="202" t="s">
        <v>2396</v>
      </c>
    </row>
    <row r="144" ht="16.5" spans="2:3">
      <c r="B144" s="202" t="s">
        <v>2508</v>
      </c>
      <c r="C144" s="202" t="s">
        <v>2396</v>
      </c>
    </row>
    <row r="145" ht="16.5" spans="2:3">
      <c r="B145" s="202" t="s">
        <v>2509</v>
      </c>
      <c r="C145" s="202" t="s">
        <v>2396</v>
      </c>
    </row>
    <row r="146" ht="16.5" spans="2:3">
      <c r="B146" s="202" t="s">
        <v>2510</v>
      </c>
      <c r="C146" s="202" t="s">
        <v>2396</v>
      </c>
    </row>
    <row r="147" ht="16.5" spans="2:3">
      <c r="B147" s="202" t="s">
        <v>2511</v>
      </c>
      <c r="C147" s="202" t="s">
        <v>2396</v>
      </c>
    </row>
    <row r="148" ht="16.5" spans="2:3">
      <c r="B148" s="202" t="s">
        <v>2512</v>
      </c>
      <c r="C148" s="202" t="s">
        <v>2396</v>
      </c>
    </row>
    <row r="149" ht="16.5" spans="2:3">
      <c r="B149" s="202" t="s">
        <v>2513</v>
      </c>
      <c r="C149" s="202" t="s">
        <v>2396</v>
      </c>
    </row>
    <row r="150" ht="16.5" spans="2:3">
      <c r="B150" s="202" t="s">
        <v>2514</v>
      </c>
      <c r="C150" s="202" t="s">
        <v>2396</v>
      </c>
    </row>
    <row r="151" ht="16.5" spans="2:3">
      <c r="B151" s="202" t="s">
        <v>2515</v>
      </c>
      <c r="C151" s="202" t="s">
        <v>2396</v>
      </c>
    </row>
    <row r="152" ht="16.5" spans="2:3">
      <c r="B152" s="202" t="s">
        <v>2516</v>
      </c>
      <c r="C152" s="202" t="s">
        <v>2396</v>
      </c>
    </row>
    <row r="153" ht="16.5" spans="2:3">
      <c r="B153" s="202" t="s">
        <v>2517</v>
      </c>
      <c r="C153" s="202" t="s">
        <v>2396</v>
      </c>
    </row>
    <row r="154" ht="16.5" spans="2:3">
      <c r="B154" s="202" t="s">
        <v>2518</v>
      </c>
      <c r="C154" s="202" t="s">
        <v>2396</v>
      </c>
    </row>
    <row r="155" ht="16.5" spans="2:3">
      <c r="B155" s="202" t="s">
        <v>2519</v>
      </c>
      <c r="C155" s="202" t="s">
        <v>2396</v>
      </c>
    </row>
    <row r="156" ht="16.5" spans="2:3">
      <c r="B156" s="202" t="s">
        <v>2520</v>
      </c>
      <c r="C156" s="202" t="s">
        <v>2396</v>
      </c>
    </row>
    <row r="157" ht="16.5" spans="2:3">
      <c r="B157" s="202" t="s">
        <v>2521</v>
      </c>
      <c r="C157" s="202" t="s">
        <v>2396</v>
      </c>
    </row>
    <row r="158" ht="16.5" spans="2:3">
      <c r="B158" s="202" t="s">
        <v>2522</v>
      </c>
      <c r="C158" s="202" t="s">
        <v>2396</v>
      </c>
    </row>
    <row r="159" ht="16.5" spans="2:3">
      <c r="B159" s="202" t="s">
        <v>2523</v>
      </c>
      <c r="C159" s="202" t="s">
        <v>2396</v>
      </c>
    </row>
    <row r="160" ht="16.5" spans="2:3">
      <c r="B160" s="202" t="s">
        <v>2524</v>
      </c>
      <c r="C160" s="202" t="s">
        <v>2396</v>
      </c>
    </row>
    <row r="161" ht="16.5" spans="2:3">
      <c r="B161" s="202" t="s">
        <v>2525</v>
      </c>
      <c r="C161" s="202" t="s">
        <v>2396</v>
      </c>
    </row>
    <row r="162" ht="16.5" spans="2:3">
      <c r="B162" s="202" t="s">
        <v>2526</v>
      </c>
      <c r="C162" s="202" t="s">
        <v>2396</v>
      </c>
    </row>
    <row r="163" ht="16.5" spans="2:3">
      <c r="B163" s="202" t="s">
        <v>2527</v>
      </c>
      <c r="C163" s="202" t="s">
        <v>2396</v>
      </c>
    </row>
    <row r="164" ht="16.5" spans="2:3">
      <c r="B164" s="202" t="s">
        <v>2528</v>
      </c>
      <c r="C164" s="202" t="s">
        <v>2396</v>
      </c>
    </row>
    <row r="165" ht="16.5" spans="2:3">
      <c r="B165" s="202" t="s">
        <v>2529</v>
      </c>
      <c r="C165" s="202" t="s">
        <v>2396</v>
      </c>
    </row>
    <row r="166" ht="16.5" spans="2:3">
      <c r="B166" s="202" t="s">
        <v>2530</v>
      </c>
      <c r="C166" s="202" t="s">
        <v>2396</v>
      </c>
    </row>
    <row r="167" ht="16.5" spans="2:3">
      <c r="B167" s="202" t="s">
        <v>2531</v>
      </c>
      <c r="C167" s="202" t="s">
        <v>2396</v>
      </c>
    </row>
    <row r="168" ht="16.5" spans="2:3">
      <c r="B168" s="202" t="s">
        <v>2532</v>
      </c>
      <c r="C168" s="202" t="s">
        <v>2396</v>
      </c>
    </row>
    <row r="169" ht="16.5" spans="2:3">
      <c r="B169" s="202" t="s">
        <v>2533</v>
      </c>
      <c r="C169" s="202" t="s">
        <v>2396</v>
      </c>
    </row>
    <row r="170" ht="16.5" spans="2:3">
      <c r="B170" s="202" t="s">
        <v>2534</v>
      </c>
      <c r="C170" s="202" t="s">
        <v>2396</v>
      </c>
    </row>
    <row r="171" ht="16.5" spans="2:3">
      <c r="B171" s="202" t="s">
        <v>2535</v>
      </c>
      <c r="C171" s="202" t="s">
        <v>2396</v>
      </c>
    </row>
    <row r="172" ht="16.5" spans="2:3">
      <c r="B172" s="202" t="s">
        <v>2536</v>
      </c>
      <c r="C172" s="202" t="s">
        <v>2396</v>
      </c>
    </row>
    <row r="173" ht="16.5" spans="2:3">
      <c r="B173" s="202" t="s">
        <v>2537</v>
      </c>
      <c r="C173" s="202" t="s">
        <v>2396</v>
      </c>
    </row>
    <row r="174" ht="16.5" spans="2:3">
      <c r="B174" s="202" t="s">
        <v>2538</v>
      </c>
      <c r="C174" s="202" t="s">
        <v>2396</v>
      </c>
    </row>
    <row r="175" ht="16.5" spans="2:3">
      <c r="B175" s="202" t="s">
        <v>2539</v>
      </c>
      <c r="C175" s="202" t="s">
        <v>2396</v>
      </c>
    </row>
    <row r="176" ht="16.5" spans="2:3">
      <c r="B176" s="202" t="s">
        <v>2540</v>
      </c>
      <c r="C176" s="202" t="s">
        <v>2396</v>
      </c>
    </row>
    <row r="177" ht="16.5" spans="2:3">
      <c r="B177" s="200" t="s">
        <v>2541</v>
      </c>
      <c r="C177" s="200" t="s">
        <v>2395</v>
      </c>
    </row>
    <row r="178" ht="16.5" spans="2:3">
      <c r="B178" s="202" t="s">
        <v>2542</v>
      </c>
      <c r="C178" s="202" t="s">
        <v>2396</v>
      </c>
    </row>
    <row r="179" ht="16.5" spans="2:3">
      <c r="B179" s="202" t="s">
        <v>2543</v>
      </c>
      <c r="C179" s="202" t="s">
        <v>2396</v>
      </c>
    </row>
    <row r="180" ht="16.5" spans="2:3">
      <c r="B180" s="202" t="s">
        <v>2544</v>
      </c>
      <c r="C180" s="202" t="s">
        <v>2396</v>
      </c>
    </row>
    <row r="181" ht="16.5" spans="2:3">
      <c r="B181" s="202" t="s">
        <v>2545</v>
      </c>
      <c r="C181" s="202" t="s">
        <v>2396</v>
      </c>
    </row>
    <row r="182" ht="16.5" spans="2:3">
      <c r="B182" s="200" t="s">
        <v>2546</v>
      </c>
      <c r="C182" s="200" t="s">
        <v>2395</v>
      </c>
    </row>
    <row r="183" ht="16.5" spans="2:3">
      <c r="B183" s="202" t="s">
        <v>2547</v>
      </c>
      <c r="C183" s="202" t="s">
        <v>2396</v>
      </c>
    </row>
    <row r="184" ht="16.5" spans="2:3">
      <c r="B184" s="202" t="s">
        <v>2548</v>
      </c>
      <c r="C184" s="202" t="s">
        <v>2396</v>
      </c>
    </row>
    <row r="185" ht="16.5" spans="2:3">
      <c r="B185" s="202" t="s">
        <v>2549</v>
      </c>
      <c r="C185" s="202" t="s">
        <v>2396</v>
      </c>
    </row>
    <row r="186" ht="16.5" spans="2:3">
      <c r="B186" s="202" t="s">
        <v>2550</v>
      </c>
      <c r="C186" s="202" t="s">
        <v>2396</v>
      </c>
    </row>
    <row r="187" ht="16.5" spans="2:3">
      <c r="B187" s="202" t="s">
        <v>2551</v>
      </c>
      <c r="C187" s="202" t="s">
        <v>2396</v>
      </c>
    </row>
    <row r="188" ht="16.5" spans="2:3">
      <c r="B188" s="202" t="s">
        <v>2552</v>
      </c>
      <c r="C188" s="202" t="s">
        <v>2396</v>
      </c>
    </row>
    <row r="189" ht="16.5" spans="2:3">
      <c r="B189" s="202" t="s">
        <v>2553</v>
      </c>
      <c r="C189" s="202" t="s">
        <v>2396</v>
      </c>
    </row>
    <row r="190" ht="16.5" spans="2:3">
      <c r="B190" s="202" t="s">
        <v>2554</v>
      </c>
      <c r="C190" s="202" t="s">
        <v>2396</v>
      </c>
    </row>
    <row r="191" ht="16.5" spans="2:3">
      <c r="B191" s="202" t="s">
        <v>2555</v>
      </c>
      <c r="C191" s="202" t="s">
        <v>2396</v>
      </c>
    </row>
    <row r="192" ht="16.5" spans="2:3">
      <c r="B192" s="202" t="s">
        <v>2556</v>
      </c>
      <c r="C192" s="202" t="s">
        <v>2396</v>
      </c>
    </row>
    <row r="193" ht="16.5" spans="2:3">
      <c r="B193" s="202" t="s">
        <v>2557</v>
      </c>
      <c r="C193" s="202" t="s">
        <v>2396</v>
      </c>
    </row>
    <row r="194" ht="16.5" spans="2:3">
      <c r="B194" s="202" t="s">
        <v>2558</v>
      </c>
      <c r="C194" s="202" t="s">
        <v>2396</v>
      </c>
    </row>
    <row r="195" ht="16.5" spans="2:3">
      <c r="B195" s="202" t="s">
        <v>2559</v>
      </c>
      <c r="C195" s="202" t="s">
        <v>2396</v>
      </c>
    </row>
    <row r="196" ht="16.5" spans="2:3">
      <c r="B196" s="202" t="s">
        <v>2560</v>
      </c>
      <c r="C196" s="202" t="s">
        <v>2396</v>
      </c>
    </row>
    <row r="197" ht="16.5" spans="2:3">
      <c r="B197" s="202" t="s">
        <v>2561</v>
      </c>
      <c r="C197" s="202" t="s">
        <v>2396</v>
      </c>
    </row>
    <row r="198" ht="16.5" spans="2:3">
      <c r="B198" s="202" t="s">
        <v>2562</v>
      </c>
      <c r="C198" s="202" t="s">
        <v>2396</v>
      </c>
    </row>
    <row r="199" ht="16.5" spans="2:3">
      <c r="B199" s="202" t="s">
        <v>2563</v>
      </c>
      <c r="C199" s="202" t="s">
        <v>2396</v>
      </c>
    </row>
    <row r="200" ht="16.5" spans="2:3">
      <c r="B200" s="202" t="s">
        <v>2564</v>
      </c>
      <c r="C200" s="202" t="s">
        <v>2396</v>
      </c>
    </row>
    <row r="201" ht="16.5" spans="2:3">
      <c r="B201" s="202" t="s">
        <v>2565</v>
      </c>
      <c r="C201" s="202" t="s">
        <v>2396</v>
      </c>
    </row>
    <row r="202" ht="16.5" spans="2:3">
      <c r="B202" s="202" t="s">
        <v>2566</v>
      </c>
      <c r="C202" s="202" t="s">
        <v>2396</v>
      </c>
    </row>
    <row r="203" ht="16.5" spans="2:3">
      <c r="B203" s="202" t="s">
        <v>2567</v>
      </c>
      <c r="C203" s="202" t="s">
        <v>2396</v>
      </c>
    </row>
    <row r="204" ht="16.5" spans="2:3">
      <c r="B204" s="202" t="s">
        <v>2568</v>
      </c>
      <c r="C204" s="202" t="s">
        <v>2396</v>
      </c>
    </row>
    <row r="205" ht="16.5" spans="2:3">
      <c r="B205" s="202" t="s">
        <v>2569</v>
      </c>
      <c r="C205" s="202" t="s">
        <v>2396</v>
      </c>
    </row>
    <row r="206" ht="16.5" spans="2:3">
      <c r="B206" s="202" t="s">
        <v>2570</v>
      </c>
      <c r="C206" s="202" t="s">
        <v>2396</v>
      </c>
    </row>
    <row r="207" ht="16.5" spans="2:3">
      <c r="B207" s="202" t="s">
        <v>2571</v>
      </c>
      <c r="C207" s="202" t="s">
        <v>2396</v>
      </c>
    </row>
    <row r="208" ht="16.5" spans="2:3">
      <c r="B208" s="202" t="s">
        <v>2572</v>
      </c>
      <c r="C208" s="202" t="s">
        <v>2396</v>
      </c>
    </row>
    <row r="209" ht="16.5" spans="2:3">
      <c r="B209" s="202" t="s">
        <v>2573</v>
      </c>
      <c r="C209" s="202" t="s">
        <v>2396</v>
      </c>
    </row>
    <row r="210" ht="16.5" spans="2:3">
      <c r="B210" s="202" t="s">
        <v>2574</v>
      </c>
      <c r="C210" s="202" t="s">
        <v>2396</v>
      </c>
    </row>
    <row r="211" ht="16.5" spans="2:3">
      <c r="B211" s="202" t="s">
        <v>2575</v>
      </c>
      <c r="C211" s="202" t="s">
        <v>2396</v>
      </c>
    </row>
    <row r="212" ht="16.5" spans="2:3">
      <c r="B212" s="202" t="s">
        <v>2576</v>
      </c>
      <c r="C212" s="202" t="s">
        <v>2396</v>
      </c>
    </row>
    <row r="213" ht="16.5" spans="2:3">
      <c r="B213" s="202" t="s">
        <v>2577</v>
      </c>
      <c r="C213" s="202" t="s">
        <v>2396</v>
      </c>
    </row>
    <row r="214" ht="16.5" spans="2:3">
      <c r="B214" s="202" t="s">
        <v>2578</v>
      </c>
      <c r="C214" s="202" t="s">
        <v>2396</v>
      </c>
    </row>
    <row r="215" ht="16.5" spans="2:3">
      <c r="B215" s="202" t="s">
        <v>2579</v>
      </c>
      <c r="C215" s="202" t="s">
        <v>2396</v>
      </c>
    </row>
    <row r="216" ht="16.5" spans="2:3">
      <c r="B216" s="202" t="s">
        <v>2580</v>
      </c>
      <c r="C216" s="202" t="s">
        <v>2396</v>
      </c>
    </row>
    <row r="217" ht="16.5" spans="2:3">
      <c r="B217" s="202" t="s">
        <v>2581</v>
      </c>
      <c r="C217" s="202" t="s">
        <v>2396</v>
      </c>
    </row>
    <row r="218" ht="16.5" spans="2:3">
      <c r="B218" s="202" t="s">
        <v>2582</v>
      </c>
      <c r="C218" s="202" t="s">
        <v>2396</v>
      </c>
    </row>
    <row r="219" ht="16.5" spans="2:3">
      <c r="B219" s="202" t="s">
        <v>2583</v>
      </c>
      <c r="C219" s="202" t="s">
        <v>2396</v>
      </c>
    </row>
    <row r="220" ht="16.5" spans="2:3">
      <c r="B220" s="202" t="s">
        <v>2584</v>
      </c>
      <c r="C220" s="202" t="s">
        <v>2396</v>
      </c>
    </row>
    <row r="221" ht="16.5" spans="2:3">
      <c r="B221" s="202" t="s">
        <v>2585</v>
      </c>
      <c r="C221" s="202" t="s">
        <v>2396</v>
      </c>
    </row>
    <row r="222" ht="16.5" spans="2:3">
      <c r="B222" s="202" t="s">
        <v>2586</v>
      </c>
      <c r="C222" s="202" t="s">
        <v>2396</v>
      </c>
    </row>
    <row r="223" ht="16.5" spans="2:3">
      <c r="B223" s="202" t="s">
        <v>2587</v>
      </c>
      <c r="C223" s="202" t="s">
        <v>2396</v>
      </c>
    </row>
    <row r="224" ht="16.5" spans="2:3">
      <c r="B224" s="202" t="s">
        <v>2588</v>
      </c>
      <c r="C224" s="202" t="s">
        <v>2396</v>
      </c>
    </row>
    <row r="225" ht="16.5" spans="2:3">
      <c r="B225" s="202" t="s">
        <v>2589</v>
      </c>
      <c r="C225" s="202" t="s">
        <v>2396</v>
      </c>
    </row>
    <row r="226" ht="16.5" spans="2:3">
      <c r="B226" s="202" t="s">
        <v>2590</v>
      </c>
      <c r="C226" s="202" t="s">
        <v>2396</v>
      </c>
    </row>
    <row r="227" ht="16.5" spans="2:3">
      <c r="B227" s="202" t="s">
        <v>2591</v>
      </c>
      <c r="C227" s="202" t="s">
        <v>2396</v>
      </c>
    </row>
    <row r="228" ht="16.5" spans="2:3">
      <c r="B228" s="202" t="s">
        <v>2592</v>
      </c>
      <c r="C228" s="202" t="s">
        <v>2396</v>
      </c>
    </row>
    <row r="229" ht="16.5" spans="2:3">
      <c r="B229" s="202" t="s">
        <v>2593</v>
      </c>
      <c r="C229" s="202" t="s">
        <v>2396</v>
      </c>
    </row>
    <row r="230" ht="16.5" spans="2:3">
      <c r="B230" s="202" t="s">
        <v>2594</v>
      </c>
      <c r="C230" s="202" t="s">
        <v>2396</v>
      </c>
    </row>
    <row r="231" ht="16.5" spans="2:3">
      <c r="B231" s="202" t="s">
        <v>2595</v>
      </c>
      <c r="C231" s="202" t="s">
        <v>2396</v>
      </c>
    </row>
    <row r="232" ht="16.5" spans="2:3">
      <c r="B232" s="202" t="s">
        <v>2596</v>
      </c>
      <c r="C232" s="202" t="s">
        <v>2396</v>
      </c>
    </row>
    <row r="233" ht="16.5" spans="2:3">
      <c r="B233" s="202" t="s">
        <v>2597</v>
      </c>
      <c r="C233" s="202" t="s">
        <v>2396</v>
      </c>
    </row>
    <row r="234" ht="16.5" spans="2:3">
      <c r="B234" s="202" t="s">
        <v>2598</v>
      </c>
      <c r="C234" s="202" t="s">
        <v>2396</v>
      </c>
    </row>
    <row r="235" ht="16.5" spans="2:3">
      <c r="B235" s="202" t="s">
        <v>2599</v>
      </c>
      <c r="C235" s="202" t="s">
        <v>2396</v>
      </c>
    </row>
    <row r="236" ht="16.5" spans="2:3">
      <c r="B236" s="202" t="s">
        <v>2600</v>
      </c>
      <c r="C236" s="202" t="s">
        <v>2396</v>
      </c>
    </row>
    <row r="237" ht="16.5" spans="2:3">
      <c r="B237" s="202" t="s">
        <v>2601</v>
      </c>
      <c r="C237" s="202" t="s">
        <v>2396</v>
      </c>
    </row>
    <row r="238" ht="16.5" spans="2:3">
      <c r="B238" s="202" t="s">
        <v>2602</v>
      </c>
      <c r="C238" s="202" t="s">
        <v>2396</v>
      </c>
    </row>
    <row r="239" ht="16.5" spans="2:3">
      <c r="B239" s="202" t="s">
        <v>2603</v>
      </c>
      <c r="C239" s="202" t="s">
        <v>2396</v>
      </c>
    </row>
    <row r="240" ht="16.5" spans="2:3">
      <c r="B240" s="202" t="s">
        <v>2604</v>
      </c>
      <c r="C240" s="202" t="s">
        <v>2396</v>
      </c>
    </row>
    <row r="241" ht="16.5" spans="2:3">
      <c r="B241" s="202" t="s">
        <v>2605</v>
      </c>
      <c r="C241" s="202" t="s">
        <v>2396</v>
      </c>
    </row>
    <row r="242" ht="16.5" spans="2:3">
      <c r="B242" s="202" t="s">
        <v>2606</v>
      </c>
      <c r="C242" s="202" t="s">
        <v>2396</v>
      </c>
    </row>
    <row r="243" ht="16.5" spans="2:3">
      <c r="B243" s="202" t="s">
        <v>2607</v>
      </c>
      <c r="C243" s="202" t="s">
        <v>2396</v>
      </c>
    </row>
    <row r="244" ht="16.5" spans="2:3">
      <c r="B244" s="202" t="s">
        <v>2608</v>
      </c>
      <c r="C244" s="202" t="s">
        <v>2396</v>
      </c>
    </row>
    <row r="245" ht="16.5" spans="2:3">
      <c r="B245" s="202" t="s">
        <v>2609</v>
      </c>
      <c r="C245" s="202" t="s">
        <v>2396</v>
      </c>
    </row>
    <row r="246" ht="16.5" spans="2:3">
      <c r="B246" s="202" t="s">
        <v>2610</v>
      </c>
      <c r="C246" s="202" t="s">
        <v>2396</v>
      </c>
    </row>
    <row r="247" ht="16.5" spans="2:3">
      <c r="B247" s="202" t="s">
        <v>2611</v>
      </c>
      <c r="C247" s="202" t="s">
        <v>2396</v>
      </c>
    </row>
    <row r="248" ht="16.5" spans="2:3">
      <c r="B248" s="202" t="s">
        <v>2612</v>
      </c>
      <c r="C248" s="202" t="s">
        <v>2396</v>
      </c>
    </row>
    <row r="249" ht="16.5" spans="2:3">
      <c r="B249" s="202" t="s">
        <v>2613</v>
      </c>
      <c r="C249" s="202" t="s">
        <v>2396</v>
      </c>
    </row>
    <row r="250" ht="16.5" spans="2:3">
      <c r="B250" s="202" t="s">
        <v>2614</v>
      </c>
      <c r="C250" s="202" t="s">
        <v>2396</v>
      </c>
    </row>
    <row r="251" ht="16.5" spans="2:3">
      <c r="B251" s="202" t="s">
        <v>2615</v>
      </c>
      <c r="C251" s="202" t="s">
        <v>2396</v>
      </c>
    </row>
    <row r="252" ht="16.5" spans="2:3">
      <c r="B252" s="202" t="s">
        <v>2616</v>
      </c>
      <c r="C252" s="202" t="s">
        <v>2396</v>
      </c>
    </row>
    <row r="253" ht="16.5" spans="2:3">
      <c r="B253" s="202" t="s">
        <v>2617</v>
      </c>
      <c r="C253" s="202" t="s">
        <v>2396</v>
      </c>
    </row>
    <row r="254" ht="16.5" spans="2:3">
      <c r="B254" s="202" t="s">
        <v>2618</v>
      </c>
      <c r="C254" s="202" t="s">
        <v>2396</v>
      </c>
    </row>
    <row r="255" ht="16.5" spans="2:3">
      <c r="B255" s="202" t="s">
        <v>2619</v>
      </c>
      <c r="C255" s="202" t="s">
        <v>2396</v>
      </c>
    </row>
    <row r="256" ht="16.5" spans="2:3">
      <c r="B256" s="202" t="s">
        <v>2620</v>
      </c>
      <c r="C256" s="202" t="s">
        <v>2396</v>
      </c>
    </row>
    <row r="257" ht="16.5" spans="2:3">
      <c r="B257" s="202" t="s">
        <v>2621</v>
      </c>
      <c r="C257" s="202" t="s">
        <v>2396</v>
      </c>
    </row>
    <row r="258" ht="16.5" spans="2:3">
      <c r="B258" s="202" t="s">
        <v>2622</v>
      </c>
      <c r="C258" s="202" t="s">
        <v>2396</v>
      </c>
    </row>
    <row r="259" ht="16.5" spans="2:3">
      <c r="B259" s="202" t="s">
        <v>2623</v>
      </c>
      <c r="C259" s="202" t="s">
        <v>2396</v>
      </c>
    </row>
    <row r="260" ht="16.5" spans="2:3">
      <c r="B260" s="202" t="s">
        <v>2624</v>
      </c>
      <c r="C260" s="202" t="s">
        <v>2396</v>
      </c>
    </row>
    <row r="261" ht="16.5" spans="2:3">
      <c r="B261" s="202" t="s">
        <v>2625</v>
      </c>
      <c r="C261" s="202" t="s">
        <v>2396</v>
      </c>
    </row>
    <row r="262" ht="16.5" spans="2:3">
      <c r="B262" s="202" t="s">
        <v>2626</v>
      </c>
      <c r="C262" s="202" t="s">
        <v>2396</v>
      </c>
    </row>
    <row r="263" ht="16.5" spans="2:3">
      <c r="B263" s="202" t="s">
        <v>2627</v>
      </c>
      <c r="C263" s="202" t="s">
        <v>2396</v>
      </c>
    </row>
    <row r="264" ht="16.5" spans="2:3">
      <c r="B264" s="202" t="s">
        <v>2628</v>
      </c>
      <c r="C264" s="202" t="s">
        <v>2396</v>
      </c>
    </row>
    <row r="265" ht="16.5" spans="2:3">
      <c r="B265" s="202" t="s">
        <v>2629</v>
      </c>
      <c r="C265" s="202" t="s">
        <v>2396</v>
      </c>
    </row>
    <row r="266" ht="16.5" spans="2:3">
      <c r="B266" s="202" t="s">
        <v>2630</v>
      </c>
      <c r="C266" s="202" t="s">
        <v>2396</v>
      </c>
    </row>
    <row r="267" ht="16.5" spans="2:3">
      <c r="B267" s="202" t="s">
        <v>2631</v>
      </c>
      <c r="C267" s="202" t="s">
        <v>2396</v>
      </c>
    </row>
    <row r="268" ht="16.5" spans="2:3">
      <c r="B268" s="202" t="s">
        <v>2632</v>
      </c>
      <c r="C268" s="202" t="s">
        <v>2396</v>
      </c>
    </row>
    <row r="269" ht="16.5" spans="2:3">
      <c r="B269" s="202" t="s">
        <v>2633</v>
      </c>
      <c r="C269" s="202" t="s">
        <v>2396</v>
      </c>
    </row>
    <row r="270" ht="16.5" spans="2:3">
      <c r="B270" s="202" t="s">
        <v>2634</v>
      </c>
      <c r="C270" s="202" t="s">
        <v>2396</v>
      </c>
    </row>
    <row r="271" ht="16.5" spans="2:3">
      <c r="B271" s="202" t="s">
        <v>2635</v>
      </c>
      <c r="C271" s="202" t="s">
        <v>2396</v>
      </c>
    </row>
    <row r="272" ht="16.5" spans="2:3">
      <c r="B272" s="202" t="s">
        <v>2636</v>
      </c>
      <c r="C272" s="202" t="s">
        <v>2396</v>
      </c>
    </row>
    <row r="273" ht="16.5" spans="2:3">
      <c r="B273" s="202" t="s">
        <v>2637</v>
      </c>
      <c r="C273" s="202" t="s">
        <v>2396</v>
      </c>
    </row>
    <row r="274" ht="16.5" spans="2:3">
      <c r="B274" s="202" t="s">
        <v>2638</v>
      </c>
      <c r="C274" s="202" t="s">
        <v>2396</v>
      </c>
    </row>
    <row r="275" ht="16.5" spans="2:3">
      <c r="B275" s="202" t="s">
        <v>2639</v>
      </c>
      <c r="C275" s="202" t="s">
        <v>2396</v>
      </c>
    </row>
    <row r="276" ht="16.5" spans="2:3">
      <c r="B276" s="202" t="s">
        <v>2640</v>
      </c>
      <c r="C276" s="202" t="s">
        <v>2396</v>
      </c>
    </row>
    <row r="277" ht="16.5" spans="2:3">
      <c r="B277" s="202" t="s">
        <v>2641</v>
      </c>
      <c r="C277" s="202" t="s">
        <v>2396</v>
      </c>
    </row>
    <row r="278" ht="16.5" spans="2:3">
      <c r="B278" s="202" t="s">
        <v>2642</v>
      </c>
      <c r="C278" s="202" t="s">
        <v>2396</v>
      </c>
    </row>
    <row r="279" ht="16.5" spans="2:3">
      <c r="B279" s="202" t="s">
        <v>2643</v>
      </c>
      <c r="C279" s="202" t="s">
        <v>2396</v>
      </c>
    </row>
    <row r="280" ht="16.5" spans="2:3">
      <c r="B280" s="202" t="s">
        <v>2644</v>
      </c>
      <c r="C280" s="202" t="s">
        <v>2396</v>
      </c>
    </row>
    <row r="281" ht="16.5" spans="2:3">
      <c r="B281" s="202" t="s">
        <v>2645</v>
      </c>
      <c r="C281" s="202" t="s">
        <v>2396</v>
      </c>
    </row>
    <row r="282" ht="16.5" spans="2:3">
      <c r="B282" s="202" t="s">
        <v>2646</v>
      </c>
      <c r="C282" s="202" t="s">
        <v>2396</v>
      </c>
    </row>
    <row r="283" ht="16.5" spans="2:3">
      <c r="B283" s="202" t="s">
        <v>2647</v>
      </c>
      <c r="C283" s="202" t="s">
        <v>2396</v>
      </c>
    </row>
    <row r="284" ht="16.5" spans="2:3">
      <c r="B284" s="202" t="s">
        <v>2648</v>
      </c>
      <c r="C284" s="202" t="s">
        <v>2396</v>
      </c>
    </row>
    <row r="285" ht="16.5" spans="2:3">
      <c r="B285" s="202" t="s">
        <v>2649</v>
      </c>
      <c r="C285" s="202" t="s">
        <v>2396</v>
      </c>
    </row>
    <row r="286" ht="16.5" spans="2:3">
      <c r="B286" s="202" t="s">
        <v>2650</v>
      </c>
      <c r="C286" s="202" t="s">
        <v>2396</v>
      </c>
    </row>
    <row r="287" ht="16.5" spans="2:3">
      <c r="B287" s="202" t="s">
        <v>2651</v>
      </c>
      <c r="C287" s="202" t="s">
        <v>2396</v>
      </c>
    </row>
    <row r="288" ht="16.5" spans="2:3">
      <c r="B288" s="202" t="s">
        <v>2652</v>
      </c>
      <c r="C288" s="202" t="s">
        <v>2396</v>
      </c>
    </row>
    <row r="289" ht="16.5" spans="2:3">
      <c r="B289" s="202" t="s">
        <v>2653</v>
      </c>
      <c r="C289" s="202" t="s">
        <v>2396</v>
      </c>
    </row>
    <row r="290" ht="16.5" spans="2:3">
      <c r="B290" s="202" t="s">
        <v>2654</v>
      </c>
      <c r="C290" s="202" t="s">
        <v>2396</v>
      </c>
    </row>
    <row r="291" ht="16.5" spans="2:3">
      <c r="B291" s="202" t="s">
        <v>2655</v>
      </c>
      <c r="C291" s="202" t="s">
        <v>2396</v>
      </c>
    </row>
    <row r="292" ht="16.5" spans="2:3">
      <c r="B292" s="202" t="s">
        <v>2656</v>
      </c>
      <c r="C292" s="202" t="s">
        <v>2396</v>
      </c>
    </row>
    <row r="293" ht="16.5" spans="2:3">
      <c r="B293" s="202" t="s">
        <v>2657</v>
      </c>
      <c r="C293" s="202" t="s">
        <v>2396</v>
      </c>
    </row>
    <row r="294" ht="16.5" spans="2:3">
      <c r="B294" s="202" t="s">
        <v>2658</v>
      </c>
      <c r="C294" s="202" t="s">
        <v>2396</v>
      </c>
    </row>
    <row r="295" ht="16.5" spans="2:3">
      <c r="B295" s="202" t="s">
        <v>2659</v>
      </c>
      <c r="C295" s="202" t="s">
        <v>2396</v>
      </c>
    </row>
    <row r="296" ht="16.5" spans="2:3">
      <c r="B296" s="202" t="s">
        <v>2660</v>
      </c>
      <c r="C296" s="202" t="s">
        <v>2396</v>
      </c>
    </row>
    <row r="297" ht="16.5" spans="2:3">
      <c r="B297" s="202" t="s">
        <v>2661</v>
      </c>
      <c r="C297" s="202" t="s">
        <v>2396</v>
      </c>
    </row>
    <row r="298" ht="16.5" spans="2:3">
      <c r="B298" s="202" t="s">
        <v>2662</v>
      </c>
      <c r="C298" s="202" t="s">
        <v>2396</v>
      </c>
    </row>
    <row r="299" ht="16.5" spans="2:3">
      <c r="B299" s="202" t="s">
        <v>2663</v>
      </c>
      <c r="C299" s="202" t="s">
        <v>2396</v>
      </c>
    </row>
    <row r="300" ht="16.5" spans="2:3">
      <c r="B300" s="202" t="s">
        <v>2664</v>
      </c>
      <c r="C300" s="202" t="s">
        <v>2396</v>
      </c>
    </row>
    <row r="301" ht="16.5" spans="2:3">
      <c r="B301" s="202" t="s">
        <v>2665</v>
      </c>
      <c r="C301" s="202" t="s">
        <v>2396</v>
      </c>
    </row>
    <row r="302" ht="16.5" spans="2:3">
      <c r="B302" s="202" t="s">
        <v>2666</v>
      </c>
      <c r="C302" s="202" t="s">
        <v>2396</v>
      </c>
    </row>
    <row r="303" ht="16.5" spans="2:3">
      <c r="B303" s="202" t="s">
        <v>2667</v>
      </c>
      <c r="C303" s="202" t="s">
        <v>2396</v>
      </c>
    </row>
    <row r="304" ht="16.5" spans="2:3">
      <c r="B304" s="202" t="s">
        <v>2668</v>
      </c>
      <c r="C304" s="202" t="s">
        <v>2396</v>
      </c>
    </row>
    <row r="305" ht="16.5" spans="2:3">
      <c r="B305" s="202" t="s">
        <v>2669</v>
      </c>
      <c r="C305" s="202" t="s">
        <v>2396</v>
      </c>
    </row>
    <row r="306" ht="16.5" spans="2:3">
      <c r="B306" s="202" t="s">
        <v>2670</v>
      </c>
      <c r="C306" s="202" t="s">
        <v>2396</v>
      </c>
    </row>
    <row r="307" ht="16.5" spans="2:3">
      <c r="B307" s="202" t="s">
        <v>2671</v>
      </c>
      <c r="C307" s="202" t="s">
        <v>2396</v>
      </c>
    </row>
    <row r="308" ht="16.5" spans="2:3">
      <c r="B308" s="202" t="s">
        <v>2672</v>
      </c>
      <c r="C308" s="202" t="s">
        <v>2396</v>
      </c>
    </row>
    <row r="309" ht="16.5" spans="2:3">
      <c r="B309" s="202" t="s">
        <v>2673</v>
      </c>
      <c r="C309" s="202" t="s">
        <v>2396</v>
      </c>
    </row>
    <row r="310" ht="16.5" spans="2:3">
      <c r="B310" s="202" t="s">
        <v>2674</v>
      </c>
      <c r="C310" s="202" t="s">
        <v>2396</v>
      </c>
    </row>
    <row r="311" ht="16.5" spans="2:3">
      <c r="B311" s="202" t="s">
        <v>2675</v>
      </c>
      <c r="C311" s="202" t="s">
        <v>2396</v>
      </c>
    </row>
    <row r="312" ht="16.5" spans="2:3">
      <c r="B312" s="202" t="s">
        <v>2676</v>
      </c>
      <c r="C312" s="202" t="s">
        <v>2396</v>
      </c>
    </row>
    <row r="313" ht="16.5" spans="2:3">
      <c r="B313" s="202" t="s">
        <v>2677</v>
      </c>
      <c r="C313" s="202" t="s">
        <v>2396</v>
      </c>
    </row>
    <row r="314" ht="16.5" spans="2:3">
      <c r="B314" s="202" t="s">
        <v>2678</v>
      </c>
      <c r="C314" s="202" t="s">
        <v>2396</v>
      </c>
    </row>
    <row r="315" ht="16.5" spans="2:3">
      <c r="B315" s="202" t="s">
        <v>2679</v>
      </c>
      <c r="C315" s="202" t="s">
        <v>2396</v>
      </c>
    </row>
    <row r="316" ht="16.5" spans="2:3">
      <c r="B316" s="202" t="s">
        <v>2680</v>
      </c>
      <c r="C316" s="202" t="s">
        <v>2396</v>
      </c>
    </row>
    <row r="317" ht="16.5" spans="2:3">
      <c r="B317" s="202" t="s">
        <v>2681</v>
      </c>
      <c r="C317" s="202" t="s">
        <v>2396</v>
      </c>
    </row>
    <row r="318" ht="16.5" spans="2:3">
      <c r="B318" s="202" t="s">
        <v>2682</v>
      </c>
      <c r="C318" s="202" t="s">
        <v>2396</v>
      </c>
    </row>
    <row r="319" ht="16.5" spans="2:3">
      <c r="B319" s="202" t="s">
        <v>2683</v>
      </c>
      <c r="C319" s="202" t="s">
        <v>2396</v>
      </c>
    </row>
    <row r="320" ht="16.5" spans="2:3">
      <c r="B320" s="202" t="s">
        <v>2684</v>
      </c>
      <c r="C320" s="202" t="s">
        <v>2396</v>
      </c>
    </row>
    <row r="321" ht="16.5" spans="2:3">
      <c r="B321" s="202" t="s">
        <v>2685</v>
      </c>
      <c r="C321" s="202" t="s">
        <v>2396</v>
      </c>
    </row>
    <row r="322" ht="16.5" spans="2:3">
      <c r="B322" s="202" t="s">
        <v>2686</v>
      </c>
      <c r="C322" s="202" t="s">
        <v>2396</v>
      </c>
    </row>
    <row r="323" ht="16.5" spans="2:3">
      <c r="B323" s="202" t="s">
        <v>2687</v>
      </c>
      <c r="C323" s="202" t="s">
        <v>2396</v>
      </c>
    </row>
    <row r="324" ht="16.5" spans="2:3">
      <c r="B324" s="202" t="s">
        <v>2688</v>
      </c>
      <c r="C324" s="202" t="s">
        <v>2396</v>
      </c>
    </row>
    <row r="325" ht="16.5" spans="2:3">
      <c r="B325" s="202" t="s">
        <v>2689</v>
      </c>
      <c r="C325" s="202" t="s">
        <v>2396</v>
      </c>
    </row>
    <row r="326" ht="16.5" spans="2:3">
      <c r="B326" s="202" t="s">
        <v>2690</v>
      </c>
      <c r="C326" s="202" t="s">
        <v>2396</v>
      </c>
    </row>
    <row r="327" ht="16.5" spans="2:3">
      <c r="B327" s="202" t="s">
        <v>2691</v>
      </c>
      <c r="C327" s="202" t="s">
        <v>2396</v>
      </c>
    </row>
    <row r="328" ht="16.5" spans="2:3">
      <c r="B328" s="202" t="s">
        <v>2692</v>
      </c>
      <c r="C328" s="202" t="s">
        <v>2396</v>
      </c>
    </row>
    <row r="329" ht="16.5" spans="2:3">
      <c r="B329" s="202" t="s">
        <v>2693</v>
      </c>
      <c r="C329" s="202" t="s">
        <v>2396</v>
      </c>
    </row>
    <row r="330" ht="16.5" spans="2:3">
      <c r="B330" s="202" t="s">
        <v>2694</v>
      </c>
      <c r="C330" s="202" t="s">
        <v>2396</v>
      </c>
    </row>
    <row r="331" ht="16.5" spans="2:3">
      <c r="B331" s="202" t="s">
        <v>2695</v>
      </c>
      <c r="C331" s="202" t="s">
        <v>2396</v>
      </c>
    </row>
    <row r="332" ht="16.5" spans="2:3">
      <c r="B332" s="202" t="s">
        <v>2696</v>
      </c>
      <c r="C332" s="202" t="s">
        <v>2396</v>
      </c>
    </row>
    <row r="333" ht="16.5" spans="2:3">
      <c r="B333" s="202" t="s">
        <v>2697</v>
      </c>
      <c r="C333" s="202" t="s">
        <v>2396</v>
      </c>
    </row>
    <row r="334" ht="16.5" spans="2:3">
      <c r="B334" s="202" t="s">
        <v>2698</v>
      </c>
      <c r="C334" s="202" t="s">
        <v>2396</v>
      </c>
    </row>
    <row r="335" ht="16.5" spans="2:3">
      <c r="B335" s="202" t="s">
        <v>2699</v>
      </c>
      <c r="C335" s="202" t="s">
        <v>2396</v>
      </c>
    </row>
    <row r="336" ht="16.5" spans="2:3">
      <c r="B336" s="202" t="s">
        <v>2700</v>
      </c>
      <c r="C336" s="202" t="s">
        <v>2396</v>
      </c>
    </row>
    <row r="337" ht="16.5" spans="2:3">
      <c r="B337" s="202" t="s">
        <v>2701</v>
      </c>
      <c r="C337" s="202" t="s">
        <v>2396</v>
      </c>
    </row>
    <row r="338" ht="16.5" spans="2:3">
      <c r="B338" s="202" t="s">
        <v>2702</v>
      </c>
      <c r="C338" s="202" t="s">
        <v>2396</v>
      </c>
    </row>
    <row r="339" ht="16.5" spans="2:3">
      <c r="B339" s="202" t="s">
        <v>2703</v>
      </c>
      <c r="C339" s="202" t="s">
        <v>2396</v>
      </c>
    </row>
    <row r="340" ht="16.5" spans="2:3">
      <c r="B340" s="202" t="s">
        <v>2704</v>
      </c>
      <c r="C340" s="202" t="s">
        <v>2396</v>
      </c>
    </row>
    <row r="341" ht="16.5" spans="2:3">
      <c r="B341" s="202" t="s">
        <v>2705</v>
      </c>
      <c r="C341" s="202" t="s">
        <v>2396</v>
      </c>
    </row>
    <row r="342" ht="16.5" spans="2:3">
      <c r="B342" s="202" t="s">
        <v>2706</v>
      </c>
      <c r="C342" s="202" t="s">
        <v>2396</v>
      </c>
    </row>
    <row r="343" ht="16.5" spans="2:3">
      <c r="B343" s="202" t="s">
        <v>2707</v>
      </c>
      <c r="C343" s="202" t="s">
        <v>2396</v>
      </c>
    </row>
    <row r="344" ht="16.5" spans="2:3">
      <c r="B344" s="202" t="s">
        <v>2708</v>
      </c>
      <c r="C344" s="202" t="s">
        <v>2396</v>
      </c>
    </row>
    <row r="345" ht="16.5" spans="2:3">
      <c r="B345" s="202" t="s">
        <v>2709</v>
      </c>
      <c r="C345" s="202" t="s">
        <v>2396</v>
      </c>
    </row>
    <row r="346" ht="16.5" spans="2:3">
      <c r="B346" s="202" t="s">
        <v>2710</v>
      </c>
      <c r="C346" s="202" t="s">
        <v>2396</v>
      </c>
    </row>
    <row r="347" ht="16.5" spans="2:3">
      <c r="B347" s="202" t="s">
        <v>2711</v>
      </c>
      <c r="C347" s="202" t="s">
        <v>2396</v>
      </c>
    </row>
    <row r="348" ht="16.5" spans="2:3">
      <c r="B348" s="202" t="s">
        <v>2712</v>
      </c>
      <c r="C348" s="202" t="s">
        <v>2396</v>
      </c>
    </row>
    <row r="349" ht="16.5" spans="2:3">
      <c r="B349" s="202" t="s">
        <v>2713</v>
      </c>
      <c r="C349" s="202" t="s">
        <v>2396</v>
      </c>
    </row>
    <row r="350" ht="16.5" spans="2:3">
      <c r="B350" s="202" t="s">
        <v>2714</v>
      </c>
      <c r="C350" s="202" t="s">
        <v>2396</v>
      </c>
    </row>
    <row r="351" ht="16.5" spans="2:3">
      <c r="B351" s="202" t="s">
        <v>2715</v>
      </c>
      <c r="C351" s="202" t="s">
        <v>2396</v>
      </c>
    </row>
    <row r="352" ht="16.5" spans="2:3">
      <c r="B352" s="202" t="s">
        <v>2716</v>
      </c>
      <c r="C352" s="202" t="s">
        <v>2396</v>
      </c>
    </row>
    <row r="353" ht="16.5" spans="2:3">
      <c r="B353" s="202" t="s">
        <v>2717</v>
      </c>
      <c r="C353" s="202" t="s">
        <v>2396</v>
      </c>
    </row>
    <row r="354" ht="16.5" spans="2:3">
      <c r="B354" s="202" t="s">
        <v>2718</v>
      </c>
      <c r="C354" s="202" t="s">
        <v>2396</v>
      </c>
    </row>
    <row r="355" ht="16.5" spans="2:3">
      <c r="B355" s="202" t="s">
        <v>2719</v>
      </c>
      <c r="C355" s="202" t="s">
        <v>2396</v>
      </c>
    </row>
    <row r="356" ht="16.5" spans="2:3">
      <c r="B356" s="202" t="s">
        <v>2720</v>
      </c>
      <c r="C356" s="202" t="s">
        <v>2396</v>
      </c>
    </row>
    <row r="357" ht="16.5" spans="2:3">
      <c r="B357" s="202" t="s">
        <v>2721</v>
      </c>
      <c r="C357" s="202" t="s">
        <v>2396</v>
      </c>
    </row>
    <row r="358" ht="16.5" spans="2:3">
      <c r="B358" s="202" t="s">
        <v>2722</v>
      </c>
      <c r="C358" s="202" t="s">
        <v>2396</v>
      </c>
    </row>
    <row r="359" ht="16.5" spans="2:3">
      <c r="B359" s="202" t="s">
        <v>2723</v>
      </c>
      <c r="C359" s="202" t="s">
        <v>2396</v>
      </c>
    </row>
    <row r="360" ht="16.5" spans="2:3">
      <c r="B360" s="202" t="s">
        <v>2724</v>
      </c>
      <c r="C360" s="202" t="s">
        <v>2396</v>
      </c>
    </row>
    <row r="361" ht="16.5" spans="2:3">
      <c r="B361" s="202" t="s">
        <v>2725</v>
      </c>
      <c r="C361" s="202" t="s">
        <v>2396</v>
      </c>
    </row>
    <row r="362" ht="16.5" spans="2:3">
      <c r="B362" s="202" t="s">
        <v>2726</v>
      </c>
      <c r="C362" s="202" t="s">
        <v>2396</v>
      </c>
    </row>
    <row r="363" ht="16.5" spans="2:3">
      <c r="B363" s="202" t="s">
        <v>2727</v>
      </c>
      <c r="C363" s="202" t="s">
        <v>2396</v>
      </c>
    </row>
    <row r="364" ht="16.5" spans="2:3">
      <c r="B364" s="202" t="s">
        <v>2728</v>
      </c>
      <c r="C364" s="202" t="s">
        <v>2396</v>
      </c>
    </row>
    <row r="365" ht="16.5" spans="2:3">
      <c r="B365" s="202" t="s">
        <v>2729</v>
      </c>
      <c r="C365" s="202" t="s">
        <v>2396</v>
      </c>
    </row>
    <row r="366" ht="16.5" spans="2:3">
      <c r="B366" s="202" t="s">
        <v>2730</v>
      </c>
      <c r="C366" s="202" t="s">
        <v>2396</v>
      </c>
    </row>
    <row r="367" ht="16.5" spans="2:3">
      <c r="B367" s="202" t="s">
        <v>2731</v>
      </c>
      <c r="C367" s="202" t="s">
        <v>2396</v>
      </c>
    </row>
    <row r="368" ht="16.5" spans="2:3">
      <c r="B368" s="202" t="s">
        <v>2732</v>
      </c>
      <c r="C368" s="202" t="s">
        <v>2396</v>
      </c>
    </row>
    <row r="369" ht="16.5" spans="2:3">
      <c r="B369" s="202" t="s">
        <v>2733</v>
      </c>
      <c r="C369" s="202" t="s">
        <v>2396</v>
      </c>
    </row>
    <row r="370" ht="16.5" spans="2:3">
      <c r="B370" s="202" t="s">
        <v>2734</v>
      </c>
      <c r="C370" s="202" t="s">
        <v>2396</v>
      </c>
    </row>
    <row r="371" ht="16.5" spans="2:3">
      <c r="B371" s="202" t="s">
        <v>2735</v>
      </c>
      <c r="C371" s="202" t="s">
        <v>2396</v>
      </c>
    </row>
    <row r="372" ht="16.5" spans="2:3">
      <c r="B372" s="202" t="s">
        <v>2736</v>
      </c>
      <c r="C372" s="202" t="s">
        <v>2396</v>
      </c>
    </row>
    <row r="373" ht="16.5" spans="2:3">
      <c r="B373" s="202" t="s">
        <v>2737</v>
      </c>
      <c r="C373" s="202" t="s">
        <v>2396</v>
      </c>
    </row>
    <row r="374" ht="16.5" spans="2:3">
      <c r="B374" s="202" t="s">
        <v>2738</v>
      </c>
      <c r="C374" s="202" t="s">
        <v>2396</v>
      </c>
    </row>
    <row r="375" ht="16.5" spans="2:3">
      <c r="B375" s="202" t="s">
        <v>2739</v>
      </c>
      <c r="C375" s="202" t="s">
        <v>2396</v>
      </c>
    </row>
    <row r="376" ht="16.5" spans="2:3">
      <c r="B376" s="202" t="s">
        <v>2740</v>
      </c>
      <c r="C376" s="202" t="s">
        <v>2396</v>
      </c>
    </row>
    <row r="377" ht="16.5" spans="2:3">
      <c r="B377" s="202" t="s">
        <v>2741</v>
      </c>
      <c r="C377" s="202" t="s">
        <v>2396</v>
      </c>
    </row>
    <row r="378" ht="16.5" spans="2:3">
      <c r="B378" s="202" t="s">
        <v>2742</v>
      </c>
      <c r="C378" s="202" t="s">
        <v>2396</v>
      </c>
    </row>
    <row r="379" ht="16.5" spans="2:3">
      <c r="B379" s="202" t="s">
        <v>2743</v>
      </c>
      <c r="C379" s="202" t="s">
        <v>2396</v>
      </c>
    </row>
    <row r="380" ht="16.5" spans="2:3">
      <c r="B380" s="202" t="s">
        <v>2744</v>
      </c>
      <c r="C380" s="202" t="s">
        <v>2396</v>
      </c>
    </row>
    <row r="381" ht="16.5" spans="2:3">
      <c r="B381" s="202" t="s">
        <v>2745</v>
      </c>
      <c r="C381" s="202" t="s">
        <v>2396</v>
      </c>
    </row>
    <row r="382" ht="16.5" spans="2:3">
      <c r="B382" s="202" t="s">
        <v>2746</v>
      </c>
      <c r="C382" s="202" t="s">
        <v>2396</v>
      </c>
    </row>
    <row r="383" ht="16.5" spans="2:3">
      <c r="B383" s="202" t="s">
        <v>2747</v>
      </c>
      <c r="C383" s="202" t="s">
        <v>2396</v>
      </c>
    </row>
  </sheetData>
  <mergeCells count="4">
    <mergeCell ref="B45:D45"/>
    <mergeCell ref="B26:B28"/>
    <mergeCell ref="C26:C28"/>
    <mergeCell ref="D26:D28"/>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I45" sqref="A45:I45"/>
    </sheetView>
  </sheetViews>
  <sheetFormatPr defaultColWidth="8.75454545454545" defaultRowHeight="14.5"/>
  <cols>
    <col min="1" max="1" width="8.75454545454545" style="87"/>
    <col min="2" max="2" width="10.5" style="88" customWidth="1"/>
    <col min="3" max="3" width="12.8727272727273" style="88" customWidth="1"/>
    <col min="4" max="4" width="18.1272727272727" style="83" customWidth="1"/>
    <col min="5" max="5" width="18.1272727272727" style="83" customWidth="1" outlineLevel="1"/>
    <col min="6" max="6" width="22.2545454545455" style="89" customWidth="1" outlineLevel="1"/>
    <col min="7" max="7" width="16.3727272727273" style="89" customWidth="1" outlineLevel="1"/>
    <col min="8" max="8" width="15.1272727272727" style="90" customWidth="1"/>
    <col min="9" max="10" width="13.5" style="91" customWidth="1"/>
    <col min="11" max="11" width="12.3727272727273" style="91" customWidth="1" outlineLevel="1"/>
    <col min="12" max="12" width="12.3727272727273" style="89" customWidth="1" outlineLevel="1"/>
    <col min="13" max="13" width="47.5" style="89" customWidth="1" outlineLevel="1"/>
    <col min="14" max="14" width="12.3727272727273" style="91" customWidth="1" outlineLevel="1"/>
    <col min="15" max="15" width="40" style="89" customWidth="1" outlineLevel="1"/>
    <col min="16" max="22" width="12.3727272727273" style="91" customWidth="1" outlineLevel="1"/>
    <col min="23" max="23" width="61.3727272727273"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454545454545" style="87"/>
  </cols>
  <sheetData>
    <row r="1" s="81" customFormat="1" ht="23.1" customHeight="1" spans="1:95">
      <c r="A1" s="92" t="s">
        <v>709</v>
      </c>
      <c r="B1" s="93" t="s">
        <v>2748</v>
      </c>
      <c r="C1" s="94" t="s">
        <v>711</v>
      </c>
      <c r="D1" s="94"/>
      <c r="E1" s="94"/>
      <c r="F1" s="94"/>
      <c r="G1" s="95"/>
      <c r="H1" s="96" t="s">
        <v>2749</v>
      </c>
      <c r="I1" s="135" t="s">
        <v>2750</v>
      </c>
      <c r="J1" s="136" t="s">
        <v>2751</v>
      </c>
      <c r="K1" s="137" t="s">
        <v>2752</v>
      </c>
      <c r="L1" s="138"/>
      <c r="M1" s="138"/>
      <c r="N1" s="137"/>
      <c r="O1" s="138"/>
      <c r="P1" s="137"/>
      <c r="Q1" s="137"/>
      <c r="R1" s="137"/>
      <c r="S1" s="137"/>
      <c r="T1" s="137"/>
      <c r="U1" s="137"/>
      <c r="V1" s="137"/>
      <c r="W1" s="137"/>
      <c r="X1" s="156" t="s">
        <v>712</v>
      </c>
      <c r="Y1" s="159"/>
      <c r="Z1" s="160"/>
      <c r="AA1" s="156" t="s">
        <v>712</v>
      </c>
      <c r="AB1" s="159"/>
      <c r="AC1" s="160"/>
      <c r="AD1" s="156" t="s">
        <v>712</v>
      </c>
      <c r="AE1" s="159"/>
      <c r="AF1" s="160"/>
      <c r="AG1" s="156" t="s">
        <v>712</v>
      </c>
      <c r="AH1" s="159"/>
      <c r="AI1" s="160"/>
      <c r="AJ1" s="156" t="s">
        <v>712</v>
      </c>
      <c r="AK1" s="159"/>
      <c r="AL1" s="160"/>
      <c r="AM1" s="156" t="s">
        <v>712</v>
      </c>
      <c r="AN1" s="159"/>
      <c r="AO1" s="160"/>
      <c r="AP1" s="156" t="s">
        <v>712</v>
      </c>
      <c r="AQ1" s="159"/>
      <c r="AR1" s="160"/>
      <c r="AS1" s="156" t="s">
        <v>712</v>
      </c>
      <c r="AT1" s="159"/>
      <c r="AU1" s="160"/>
      <c r="AV1" s="156" t="s">
        <v>712</v>
      </c>
      <c r="AW1" s="159"/>
      <c r="AX1" s="160"/>
      <c r="AY1" s="156" t="s">
        <v>712</v>
      </c>
      <c r="AZ1" s="159"/>
      <c r="BA1" s="160"/>
      <c r="BB1" s="156" t="s">
        <v>712</v>
      </c>
      <c r="BC1" s="159"/>
      <c r="BD1" s="160"/>
      <c r="BE1" s="156" t="s">
        <v>712</v>
      </c>
      <c r="BF1" s="159"/>
      <c r="BG1" s="160"/>
      <c r="BH1" s="163" t="s">
        <v>2753</v>
      </c>
      <c r="BI1" s="164"/>
      <c r="BJ1" s="165"/>
      <c r="BK1" s="163" t="s">
        <v>2753</v>
      </c>
      <c r="BL1" s="164"/>
      <c r="BM1" s="165"/>
      <c r="BN1" s="163" t="s">
        <v>2753</v>
      </c>
      <c r="BO1" s="164"/>
      <c r="BP1" s="165"/>
      <c r="BQ1" s="163" t="s">
        <v>2753</v>
      </c>
      <c r="BR1" s="164"/>
      <c r="BS1" s="165"/>
      <c r="BT1" s="163" t="s">
        <v>2753</v>
      </c>
      <c r="BU1" s="164"/>
      <c r="BV1" s="165"/>
      <c r="BW1" s="163" t="s">
        <v>2753</v>
      </c>
      <c r="BX1" s="164"/>
      <c r="BY1" s="165"/>
      <c r="BZ1" s="163" t="s">
        <v>2753</v>
      </c>
      <c r="CA1" s="164"/>
      <c r="CB1" s="165"/>
      <c r="CC1" s="163" t="s">
        <v>2753</v>
      </c>
      <c r="CD1" s="164"/>
      <c r="CE1" s="165"/>
      <c r="CF1" s="163" t="s">
        <v>2753</v>
      </c>
      <c r="CG1" s="164"/>
      <c r="CH1" s="165"/>
      <c r="CI1" s="163" t="s">
        <v>2753</v>
      </c>
      <c r="CJ1" s="164"/>
      <c r="CK1" s="165"/>
      <c r="CL1" s="163" t="s">
        <v>2753</v>
      </c>
      <c r="CM1" s="164"/>
      <c r="CN1" s="165"/>
      <c r="CO1" s="163" t="s">
        <v>2753</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714</v>
      </c>
      <c r="Y2" s="159"/>
      <c r="Z2" s="160"/>
      <c r="AA2" s="156" t="s">
        <v>715</v>
      </c>
      <c r="AB2" s="159"/>
      <c r="AC2" s="160"/>
      <c r="AD2" s="156" t="s">
        <v>716</v>
      </c>
      <c r="AE2" s="159"/>
      <c r="AF2" s="160"/>
      <c r="AG2" s="156" t="s">
        <v>717</v>
      </c>
      <c r="AH2" s="159"/>
      <c r="AI2" s="160"/>
      <c r="AJ2" s="156" t="s">
        <v>718</v>
      </c>
      <c r="AK2" s="159"/>
      <c r="AL2" s="160"/>
      <c r="AM2" s="156" t="s">
        <v>719</v>
      </c>
      <c r="AN2" s="159"/>
      <c r="AO2" s="160"/>
      <c r="AP2" s="156" t="s">
        <v>720</v>
      </c>
      <c r="AQ2" s="159"/>
      <c r="AR2" s="160"/>
      <c r="AS2" s="156" t="s">
        <v>721</v>
      </c>
      <c r="AT2" s="159"/>
      <c r="AU2" s="160"/>
      <c r="AV2" s="156" t="s">
        <v>722</v>
      </c>
      <c r="AW2" s="159"/>
      <c r="AX2" s="160"/>
      <c r="AY2" s="156" t="s">
        <v>723</v>
      </c>
      <c r="AZ2" s="159"/>
      <c r="BA2" s="160"/>
      <c r="BB2" s="156" t="s">
        <v>724</v>
      </c>
      <c r="BC2" s="159"/>
      <c r="BD2" s="160"/>
      <c r="BE2" s="156" t="s">
        <v>725</v>
      </c>
      <c r="BF2" s="159"/>
      <c r="BG2" s="160"/>
      <c r="BH2" s="163" t="s">
        <v>714</v>
      </c>
      <c r="BI2" s="164"/>
      <c r="BJ2" s="165"/>
      <c r="BK2" s="163" t="s">
        <v>715</v>
      </c>
      <c r="BL2" s="164"/>
      <c r="BM2" s="165"/>
      <c r="BN2" s="163" t="s">
        <v>716</v>
      </c>
      <c r="BO2" s="164"/>
      <c r="BP2" s="165"/>
      <c r="BQ2" s="163" t="s">
        <v>717</v>
      </c>
      <c r="BR2" s="164"/>
      <c r="BS2" s="165"/>
      <c r="BT2" s="163" t="s">
        <v>718</v>
      </c>
      <c r="BU2" s="164"/>
      <c r="BV2" s="165"/>
      <c r="BW2" s="163" t="s">
        <v>719</v>
      </c>
      <c r="BX2" s="164"/>
      <c r="BY2" s="165"/>
      <c r="BZ2" s="163" t="s">
        <v>720</v>
      </c>
      <c r="CA2" s="164"/>
      <c r="CB2" s="165"/>
      <c r="CC2" s="163" t="s">
        <v>721</v>
      </c>
      <c r="CD2" s="164"/>
      <c r="CE2" s="165"/>
      <c r="CF2" s="163" t="s">
        <v>722</v>
      </c>
      <c r="CG2" s="164"/>
      <c r="CH2" s="165"/>
      <c r="CI2" s="163" t="s">
        <v>723</v>
      </c>
      <c r="CJ2" s="164"/>
      <c r="CK2" s="165"/>
      <c r="CL2" s="163" t="s">
        <v>724</v>
      </c>
      <c r="CM2" s="164"/>
      <c r="CN2" s="165"/>
      <c r="CO2" s="163" t="s">
        <v>725</v>
      </c>
      <c r="CP2" s="164"/>
      <c r="CQ2" s="165"/>
    </row>
    <row r="3" s="81" customFormat="1" ht="42.95" customHeight="1" spans="1:95">
      <c r="A3" s="100"/>
      <c r="B3" s="101"/>
      <c r="C3" s="102" t="s">
        <v>726</v>
      </c>
      <c r="D3" s="94" t="s">
        <v>3</v>
      </c>
      <c r="E3" s="94" t="s">
        <v>727</v>
      </c>
      <c r="F3" s="94" t="s">
        <v>728</v>
      </c>
      <c r="G3" s="94" t="s">
        <v>729</v>
      </c>
      <c r="I3" s="135"/>
      <c r="J3" s="142"/>
      <c r="K3" s="143" t="s">
        <v>2754</v>
      </c>
      <c r="L3" s="143" t="s">
        <v>2755</v>
      </c>
      <c r="M3" s="143" t="s">
        <v>2756</v>
      </c>
      <c r="N3" s="144" t="s">
        <v>2757</v>
      </c>
      <c r="O3" s="143" t="s">
        <v>2758</v>
      </c>
      <c r="P3" s="144" t="s">
        <v>2759</v>
      </c>
      <c r="Q3" s="143" t="s">
        <v>2760</v>
      </c>
      <c r="R3" s="143" t="s">
        <v>2761</v>
      </c>
      <c r="S3" s="143" t="s">
        <v>2762</v>
      </c>
      <c r="T3" s="144" t="s">
        <v>2763</v>
      </c>
      <c r="U3" s="143" t="s">
        <v>2764</v>
      </c>
      <c r="V3" s="143" t="s">
        <v>2765</v>
      </c>
      <c r="W3" s="144" t="s">
        <v>2766</v>
      </c>
      <c r="X3" s="81" t="s">
        <v>2767</v>
      </c>
      <c r="Y3" s="135" t="s">
        <v>2768</v>
      </c>
      <c r="Z3" s="142" t="s">
        <v>2769</v>
      </c>
      <c r="AA3" s="81" t="s">
        <v>2767</v>
      </c>
      <c r="AB3" s="135" t="s">
        <v>2768</v>
      </c>
      <c r="AC3" s="142" t="s">
        <v>2769</v>
      </c>
      <c r="AD3" s="81" t="s">
        <v>2767</v>
      </c>
      <c r="AE3" s="135" t="s">
        <v>2768</v>
      </c>
      <c r="AF3" s="142" t="s">
        <v>2769</v>
      </c>
      <c r="AG3" s="81" t="s">
        <v>2767</v>
      </c>
      <c r="AH3" s="135" t="s">
        <v>2768</v>
      </c>
      <c r="AI3" s="142" t="s">
        <v>2769</v>
      </c>
      <c r="AJ3" s="81" t="s">
        <v>2767</v>
      </c>
      <c r="AK3" s="135" t="s">
        <v>2768</v>
      </c>
      <c r="AL3" s="142" t="s">
        <v>2769</v>
      </c>
      <c r="AM3" s="81" t="s">
        <v>2767</v>
      </c>
      <c r="AN3" s="135" t="s">
        <v>2768</v>
      </c>
      <c r="AO3" s="142" t="s">
        <v>2769</v>
      </c>
      <c r="AP3" s="81" t="s">
        <v>2767</v>
      </c>
      <c r="AQ3" s="135" t="s">
        <v>2768</v>
      </c>
      <c r="AR3" s="142" t="s">
        <v>2769</v>
      </c>
      <c r="AS3" s="81" t="s">
        <v>2767</v>
      </c>
      <c r="AT3" s="135" t="s">
        <v>2768</v>
      </c>
      <c r="AU3" s="142" t="s">
        <v>2769</v>
      </c>
      <c r="AV3" s="81" t="s">
        <v>2767</v>
      </c>
      <c r="AW3" s="135" t="s">
        <v>2768</v>
      </c>
      <c r="AX3" s="142" t="s">
        <v>2769</v>
      </c>
      <c r="AY3" s="81" t="s">
        <v>2767</v>
      </c>
      <c r="AZ3" s="135" t="s">
        <v>2768</v>
      </c>
      <c r="BA3" s="142" t="s">
        <v>2769</v>
      </c>
      <c r="BB3" s="81" t="s">
        <v>2767</v>
      </c>
      <c r="BC3" s="135" t="s">
        <v>2768</v>
      </c>
      <c r="BD3" s="142" t="s">
        <v>2769</v>
      </c>
      <c r="BE3" s="81" t="s">
        <v>2767</v>
      </c>
      <c r="BF3" s="135" t="s">
        <v>2768</v>
      </c>
      <c r="BG3" s="142" t="s">
        <v>2769</v>
      </c>
      <c r="BH3" s="81" t="s">
        <v>2767</v>
      </c>
      <c r="BI3" s="135" t="s">
        <v>2768</v>
      </c>
      <c r="BJ3" s="142" t="s">
        <v>2769</v>
      </c>
      <c r="BK3" s="81" t="s">
        <v>2767</v>
      </c>
      <c r="BL3" s="135" t="s">
        <v>2768</v>
      </c>
      <c r="BM3" s="142" t="s">
        <v>2769</v>
      </c>
      <c r="BN3" s="81" t="s">
        <v>2767</v>
      </c>
      <c r="BO3" s="135" t="s">
        <v>2768</v>
      </c>
      <c r="BP3" s="142" t="s">
        <v>2769</v>
      </c>
      <c r="BQ3" s="81" t="s">
        <v>2767</v>
      </c>
      <c r="BR3" s="135" t="s">
        <v>2768</v>
      </c>
      <c r="BS3" s="142" t="s">
        <v>2769</v>
      </c>
      <c r="BT3" s="81" t="s">
        <v>2767</v>
      </c>
      <c r="BU3" s="135" t="s">
        <v>2768</v>
      </c>
      <c r="BV3" s="142" t="s">
        <v>2769</v>
      </c>
      <c r="BW3" s="81" t="s">
        <v>2767</v>
      </c>
      <c r="BX3" s="135" t="s">
        <v>2768</v>
      </c>
      <c r="BY3" s="142" t="s">
        <v>2769</v>
      </c>
      <c r="BZ3" s="81" t="s">
        <v>2767</v>
      </c>
      <c r="CA3" s="135" t="s">
        <v>2768</v>
      </c>
      <c r="CB3" s="142" t="s">
        <v>2769</v>
      </c>
      <c r="CC3" s="81" t="s">
        <v>2767</v>
      </c>
      <c r="CD3" s="135" t="s">
        <v>2768</v>
      </c>
      <c r="CE3" s="142" t="s">
        <v>2769</v>
      </c>
      <c r="CF3" s="81" t="s">
        <v>2767</v>
      </c>
      <c r="CG3" s="135" t="s">
        <v>2768</v>
      </c>
      <c r="CH3" s="142" t="s">
        <v>2769</v>
      </c>
      <c r="CI3" s="81" t="s">
        <v>2767</v>
      </c>
      <c r="CJ3" s="135" t="s">
        <v>2768</v>
      </c>
      <c r="CK3" s="142" t="s">
        <v>2769</v>
      </c>
      <c r="CL3" s="81" t="s">
        <v>2767</v>
      </c>
      <c r="CM3" s="135" t="s">
        <v>2768</v>
      </c>
      <c r="CN3" s="142" t="s">
        <v>2769</v>
      </c>
      <c r="CO3" s="81" t="s">
        <v>2767</v>
      </c>
      <c r="CP3" s="135" t="s">
        <v>2768</v>
      </c>
      <c r="CQ3" s="142" t="s">
        <v>2769</v>
      </c>
    </row>
    <row r="4" s="82" customFormat="1" ht="33.95" customHeight="1" spans="2:95">
      <c r="B4" s="103" t="s">
        <v>742</v>
      </c>
      <c r="C4" s="104">
        <v>1</v>
      </c>
      <c r="D4" s="82" t="s">
        <v>743</v>
      </c>
      <c r="E4" s="82" t="s">
        <v>744</v>
      </c>
      <c r="F4" s="105"/>
      <c r="G4" s="106"/>
      <c r="H4" s="107">
        <f>X4+AA4+AD4+AG4+AJ4+AM4+AP4+AS4+AV4+AY4+BB4+BE4</f>
        <v>2870203.699896</v>
      </c>
      <c r="I4" s="107">
        <f t="shared" ref="I4:J4" si="0">Y4+AB4+AE4+AH4+AK4+AN4+AQ4+AT4+AW4+AZ4+BC4+BF4</f>
        <v>2771764.8479012</v>
      </c>
      <c r="J4" s="107">
        <f t="shared" si="0"/>
        <v>98438.8519948006</v>
      </c>
      <c r="K4" s="107"/>
      <c r="L4" s="145"/>
      <c r="M4" s="145"/>
      <c r="N4" s="107"/>
      <c r="O4" s="145"/>
      <c r="P4" s="107"/>
      <c r="Q4" s="107"/>
      <c r="R4" s="107"/>
      <c r="S4" s="107"/>
      <c r="T4" s="107"/>
      <c r="U4" s="107"/>
      <c r="V4" s="107"/>
      <c r="W4" s="107"/>
      <c r="X4" s="107">
        <f t="shared" ref="X4:BC4" si="1">X5+X508+X536+X597+X603+X616</f>
        <v>319874.191658</v>
      </c>
      <c r="Y4" s="107">
        <f t="shared" si="1"/>
        <v>308652.311147051</v>
      </c>
      <c r="Z4" s="107">
        <f t="shared" si="1"/>
        <v>11221.8805109489</v>
      </c>
      <c r="AA4" s="107">
        <f t="shared" si="1"/>
        <v>230493.591658</v>
      </c>
      <c r="AB4" s="107">
        <f t="shared" si="1"/>
        <v>222080.629906175</v>
      </c>
      <c r="AC4" s="107">
        <f t="shared" si="1"/>
        <v>8412.96175182482</v>
      </c>
      <c r="AD4" s="107">
        <f t="shared" si="1"/>
        <v>233343.591658</v>
      </c>
      <c r="AE4" s="107">
        <f t="shared" si="1"/>
        <v>217939.101147051</v>
      </c>
      <c r="AF4" s="107">
        <f t="shared" si="1"/>
        <v>15404.4905109489</v>
      </c>
      <c r="AG4" s="107">
        <f t="shared" si="1"/>
        <v>230493.591658</v>
      </c>
      <c r="AH4" s="107">
        <f t="shared" si="1"/>
        <v>219991.394066759</v>
      </c>
      <c r="AI4" s="107">
        <f t="shared" si="1"/>
        <v>10502.1975912409</v>
      </c>
      <c r="AJ4" s="107">
        <f t="shared" si="1"/>
        <v>236843.591658</v>
      </c>
      <c r="AK4" s="107">
        <f t="shared" si="1"/>
        <v>226553.241147051</v>
      </c>
      <c r="AL4" s="107">
        <f t="shared" si="1"/>
        <v>10290.3505109489</v>
      </c>
      <c r="AM4" s="107">
        <f t="shared" si="1"/>
        <v>229893.591658</v>
      </c>
      <c r="AN4" s="107">
        <f t="shared" si="1"/>
        <v>214701.821874978</v>
      </c>
      <c r="AO4" s="107">
        <f t="shared" si="1"/>
        <v>15191.7697830217</v>
      </c>
      <c r="AP4" s="107">
        <f t="shared" si="1"/>
        <v>229193.591658</v>
      </c>
      <c r="AQ4" s="107">
        <f t="shared" si="1"/>
        <v>219879.156215544</v>
      </c>
      <c r="AR4" s="107">
        <f t="shared" si="1"/>
        <v>9314.43544245576</v>
      </c>
      <c r="AS4" s="107">
        <f t="shared" si="1"/>
        <v>233343.591658</v>
      </c>
      <c r="AT4" s="107">
        <f t="shared" si="1"/>
        <v>229676.116215544</v>
      </c>
      <c r="AU4" s="107">
        <f t="shared" si="1"/>
        <v>3667.47544245576</v>
      </c>
      <c r="AV4" s="107">
        <f t="shared" si="1"/>
        <v>234993.591658</v>
      </c>
      <c r="AW4" s="107">
        <f t="shared" si="1"/>
        <v>231444.421874978</v>
      </c>
      <c r="AX4" s="107">
        <f t="shared" si="1"/>
        <v>3549.1697830217</v>
      </c>
      <c r="AY4" s="107">
        <f t="shared" si="1"/>
        <v>233343.591658</v>
      </c>
      <c r="AZ4" s="107">
        <f t="shared" si="1"/>
        <v>229676.116215544</v>
      </c>
      <c r="BA4" s="107">
        <f t="shared" si="1"/>
        <v>3667.47544245576</v>
      </c>
      <c r="BB4" s="107">
        <f t="shared" si="1"/>
        <v>229193.591658</v>
      </c>
      <c r="BC4" s="107">
        <f t="shared" si="1"/>
        <v>225644.421874978</v>
      </c>
      <c r="BD4" s="107">
        <f t="shared" ref="BD4:CI4" si="2">BD5+BD508+BD536+BD597+BD603+BD616</f>
        <v>3549.1697830217</v>
      </c>
      <c r="BE4" s="107">
        <f t="shared" si="2"/>
        <v>229193.591658</v>
      </c>
      <c r="BF4" s="107">
        <f t="shared" si="2"/>
        <v>225526.116215544</v>
      </c>
      <c r="BG4" s="107">
        <f t="shared" si="2"/>
        <v>3667.47544245576</v>
      </c>
      <c r="BH4" s="107">
        <f t="shared" si="2"/>
        <v>319874.191658</v>
      </c>
      <c r="BI4" s="107">
        <f t="shared" si="2"/>
        <v>319874.106726493</v>
      </c>
      <c r="BJ4" s="107">
        <f t="shared" si="2"/>
        <v>0.0849315068493151</v>
      </c>
      <c r="BK4" s="107">
        <f t="shared" si="2"/>
        <v>230493.591658</v>
      </c>
      <c r="BL4" s="107">
        <f t="shared" si="2"/>
        <v>230493.514945671</v>
      </c>
      <c r="BM4" s="107">
        <f t="shared" si="2"/>
        <v>0.0767123287671233</v>
      </c>
      <c r="BN4" s="107">
        <f t="shared" si="2"/>
        <v>233343.591658</v>
      </c>
      <c r="BO4" s="107">
        <f t="shared" si="2"/>
        <v>233343.506726493</v>
      </c>
      <c r="BP4" s="107">
        <f t="shared" si="2"/>
        <v>0.0849315068493151</v>
      </c>
      <c r="BQ4" s="107">
        <f t="shared" si="2"/>
        <v>230493.591658</v>
      </c>
      <c r="BR4" s="107">
        <f t="shared" si="2"/>
        <v>230493.509466219</v>
      </c>
      <c r="BS4" s="107">
        <f t="shared" si="2"/>
        <v>0.0821917808219178</v>
      </c>
      <c r="BT4" s="107">
        <f t="shared" si="2"/>
        <v>236843.591658</v>
      </c>
      <c r="BU4" s="107">
        <f t="shared" si="2"/>
        <v>236843.506726493</v>
      </c>
      <c r="BV4" s="107">
        <f t="shared" si="2"/>
        <v>0.0849315068493151</v>
      </c>
      <c r="BW4" s="107">
        <f t="shared" si="2"/>
        <v>229893.591658</v>
      </c>
      <c r="BX4" s="107">
        <f t="shared" si="2"/>
        <v>229893.591658</v>
      </c>
      <c r="BY4" s="107">
        <f t="shared" si="2"/>
        <v>0</v>
      </c>
      <c r="BZ4" s="107">
        <f t="shared" si="2"/>
        <v>229193.591658</v>
      </c>
      <c r="CA4" s="107">
        <f t="shared" si="2"/>
        <v>229193.591658</v>
      </c>
      <c r="CB4" s="107">
        <f t="shared" si="2"/>
        <v>0</v>
      </c>
      <c r="CC4" s="107">
        <f t="shared" si="2"/>
        <v>233343.591658</v>
      </c>
      <c r="CD4" s="107">
        <f t="shared" si="2"/>
        <v>233343.591658</v>
      </c>
      <c r="CE4" s="107">
        <f t="shared" si="2"/>
        <v>0</v>
      </c>
      <c r="CF4" s="107">
        <f t="shared" si="2"/>
        <v>234993.591658</v>
      </c>
      <c r="CG4" s="107">
        <f t="shared" si="2"/>
        <v>234993.591658</v>
      </c>
      <c r="CH4" s="107">
        <f t="shared" si="2"/>
        <v>0</v>
      </c>
      <c r="CI4" s="107">
        <f t="shared" si="2"/>
        <v>233343.591658</v>
      </c>
      <c r="CJ4" s="107">
        <f t="shared" ref="CJ4:CQ4" si="3">CJ5+CJ508+CJ536+CJ597+CJ603+CJ616</f>
        <v>233343.591658</v>
      </c>
      <c r="CK4" s="107">
        <f t="shared" si="3"/>
        <v>0</v>
      </c>
      <c r="CL4" s="107">
        <f t="shared" si="3"/>
        <v>229193.591658</v>
      </c>
      <c r="CM4" s="107">
        <f t="shared" si="3"/>
        <v>229193.591658</v>
      </c>
      <c r="CN4" s="107">
        <f t="shared" si="3"/>
        <v>0</v>
      </c>
      <c r="CO4" s="107">
        <f t="shared" si="3"/>
        <v>229193.591658</v>
      </c>
      <c r="CP4" s="107">
        <f t="shared" si="3"/>
        <v>229193.591658</v>
      </c>
      <c r="CQ4" s="107">
        <f t="shared" si="3"/>
        <v>0</v>
      </c>
    </row>
    <row r="5" s="83" customFormat="1" ht="24" customHeight="1" collapsed="1" spans="1:95">
      <c r="A5" s="108"/>
      <c r="B5" s="109" t="s">
        <v>742</v>
      </c>
      <c r="C5" s="110">
        <v>1.1</v>
      </c>
      <c r="D5" s="108" t="s">
        <v>214</v>
      </c>
      <c r="E5" s="109"/>
      <c r="F5" s="109"/>
      <c r="G5" s="108"/>
      <c r="H5" s="111">
        <f t="shared" ref="H5:I8" si="4">X5+AA5+AD5+AG5+AJ5+AM5+AP5+AS5+AV5+AY5+BB5+BE5</f>
        <v>2685359.089896</v>
      </c>
      <c r="I5" s="111">
        <f t="shared" si="4"/>
        <v>2603560.0179012</v>
      </c>
      <c r="J5" s="111">
        <f t="shared" ref="J5:J68" si="5">Z5+AC5+AF5+AI5+AL5+AO5+AR5+AU5+AX5+BA5+BD5+BG5</f>
        <v>81799.0719948006</v>
      </c>
      <c r="K5" s="111"/>
      <c r="L5" s="146"/>
      <c r="M5" s="146"/>
      <c r="N5" s="111"/>
      <c r="O5" s="146"/>
      <c r="P5" s="111"/>
      <c r="Q5" s="111"/>
      <c r="R5" s="111"/>
      <c r="S5" s="111"/>
      <c r="T5" s="111"/>
      <c r="U5" s="111"/>
      <c r="V5" s="111"/>
      <c r="W5" s="111"/>
      <c r="X5" s="111">
        <f>VLOOKUP($C5,'1 预算编制表单'!$C:$BJ,27,FALSE)</f>
        <v>231902.924158</v>
      </c>
      <c r="Y5" s="111">
        <f t="shared" ref="Y5:BG5" si="6">Y6+Y177+Y428</f>
        <v>222588.573647051</v>
      </c>
      <c r="Z5" s="111">
        <f t="shared" si="6"/>
        <v>9314.35051094891</v>
      </c>
      <c r="AA5" s="111">
        <f>VLOOKUP($C5,'1 预算编制表单'!$C:$BJ,30,FALSE)</f>
        <v>221686.924158</v>
      </c>
      <c r="AB5" s="111">
        <f t="shared" si="6"/>
        <v>213273.962406175</v>
      </c>
      <c r="AC5" s="111">
        <f t="shared" si="6"/>
        <v>8412.96175182482</v>
      </c>
      <c r="AD5" s="111">
        <f>VLOOKUP($C5,'1 预算编制表单'!$C:$BJ,33,FALSE)</f>
        <v>224536.924158</v>
      </c>
      <c r="AE5" s="111">
        <f t="shared" si="6"/>
        <v>215222.573647051</v>
      </c>
      <c r="AF5" s="111">
        <f t="shared" si="6"/>
        <v>9314.35051094891</v>
      </c>
      <c r="AG5" s="111">
        <f>VLOOKUP($C5,'1 预算编制表单'!$C:$BJ,36,FALSE)</f>
        <v>221686.924158</v>
      </c>
      <c r="AH5" s="111">
        <f t="shared" si="6"/>
        <v>212673.036566759</v>
      </c>
      <c r="AI5" s="111">
        <f t="shared" si="6"/>
        <v>9013.88759124088</v>
      </c>
      <c r="AJ5" s="111">
        <f>VLOOKUP($C5,'1 预算编制表单'!$C:$BJ,39,FALSE)</f>
        <v>228036.924158</v>
      </c>
      <c r="AK5" s="111">
        <f t="shared" si="6"/>
        <v>218722.573647051</v>
      </c>
      <c r="AL5" s="111">
        <f t="shared" si="6"/>
        <v>9314.35051094891</v>
      </c>
      <c r="AM5" s="111">
        <f>VLOOKUP($C5,'1 预算编制表单'!$C:$BJ,42,FALSE)</f>
        <v>221086.924158</v>
      </c>
      <c r="AN5" s="111">
        <f t="shared" si="6"/>
        <v>212072.954374978</v>
      </c>
      <c r="AO5" s="111">
        <f t="shared" si="6"/>
        <v>9013.9697830217</v>
      </c>
      <c r="AP5" s="111">
        <f>VLOOKUP($C5,'1 预算编制表单'!$C:$BJ,45,FALSE)</f>
        <v>220386.924158</v>
      </c>
      <c r="AQ5" s="111">
        <f t="shared" si="6"/>
        <v>211072.488715544</v>
      </c>
      <c r="AR5" s="111">
        <f t="shared" si="6"/>
        <v>9314.43544245576</v>
      </c>
      <c r="AS5" s="111">
        <f>VLOOKUP($C5,'1 预算编制表单'!$C:$BJ,48,FALSE)</f>
        <v>224536.924158</v>
      </c>
      <c r="AT5" s="111">
        <f t="shared" si="6"/>
        <v>220869.448715544</v>
      </c>
      <c r="AU5" s="111">
        <f t="shared" si="6"/>
        <v>3667.47544245576</v>
      </c>
      <c r="AV5" s="111">
        <f>VLOOKUP($C5,'1 预算编制表单'!$C:$BJ,51,FALSE)</f>
        <v>226186.924158</v>
      </c>
      <c r="AW5" s="111">
        <f t="shared" si="6"/>
        <v>222637.754374978</v>
      </c>
      <c r="AX5" s="111">
        <f t="shared" si="6"/>
        <v>3549.1697830217</v>
      </c>
      <c r="AY5" s="111">
        <f>VLOOKUP($C5,'1 预算编制表单'!$C:$BJ,54,FALSE)</f>
        <v>224536.924158</v>
      </c>
      <c r="AZ5" s="111">
        <f t="shared" si="6"/>
        <v>220869.448715544</v>
      </c>
      <c r="BA5" s="111">
        <f t="shared" si="6"/>
        <v>3667.47544245576</v>
      </c>
      <c r="BB5" s="111">
        <f>VLOOKUP($C5,'1 预算编制表单'!$C:$BJ,57,FALSE)</f>
        <v>220386.924158</v>
      </c>
      <c r="BC5" s="111">
        <f t="shared" si="6"/>
        <v>216837.754374978</v>
      </c>
      <c r="BD5" s="111">
        <f t="shared" si="6"/>
        <v>3549.1697830217</v>
      </c>
      <c r="BE5" s="111">
        <f>VLOOKUP($C5,'1 预算编制表单'!$C:$BJ,60,FALSE)</f>
        <v>220386.924158</v>
      </c>
      <c r="BF5" s="111">
        <f t="shared" si="6"/>
        <v>216719.448715544</v>
      </c>
      <c r="BG5" s="111">
        <f t="shared" si="6"/>
        <v>3667.47544245576</v>
      </c>
      <c r="BH5" s="111">
        <f>VLOOKUP($C5,'1 预算编制表单'!$C:$BJ,27,FALSE)</f>
        <v>231902.924158</v>
      </c>
      <c r="BI5" s="111">
        <f t="shared" ref="BI5:BM5" si="7">BI6+BI177+BI428</f>
        <v>231902.839226493</v>
      </c>
      <c r="BJ5" s="111">
        <f t="shared" si="7"/>
        <v>0.0849315068493151</v>
      </c>
      <c r="BK5" s="111">
        <f>VLOOKUP($C5,'1 预算编制表单'!$C:$BJ,30,FALSE)</f>
        <v>221686.924158</v>
      </c>
      <c r="BL5" s="111">
        <f t="shared" si="7"/>
        <v>221686.847445671</v>
      </c>
      <c r="BM5" s="111">
        <f t="shared" si="7"/>
        <v>0.0767123287671233</v>
      </c>
      <c r="BN5" s="111">
        <f>VLOOKUP($C5,'1 预算编制表单'!$C:$BJ,33,FALSE)</f>
        <v>224536.924158</v>
      </c>
      <c r="BO5" s="111">
        <f t="shared" ref="BO5:BS5" si="8">BO6+BO177+BO428</f>
        <v>224536.839226493</v>
      </c>
      <c r="BP5" s="111">
        <f t="shared" si="8"/>
        <v>0.0849315068493151</v>
      </c>
      <c r="BQ5" s="111">
        <f>VLOOKUP($C5,'1 预算编制表单'!$C:$BJ,36,FALSE)</f>
        <v>221686.924158</v>
      </c>
      <c r="BR5" s="111">
        <f t="shared" si="8"/>
        <v>221686.841966219</v>
      </c>
      <c r="BS5" s="111">
        <f t="shared" si="8"/>
        <v>0.0821917808219178</v>
      </c>
      <c r="BT5" s="111">
        <f>VLOOKUP($C5,'1 预算编制表单'!$C:$BJ,39,FALSE)</f>
        <v>228036.924158</v>
      </c>
      <c r="BU5" s="111">
        <f t="shared" ref="BU5:BY5" si="9">BU6+BU177+BU428</f>
        <v>228036.839226493</v>
      </c>
      <c r="BV5" s="111">
        <f t="shared" si="9"/>
        <v>0.0849315068493151</v>
      </c>
      <c r="BW5" s="111">
        <f>VLOOKUP($C5,'1 预算编制表单'!$C:$BJ,42,FALSE)</f>
        <v>221086.924158</v>
      </c>
      <c r="BX5" s="111">
        <f t="shared" si="9"/>
        <v>221086.924158</v>
      </c>
      <c r="BY5" s="111">
        <f t="shared" si="9"/>
        <v>0</v>
      </c>
      <c r="BZ5" s="111">
        <f>VLOOKUP($C5,'1 预算编制表单'!$C:$BJ,45,FALSE)</f>
        <v>220386.924158</v>
      </c>
      <c r="CA5" s="111">
        <f t="shared" ref="CA5:CE5" si="10">CA6+CA177+CA428</f>
        <v>220386.924158</v>
      </c>
      <c r="CB5" s="111">
        <f t="shared" si="10"/>
        <v>0</v>
      </c>
      <c r="CC5" s="111">
        <f>VLOOKUP($C5,'1 预算编制表单'!$C:$BJ,48,FALSE)</f>
        <v>224536.924158</v>
      </c>
      <c r="CD5" s="111">
        <f t="shared" si="10"/>
        <v>224536.924158</v>
      </c>
      <c r="CE5" s="111">
        <f t="shared" si="10"/>
        <v>0</v>
      </c>
      <c r="CF5" s="111">
        <f>VLOOKUP($C5,'1 预算编制表单'!$C:$BJ,51,FALSE)</f>
        <v>226186.924158</v>
      </c>
      <c r="CG5" s="111">
        <f t="shared" ref="CG5:CK5" si="11">CG6+CG177+CG428</f>
        <v>226186.924158</v>
      </c>
      <c r="CH5" s="111">
        <f t="shared" si="11"/>
        <v>0</v>
      </c>
      <c r="CI5" s="111">
        <f>VLOOKUP($C5,'1 预算编制表单'!$C:$BJ,54,FALSE)</f>
        <v>224536.924158</v>
      </c>
      <c r="CJ5" s="111">
        <f t="shared" si="11"/>
        <v>224536.924158</v>
      </c>
      <c r="CK5" s="111">
        <f t="shared" si="11"/>
        <v>0</v>
      </c>
      <c r="CL5" s="111">
        <f>VLOOKUP($C5,'1 预算编制表单'!$C:$BJ,57,FALSE)</f>
        <v>220386.924158</v>
      </c>
      <c r="CM5" s="111">
        <f t="shared" ref="CM5:CQ5" si="12">CM6+CM177+CM428</f>
        <v>220386.924158</v>
      </c>
      <c r="CN5" s="111">
        <f t="shared" si="12"/>
        <v>0</v>
      </c>
      <c r="CO5" s="111">
        <f>VLOOKUP($C5,'1 预算编制表单'!$C:$BJ,60,FALSE)</f>
        <v>220386.924158</v>
      </c>
      <c r="CP5" s="111">
        <f t="shared" si="12"/>
        <v>220386.924158</v>
      </c>
      <c r="CQ5" s="111">
        <f t="shared" si="12"/>
        <v>0</v>
      </c>
    </row>
    <row r="6" s="83" customFormat="1" ht="24" hidden="1" customHeight="1" outlineLevel="1" collapsed="1" spans="1:95">
      <c r="A6" s="22">
        <f>IF(C6&lt;&gt;"",ROW(),"")</f>
        <v>6</v>
      </c>
      <c r="B6" s="112" t="s">
        <v>742</v>
      </c>
      <c r="C6" s="113" t="s">
        <v>218</v>
      </c>
      <c r="D6" s="22" t="s">
        <v>219</v>
      </c>
      <c r="E6" s="112"/>
      <c r="F6" s="112"/>
      <c r="G6" s="112"/>
      <c r="H6" s="114">
        <f t="shared" si="4"/>
        <v>2685359.089896</v>
      </c>
      <c r="I6" s="114">
        <f t="shared" si="4"/>
        <v>2642177.9379012</v>
      </c>
      <c r="J6" s="114">
        <f t="shared" si="5"/>
        <v>43181.1519948006</v>
      </c>
      <c r="K6" s="114"/>
      <c r="L6" s="147"/>
      <c r="M6" s="147"/>
      <c r="N6" s="114"/>
      <c r="O6" s="147"/>
      <c r="P6" s="114"/>
      <c r="Q6" s="114"/>
      <c r="R6" s="114"/>
      <c r="S6" s="114"/>
      <c r="T6" s="114"/>
      <c r="U6" s="114"/>
      <c r="V6" s="114"/>
      <c r="W6" s="114"/>
      <c r="X6" s="114">
        <f>VLOOKUP($C6,'1 预算编制表单'!$C:$BJ,27,FALSE)</f>
        <v>231902.924158</v>
      </c>
      <c r="Y6" s="114">
        <f>X6-Z6</f>
        <v>228235.533647051</v>
      </c>
      <c r="Z6" s="114">
        <f>Z7+Z26+Z45+Z70+Z95+Z114+Z139+Z158</f>
        <v>3667.39051094891</v>
      </c>
      <c r="AA6" s="114">
        <f>VLOOKUP($C6,'1 预算编制表单'!$C:$BJ,30,FALSE)</f>
        <v>221686.924158</v>
      </c>
      <c r="AB6" s="114">
        <f>AA6-AC6</f>
        <v>218374.442406175</v>
      </c>
      <c r="AC6" s="114">
        <f>AC7+AC26+AC45+AC70+AC95+AC114+AC139+AC158</f>
        <v>3312.48175182482</v>
      </c>
      <c r="AD6" s="114">
        <f>VLOOKUP($C6,'1 预算编制表单'!$C:$BJ,33,FALSE)</f>
        <v>224536.924158</v>
      </c>
      <c r="AE6" s="114">
        <f>AD6-AF6</f>
        <v>220869.533647051</v>
      </c>
      <c r="AF6" s="114">
        <f>AF7+AF26+AF45+AF70+AF95+AF114+AF139+AF158</f>
        <v>3667.39051094891</v>
      </c>
      <c r="AG6" s="114">
        <f>VLOOKUP($C6,'1 预算编制表单'!$C:$BJ,36,FALSE)</f>
        <v>221686.924158</v>
      </c>
      <c r="AH6" s="114">
        <f>AG6-AI6</f>
        <v>218137.836566759</v>
      </c>
      <c r="AI6" s="114">
        <f>AI7+AI26+AI45+AI70+AI95+AI114+AI139+AI158</f>
        <v>3549.08759124088</v>
      </c>
      <c r="AJ6" s="114">
        <f>VLOOKUP($C6,'1 预算编制表单'!$C:$BJ,39,FALSE)</f>
        <v>228036.924158</v>
      </c>
      <c r="AK6" s="114">
        <f>AJ6-AL6</f>
        <v>224369.533647051</v>
      </c>
      <c r="AL6" s="114">
        <f>AL7+AL26+AL45+AL70+AL95+AL114+AL139+AL158</f>
        <v>3667.39051094891</v>
      </c>
      <c r="AM6" s="114">
        <f>VLOOKUP($C6,'1 预算编制表单'!$C:$BJ,42,FALSE)</f>
        <v>221086.924158</v>
      </c>
      <c r="AN6" s="114">
        <f>AM6-AO6</f>
        <v>217537.754374978</v>
      </c>
      <c r="AO6" s="114">
        <f>AO7+AO26+AO45+AO70+AO95+AO114+AO139+AO158</f>
        <v>3549.1697830217</v>
      </c>
      <c r="AP6" s="114">
        <f>VLOOKUP($C6,'1 预算编制表单'!$C:$BJ,45,FALSE)</f>
        <v>220386.924158</v>
      </c>
      <c r="AQ6" s="114">
        <f>AP6-AR6</f>
        <v>216719.448715544</v>
      </c>
      <c r="AR6" s="114">
        <f>AR7+AR26+AR45+AR70+AR95+AR114+AR139+AR158</f>
        <v>3667.47544245576</v>
      </c>
      <c r="AS6" s="114">
        <f>VLOOKUP($C6,'1 预算编制表单'!$C:$BJ,48,FALSE)</f>
        <v>224536.924158</v>
      </c>
      <c r="AT6" s="114">
        <f>AS6-AU6</f>
        <v>220869.448715544</v>
      </c>
      <c r="AU6" s="114">
        <f>AU7+AU26+AU45+AU70+AU95+AU114+AU139+AU158</f>
        <v>3667.47544245576</v>
      </c>
      <c r="AV6" s="114">
        <f>VLOOKUP($C6,'1 预算编制表单'!$C:$BJ,51,FALSE)</f>
        <v>226186.924158</v>
      </c>
      <c r="AW6" s="114">
        <f>AV6-AX6</f>
        <v>222637.754374978</v>
      </c>
      <c r="AX6" s="114">
        <f>AX7+AX26+AX45+AX70+AX95+AX114+AX139+AX158</f>
        <v>3549.1697830217</v>
      </c>
      <c r="AY6" s="114">
        <f>VLOOKUP($C6,'1 预算编制表单'!$C:$BJ,54,FALSE)</f>
        <v>224536.924158</v>
      </c>
      <c r="AZ6" s="114">
        <f>AY6-BA6</f>
        <v>220869.448715544</v>
      </c>
      <c r="BA6" s="114">
        <f>BA7+BA26+BA45+BA70+BA95+BA114+BA139+BA158</f>
        <v>3667.47544245576</v>
      </c>
      <c r="BB6" s="114">
        <f>VLOOKUP($C6,'1 预算编制表单'!$C:$BJ,57,FALSE)</f>
        <v>220386.924158</v>
      </c>
      <c r="BC6" s="114">
        <f>BB6-BD6</f>
        <v>216837.754374978</v>
      </c>
      <c r="BD6" s="114">
        <f>BD7+BD26+BD45+BD70+BD95+BD114+BD139+BD158</f>
        <v>3549.1697830217</v>
      </c>
      <c r="BE6" s="114">
        <f>VLOOKUP($C6,'1 预算编制表单'!$C:$BJ,60,FALSE)</f>
        <v>220386.924158</v>
      </c>
      <c r="BF6" s="114">
        <f>BE6-BG6</f>
        <v>216719.448715544</v>
      </c>
      <c r="BG6" s="114">
        <f>BG7+BG26+BG45+BG70+BG95+BG114+BG139+BG158</f>
        <v>3667.47544245576</v>
      </c>
      <c r="BH6" s="114">
        <f>VLOOKUP($C6,'1 预算编制表单'!$C:$BJ,27,FALSE)</f>
        <v>231902.924158</v>
      </c>
      <c r="BI6" s="114">
        <f t="shared" ref="BI6:BI8" si="13">BH6-BJ6</f>
        <v>231902.839226493</v>
      </c>
      <c r="BJ6" s="114">
        <f>BJ7+BJ26+BJ45+BJ70+BJ95+BJ114+BJ139+BJ158</f>
        <v>0.0849315068493151</v>
      </c>
      <c r="BK6" s="114">
        <f>VLOOKUP($C6,'1 预算编制表单'!$C:$BJ,30,FALSE)</f>
        <v>221686.924158</v>
      </c>
      <c r="BL6" s="114">
        <f t="shared" ref="BL6:BL8" si="14">BK6-BM6</f>
        <v>221686.847445671</v>
      </c>
      <c r="BM6" s="114">
        <f>BM7+BM26+BM45+BM70+BM95+BM114+BM139+BM158</f>
        <v>0.0767123287671233</v>
      </c>
      <c r="BN6" s="114">
        <f>VLOOKUP($C6,'1 预算编制表单'!$C:$BJ,33,FALSE)</f>
        <v>224536.924158</v>
      </c>
      <c r="BO6" s="114">
        <f t="shared" ref="BO6:BO8" si="15">BN6-BP6</f>
        <v>224536.839226493</v>
      </c>
      <c r="BP6" s="114">
        <f>BP7+BP26+BP45+BP70+BP95+BP114+BP139+BP158</f>
        <v>0.0849315068493151</v>
      </c>
      <c r="BQ6" s="114">
        <f>VLOOKUP($C6,'1 预算编制表单'!$C:$BJ,36,FALSE)</f>
        <v>221686.924158</v>
      </c>
      <c r="BR6" s="114">
        <f t="shared" ref="BR6:BR8" si="16">BQ6-BS6</f>
        <v>221686.841966219</v>
      </c>
      <c r="BS6" s="114">
        <f>BS7+BS26+BS45+BS70+BS95+BS114+BS139+BS158</f>
        <v>0.0821917808219178</v>
      </c>
      <c r="BT6" s="114">
        <f>VLOOKUP($C6,'1 预算编制表单'!$C:$BJ,39,FALSE)</f>
        <v>228036.924158</v>
      </c>
      <c r="BU6" s="114">
        <f t="shared" ref="BU6:BU8" si="17">BT6-BV6</f>
        <v>228036.839226493</v>
      </c>
      <c r="BV6" s="114">
        <f>BV7+BV26+BV45+BV70+BV95+BV114+BV139+BV158</f>
        <v>0.0849315068493151</v>
      </c>
      <c r="BW6" s="114">
        <f>VLOOKUP($C6,'1 预算编制表单'!$C:$BJ,42,FALSE)</f>
        <v>221086.924158</v>
      </c>
      <c r="BX6" s="114">
        <f t="shared" ref="BX6:BX8" si="18">BW6-BY6</f>
        <v>221086.924158</v>
      </c>
      <c r="BY6" s="114">
        <f>BY7+BY26+BY45+BY70+BY95+BY114+BY139+BY158</f>
        <v>0</v>
      </c>
      <c r="BZ6" s="114">
        <f>VLOOKUP($C6,'1 预算编制表单'!$C:$BJ,45,FALSE)</f>
        <v>220386.924158</v>
      </c>
      <c r="CA6" s="114">
        <f t="shared" ref="CA6:CA8" si="19">BZ6-CB6</f>
        <v>220386.924158</v>
      </c>
      <c r="CB6" s="114">
        <f>CB7+CB26+CB45+CB70+CB95+CB114+CB139+CB158</f>
        <v>0</v>
      </c>
      <c r="CC6" s="114">
        <f>VLOOKUP($C6,'1 预算编制表单'!$C:$BJ,48,FALSE)</f>
        <v>224536.924158</v>
      </c>
      <c r="CD6" s="114">
        <f t="shared" ref="CD6:CD8" si="20">CC6-CE6</f>
        <v>224536.924158</v>
      </c>
      <c r="CE6" s="114">
        <f>CE7+CE26+CE45+CE70+CE95+CE114+CE139+CE158</f>
        <v>0</v>
      </c>
      <c r="CF6" s="114">
        <f>VLOOKUP($C6,'1 预算编制表单'!$C:$BJ,51,FALSE)</f>
        <v>226186.924158</v>
      </c>
      <c r="CG6" s="114">
        <f t="shared" ref="CG6:CG8" si="21">CF6-CH6</f>
        <v>226186.924158</v>
      </c>
      <c r="CH6" s="114">
        <f>CH7+CH26+CH45+CH70+CH95+CH114+CH139+CH158</f>
        <v>0</v>
      </c>
      <c r="CI6" s="114">
        <f>VLOOKUP($C6,'1 预算编制表单'!$C:$BJ,54,FALSE)</f>
        <v>224536.924158</v>
      </c>
      <c r="CJ6" s="114">
        <f t="shared" ref="CJ6:CJ8" si="22">CI6-CK6</f>
        <v>224536.924158</v>
      </c>
      <c r="CK6" s="114">
        <f>CK7+CK26+CK45+CK70+CK95+CK114+CK139+CK158</f>
        <v>0</v>
      </c>
      <c r="CL6" s="114">
        <f>VLOOKUP($C6,'1 预算编制表单'!$C:$BJ,57,FALSE)</f>
        <v>220386.924158</v>
      </c>
      <c r="CM6" s="114">
        <f t="shared" ref="CM6:CM8" si="23">CL6-CN6</f>
        <v>220386.924158</v>
      </c>
      <c r="CN6" s="114">
        <f>CN7+CN26+CN45+CN70+CN95+CN114+CN139+CN158</f>
        <v>0</v>
      </c>
      <c r="CO6" s="114">
        <f>VLOOKUP($C6,'1 预算编制表单'!$C:$BJ,60,FALSE)</f>
        <v>220386.924158</v>
      </c>
      <c r="CP6" s="114">
        <f t="shared" ref="CP6:CP8" si="24">CO6-CQ6</f>
        <v>220386.924158</v>
      </c>
      <c r="CQ6" s="114">
        <f>CQ7+CQ26+CQ45+CQ70+CQ95+CQ114+CQ139+CQ158</f>
        <v>0</v>
      </c>
    </row>
    <row r="7" s="83" customFormat="1" ht="24" hidden="1" customHeight="1" outlineLevel="2" collapsed="1" spans="1:95">
      <c r="A7" s="48"/>
      <c r="B7" s="115" t="s">
        <v>742</v>
      </c>
      <c r="C7" s="116" t="s">
        <v>745</v>
      </c>
      <c r="D7" s="48" t="s">
        <v>746</v>
      </c>
      <c r="E7" s="115"/>
      <c r="F7" s="115"/>
      <c r="G7" s="115"/>
      <c r="H7" s="117">
        <f t="shared" si="4"/>
        <v>1927200</v>
      </c>
      <c r="I7" s="117">
        <f t="shared" si="4"/>
        <v>1927200</v>
      </c>
      <c r="J7" s="117">
        <f t="shared" si="5"/>
        <v>0</v>
      </c>
      <c r="K7" s="117"/>
      <c r="L7" s="148"/>
      <c r="M7" s="148"/>
      <c r="N7" s="117"/>
      <c r="O7" s="148"/>
      <c r="P7" s="117"/>
      <c r="Q7" s="117"/>
      <c r="R7" s="117"/>
      <c r="S7" s="117"/>
      <c r="T7" s="117"/>
      <c r="U7" s="117"/>
      <c r="V7" s="117"/>
      <c r="W7" s="117"/>
      <c r="X7" s="117">
        <f>VLOOKUP($C7,'1 预算编制表单'!$C:$BJ,27,FALSE)</f>
        <v>160600</v>
      </c>
      <c r="Y7" s="117">
        <f>X7-Z7</f>
        <v>160600</v>
      </c>
      <c r="Z7" s="117">
        <f>Z8+Z14+Z20</f>
        <v>0</v>
      </c>
      <c r="AA7" s="117">
        <f>VLOOKUP($C7,'1 预算编制表单'!$C:$BJ,30,FALSE)</f>
        <v>160600</v>
      </c>
      <c r="AB7" s="117">
        <f>AA7-AC7</f>
        <v>160600</v>
      </c>
      <c r="AC7" s="117">
        <f>AC8+AC14+AC20</f>
        <v>0</v>
      </c>
      <c r="AD7" s="117">
        <f>VLOOKUP($C7,'1 预算编制表单'!$C:$BJ,33,FALSE)</f>
        <v>160600</v>
      </c>
      <c r="AE7" s="117">
        <f>AD7-AF7</f>
        <v>160600</v>
      </c>
      <c r="AF7" s="117">
        <f>AF8+AF14+AF20</f>
        <v>0</v>
      </c>
      <c r="AG7" s="117">
        <f>VLOOKUP($C7,'1 预算编制表单'!$C:$BJ,36,FALSE)</f>
        <v>160600</v>
      </c>
      <c r="AH7" s="117">
        <f>AG7-AI7</f>
        <v>160600</v>
      </c>
      <c r="AI7" s="117">
        <f>AI8+AI14+AI20</f>
        <v>0</v>
      </c>
      <c r="AJ7" s="117">
        <f>VLOOKUP($C7,'1 预算编制表单'!$C:$BJ,39,FALSE)</f>
        <v>160600</v>
      </c>
      <c r="AK7" s="117">
        <f>AJ7-AL7</f>
        <v>160600</v>
      </c>
      <c r="AL7" s="117">
        <f>AL8+AL14+AL20</f>
        <v>0</v>
      </c>
      <c r="AM7" s="117">
        <f>VLOOKUP($C7,'1 预算编制表单'!$C:$BJ,42,FALSE)</f>
        <v>160600</v>
      </c>
      <c r="AN7" s="117">
        <f>AM7-AO7</f>
        <v>160600</v>
      </c>
      <c r="AO7" s="117">
        <f>AO8+AO14+AO20</f>
        <v>0</v>
      </c>
      <c r="AP7" s="117">
        <f>VLOOKUP($C7,'1 预算编制表单'!$C:$BJ,45,FALSE)</f>
        <v>160600</v>
      </c>
      <c r="AQ7" s="117">
        <f>AP7-AR7</f>
        <v>160600</v>
      </c>
      <c r="AR7" s="117">
        <f>AR8+AR14+AR20</f>
        <v>0</v>
      </c>
      <c r="AS7" s="117">
        <f>VLOOKUP($C7,'1 预算编制表单'!$C:$BJ,48,FALSE)</f>
        <v>160600</v>
      </c>
      <c r="AT7" s="117">
        <f>AS7-AU7</f>
        <v>160600</v>
      </c>
      <c r="AU7" s="117">
        <f>AU8+AU14+AU20</f>
        <v>0</v>
      </c>
      <c r="AV7" s="117">
        <f>VLOOKUP($C7,'1 预算编制表单'!$C:$BJ,51,FALSE)</f>
        <v>160600</v>
      </c>
      <c r="AW7" s="117">
        <f>AV7-AX7</f>
        <v>160600</v>
      </c>
      <c r="AX7" s="117">
        <f>AX8+AX14+AX20</f>
        <v>0</v>
      </c>
      <c r="AY7" s="117">
        <f>VLOOKUP($C7,'1 预算编制表单'!$C:$BJ,54,FALSE)</f>
        <v>160600</v>
      </c>
      <c r="AZ7" s="117">
        <f>AY7-BA7</f>
        <v>160600</v>
      </c>
      <c r="BA7" s="117">
        <f>BA8+BA14+BA20</f>
        <v>0</v>
      </c>
      <c r="BB7" s="117">
        <f>VLOOKUP($C7,'1 预算编制表单'!$C:$BJ,57,FALSE)</f>
        <v>160600</v>
      </c>
      <c r="BC7" s="117">
        <f>BB7-BD7</f>
        <v>160600</v>
      </c>
      <c r="BD7" s="117">
        <f>BD8+BD14+BD20</f>
        <v>0</v>
      </c>
      <c r="BE7" s="117">
        <f>VLOOKUP($C7,'1 预算编制表单'!$C:$BJ,60,FALSE)</f>
        <v>160600</v>
      </c>
      <c r="BF7" s="117">
        <f>BE7-BG7</f>
        <v>160600</v>
      </c>
      <c r="BG7" s="117">
        <f>BG8+BG14+BG20</f>
        <v>0</v>
      </c>
      <c r="BH7" s="117">
        <f>VLOOKUP($C7,'1 预算编制表单'!$C:$BJ,27,FALSE)</f>
        <v>160600</v>
      </c>
      <c r="BI7" s="117">
        <f t="shared" si="13"/>
        <v>160600</v>
      </c>
      <c r="BJ7" s="117">
        <f>BJ8+BJ14+BJ20</f>
        <v>0</v>
      </c>
      <c r="BK7" s="117">
        <f>VLOOKUP($C7,'1 预算编制表单'!$C:$BJ,30,FALSE)</f>
        <v>160600</v>
      </c>
      <c r="BL7" s="117">
        <f t="shared" si="14"/>
        <v>160600</v>
      </c>
      <c r="BM7" s="117">
        <f>BM8+BM14+BM20</f>
        <v>0</v>
      </c>
      <c r="BN7" s="117">
        <f>VLOOKUP($C7,'1 预算编制表单'!$C:$BJ,33,FALSE)</f>
        <v>160600</v>
      </c>
      <c r="BO7" s="117">
        <f t="shared" si="15"/>
        <v>160600</v>
      </c>
      <c r="BP7" s="117">
        <f>BP8+BP14+BP20</f>
        <v>0</v>
      </c>
      <c r="BQ7" s="117">
        <f>VLOOKUP($C7,'1 预算编制表单'!$C:$BJ,36,FALSE)</f>
        <v>160600</v>
      </c>
      <c r="BR7" s="117">
        <f t="shared" si="16"/>
        <v>160600</v>
      </c>
      <c r="BS7" s="117">
        <f>BS8+BS14+BS20</f>
        <v>0</v>
      </c>
      <c r="BT7" s="117">
        <f>VLOOKUP($C7,'1 预算编制表单'!$C:$BJ,39,FALSE)</f>
        <v>160600</v>
      </c>
      <c r="BU7" s="117">
        <f t="shared" si="17"/>
        <v>160600</v>
      </c>
      <c r="BV7" s="117">
        <f>BV8+BV14+BV20</f>
        <v>0</v>
      </c>
      <c r="BW7" s="117">
        <f>VLOOKUP($C7,'1 预算编制表单'!$C:$BJ,42,FALSE)</f>
        <v>160600</v>
      </c>
      <c r="BX7" s="117">
        <f t="shared" si="18"/>
        <v>160600</v>
      </c>
      <c r="BY7" s="117">
        <f>BY8+BY14+BY20</f>
        <v>0</v>
      </c>
      <c r="BZ7" s="117">
        <f>VLOOKUP($C7,'1 预算编制表单'!$C:$BJ,45,FALSE)</f>
        <v>160600</v>
      </c>
      <c r="CA7" s="117">
        <f t="shared" si="19"/>
        <v>160600</v>
      </c>
      <c r="CB7" s="117">
        <f>CB8+CB14+CB20</f>
        <v>0</v>
      </c>
      <c r="CC7" s="117">
        <f>VLOOKUP($C7,'1 预算编制表单'!$C:$BJ,48,FALSE)</f>
        <v>160600</v>
      </c>
      <c r="CD7" s="117">
        <f t="shared" si="20"/>
        <v>160600</v>
      </c>
      <c r="CE7" s="117">
        <f>CE8+CE14+CE20</f>
        <v>0</v>
      </c>
      <c r="CF7" s="117">
        <f>VLOOKUP($C7,'1 预算编制表单'!$C:$BJ,51,FALSE)</f>
        <v>160600</v>
      </c>
      <c r="CG7" s="117">
        <f t="shared" si="21"/>
        <v>160600</v>
      </c>
      <c r="CH7" s="117">
        <f>CH8+CH14+CH20</f>
        <v>0</v>
      </c>
      <c r="CI7" s="117">
        <f>VLOOKUP($C7,'1 预算编制表单'!$C:$BJ,54,FALSE)</f>
        <v>160600</v>
      </c>
      <c r="CJ7" s="117">
        <f t="shared" si="22"/>
        <v>160600</v>
      </c>
      <c r="CK7" s="117">
        <f>CK8+CK14+CK20</f>
        <v>0</v>
      </c>
      <c r="CL7" s="117">
        <f>VLOOKUP($C7,'1 预算编制表单'!$C:$BJ,57,FALSE)</f>
        <v>160600</v>
      </c>
      <c r="CM7" s="117">
        <f t="shared" si="23"/>
        <v>160600</v>
      </c>
      <c r="CN7" s="117">
        <f>CN8+CN14+CN20</f>
        <v>0</v>
      </c>
      <c r="CO7" s="117">
        <f>VLOOKUP($C7,'1 预算编制表单'!$C:$BJ,60,FALSE)</f>
        <v>160600</v>
      </c>
      <c r="CP7" s="117">
        <f t="shared" si="24"/>
        <v>160600</v>
      </c>
      <c r="CQ7" s="117">
        <f>CQ8+CQ14+CQ20</f>
        <v>0</v>
      </c>
    </row>
    <row r="8" s="83" customFormat="1" ht="24" hidden="1" customHeight="1" outlineLevel="3" collapsed="1" spans="1:95">
      <c r="A8" s="118"/>
      <c r="B8" s="119" t="s">
        <v>747</v>
      </c>
      <c r="C8" s="120" t="s">
        <v>108</v>
      </c>
      <c r="D8" s="118" t="s">
        <v>109</v>
      </c>
      <c r="E8" s="119"/>
      <c r="F8" s="119"/>
      <c r="G8" s="119"/>
      <c r="H8" s="121">
        <f t="shared" si="4"/>
        <v>1927200</v>
      </c>
      <c r="I8" s="121">
        <f t="shared" si="4"/>
        <v>1927200</v>
      </c>
      <c r="J8" s="121">
        <f t="shared" si="5"/>
        <v>0</v>
      </c>
      <c r="K8" s="121"/>
      <c r="L8" s="149"/>
      <c r="M8" s="149"/>
      <c r="N8" s="121"/>
      <c r="O8" s="149"/>
      <c r="P8" s="121"/>
      <c r="Q8" s="121"/>
      <c r="R8" s="121"/>
      <c r="S8" s="121"/>
      <c r="T8" s="121"/>
      <c r="U8" s="121"/>
      <c r="V8" s="121"/>
      <c r="W8" s="121"/>
      <c r="X8" s="121">
        <f>VLOOKUP($C8,'1 预算编制表单'!$C:$BJ,27,FALSE)</f>
        <v>160600</v>
      </c>
      <c r="Y8" s="121">
        <f>X8-Z8</f>
        <v>160600</v>
      </c>
      <c r="Z8" s="121">
        <f>SUM(Z9:Z13)</f>
        <v>0</v>
      </c>
      <c r="AA8" s="121">
        <f>VLOOKUP($C8,'1 预算编制表单'!$C:$BJ,30,FALSE)</f>
        <v>160600</v>
      </c>
      <c r="AB8" s="121">
        <f>AA8-AC8</f>
        <v>160600</v>
      </c>
      <c r="AC8" s="121">
        <f>SUM(AC9:AC13)</f>
        <v>0</v>
      </c>
      <c r="AD8" s="121">
        <f>VLOOKUP($C8,'1 预算编制表单'!$C:$BJ,33,FALSE)</f>
        <v>160600</v>
      </c>
      <c r="AE8" s="121">
        <f>AD8-AF8</f>
        <v>160600</v>
      </c>
      <c r="AF8" s="121">
        <f>SUM(AF9:AF13)</f>
        <v>0</v>
      </c>
      <c r="AG8" s="121">
        <f>VLOOKUP($C8,'1 预算编制表单'!$C:$BJ,36,FALSE)</f>
        <v>160600</v>
      </c>
      <c r="AH8" s="121">
        <f>AG8-AI8</f>
        <v>160600</v>
      </c>
      <c r="AI8" s="121">
        <f>SUM(AI9:AI13)</f>
        <v>0</v>
      </c>
      <c r="AJ8" s="121">
        <f>VLOOKUP($C8,'1 预算编制表单'!$C:$BJ,39,FALSE)</f>
        <v>160600</v>
      </c>
      <c r="AK8" s="121">
        <f>AJ8-AL8</f>
        <v>160600</v>
      </c>
      <c r="AL8" s="121">
        <f>SUM(AL9:AL13)</f>
        <v>0</v>
      </c>
      <c r="AM8" s="121">
        <f>VLOOKUP($C8,'1 预算编制表单'!$C:$BJ,42,FALSE)</f>
        <v>160600</v>
      </c>
      <c r="AN8" s="121">
        <f>AM8-AO8</f>
        <v>160600</v>
      </c>
      <c r="AO8" s="121">
        <f>SUM(AO9:AO13)</f>
        <v>0</v>
      </c>
      <c r="AP8" s="121">
        <f>VLOOKUP($C8,'1 预算编制表单'!$C:$BJ,45,FALSE)</f>
        <v>160600</v>
      </c>
      <c r="AQ8" s="121">
        <f>AP8-AR8</f>
        <v>160600</v>
      </c>
      <c r="AR8" s="121">
        <f>SUM(AR9:AR13)</f>
        <v>0</v>
      </c>
      <c r="AS8" s="121">
        <f>VLOOKUP($C8,'1 预算编制表单'!$C:$BJ,48,FALSE)</f>
        <v>160600</v>
      </c>
      <c r="AT8" s="121">
        <f>AS8-AU8</f>
        <v>160600</v>
      </c>
      <c r="AU8" s="121">
        <f>SUM(AU9:AU13)</f>
        <v>0</v>
      </c>
      <c r="AV8" s="121">
        <f>VLOOKUP($C8,'1 预算编制表单'!$C:$BJ,51,FALSE)</f>
        <v>160600</v>
      </c>
      <c r="AW8" s="121">
        <f>AV8-AX8</f>
        <v>160600</v>
      </c>
      <c r="AX8" s="121">
        <f>SUM(AX9:AX13)</f>
        <v>0</v>
      </c>
      <c r="AY8" s="121">
        <f>VLOOKUP($C8,'1 预算编制表单'!$C:$BJ,54,FALSE)</f>
        <v>160600</v>
      </c>
      <c r="AZ8" s="121">
        <f>AY8-BA8</f>
        <v>160600</v>
      </c>
      <c r="BA8" s="121">
        <f>SUM(BA9:BA13)</f>
        <v>0</v>
      </c>
      <c r="BB8" s="121">
        <f>VLOOKUP($C8,'1 预算编制表单'!$C:$BJ,57,FALSE)</f>
        <v>160600</v>
      </c>
      <c r="BC8" s="121">
        <f>BB8-BD8</f>
        <v>160600</v>
      </c>
      <c r="BD8" s="121">
        <f>SUM(BD9:BD13)</f>
        <v>0</v>
      </c>
      <c r="BE8" s="121">
        <f>VLOOKUP($C8,'1 预算编制表单'!$C:$BJ,60,FALSE)</f>
        <v>160600</v>
      </c>
      <c r="BF8" s="121">
        <f>BE8-BG8</f>
        <v>160600</v>
      </c>
      <c r="BG8" s="121">
        <f>SUM(BG9:BG13)</f>
        <v>0</v>
      </c>
      <c r="BH8" s="121">
        <f>VLOOKUP($C8,'1 预算编制表单'!$C:$BJ,27,FALSE)</f>
        <v>160600</v>
      </c>
      <c r="BI8" s="121">
        <f t="shared" si="13"/>
        <v>160600</v>
      </c>
      <c r="BJ8" s="121">
        <f>SUM(BJ9:BJ13)</f>
        <v>0</v>
      </c>
      <c r="BK8" s="121">
        <f>VLOOKUP($C8,'1 预算编制表单'!$C:$BJ,30,FALSE)</f>
        <v>160600</v>
      </c>
      <c r="BL8" s="121">
        <f t="shared" si="14"/>
        <v>160600</v>
      </c>
      <c r="BM8" s="121">
        <f>SUM(BM9:BM13)</f>
        <v>0</v>
      </c>
      <c r="BN8" s="121">
        <f>VLOOKUP($C8,'1 预算编制表单'!$C:$BJ,33,FALSE)</f>
        <v>160600</v>
      </c>
      <c r="BO8" s="121">
        <f t="shared" si="15"/>
        <v>160600</v>
      </c>
      <c r="BP8" s="121">
        <f>SUM(BP9:BP13)</f>
        <v>0</v>
      </c>
      <c r="BQ8" s="121">
        <f>VLOOKUP($C8,'1 预算编制表单'!$C:$BJ,36,FALSE)</f>
        <v>160600</v>
      </c>
      <c r="BR8" s="121">
        <f t="shared" si="16"/>
        <v>160600</v>
      </c>
      <c r="BS8" s="121">
        <f>SUM(BS9:BS13)</f>
        <v>0</v>
      </c>
      <c r="BT8" s="121">
        <f>VLOOKUP($C8,'1 预算编制表单'!$C:$BJ,39,FALSE)</f>
        <v>160600</v>
      </c>
      <c r="BU8" s="121">
        <f t="shared" si="17"/>
        <v>160600</v>
      </c>
      <c r="BV8" s="121">
        <f>SUM(BV9:BV13)</f>
        <v>0</v>
      </c>
      <c r="BW8" s="121">
        <f>VLOOKUP($C8,'1 预算编制表单'!$C:$BJ,42,FALSE)</f>
        <v>160600</v>
      </c>
      <c r="BX8" s="121">
        <f t="shared" si="18"/>
        <v>160600</v>
      </c>
      <c r="BY8" s="121">
        <f>SUM(BY9:BY13)</f>
        <v>0</v>
      </c>
      <c r="BZ8" s="121">
        <f>VLOOKUP($C8,'1 预算编制表单'!$C:$BJ,45,FALSE)</f>
        <v>160600</v>
      </c>
      <c r="CA8" s="121">
        <f t="shared" si="19"/>
        <v>160600</v>
      </c>
      <c r="CB8" s="121">
        <f>SUM(CB9:CB13)</f>
        <v>0</v>
      </c>
      <c r="CC8" s="121">
        <f>VLOOKUP($C8,'1 预算编制表单'!$C:$BJ,48,FALSE)</f>
        <v>160600</v>
      </c>
      <c r="CD8" s="121">
        <f t="shared" si="20"/>
        <v>160600</v>
      </c>
      <c r="CE8" s="121">
        <f>SUM(CE9:CE13)</f>
        <v>0</v>
      </c>
      <c r="CF8" s="121">
        <f>VLOOKUP($C8,'1 预算编制表单'!$C:$BJ,51,FALSE)</f>
        <v>160600</v>
      </c>
      <c r="CG8" s="121">
        <f t="shared" si="21"/>
        <v>160600</v>
      </c>
      <c r="CH8" s="121">
        <f>SUM(CH9:CH13)</f>
        <v>0</v>
      </c>
      <c r="CI8" s="121">
        <f>VLOOKUP($C8,'1 预算编制表单'!$C:$BJ,54,FALSE)</f>
        <v>160600</v>
      </c>
      <c r="CJ8" s="121">
        <f t="shared" si="22"/>
        <v>160600</v>
      </c>
      <c r="CK8" s="121">
        <f>SUM(CK9:CK13)</f>
        <v>0</v>
      </c>
      <c r="CL8" s="121">
        <f>VLOOKUP($C8,'1 预算编制表单'!$C:$BJ,57,FALSE)</f>
        <v>160600</v>
      </c>
      <c r="CM8" s="121">
        <f t="shared" si="23"/>
        <v>160600</v>
      </c>
      <c r="CN8" s="121">
        <f>SUM(CN9:CN13)</f>
        <v>0</v>
      </c>
      <c r="CO8" s="121">
        <f>VLOOKUP($C8,'1 预算编制表单'!$C:$BJ,60,FALSE)</f>
        <v>160600</v>
      </c>
      <c r="CP8" s="121">
        <f t="shared" si="24"/>
        <v>160600</v>
      </c>
      <c r="CQ8" s="121">
        <f>SUM(CQ9:CQ13)</f>
        <v>0</v>
      </c>
    </row>
    <row r="9" s="83" customFormat="1" ht="24" hidden="1" customHeight="1" outlineLevel="4" spans="1:95">
      <c r="A9" s="122"/>
      <c r="B9" s="123"/>
      <c r="C9" s="124"/>
      <c r="D9" s="122"/>
      <c r="E9" s="123"/>
      <c r="F9" s="123"/>
      <c r="G9" s="123"/>
      <c r="H9" s="125"/>
      <c r="I9" s="125"/>
      <c r="J9" s="125">
        <f t="shared" si="5"/>
        <v>0</v>
      </c>
      <c r="K9" s="125">
        <v>1</v>
      </c>
      <c r="L9" s="150"/>
      <c r="M9" s="151">
        <f>IFERROR(VLOOKUP($L9,'2-2 引出数据_合同数据仓库'!$B$5:$BP$20,3,FALSE),0)</f>
        <v>0</v>
      </c>
      <c r="N9" s="125"/>
      <c r="O9" s="151">
        <f>IFERROR(VLOOKUP((LEFT(VLOOKUP($L9,'2-2 引出数据_合同数据仓库'!$B$5:$BP$20,64,FALSE),15)&amp;(RIGHT(VLOOKUP($L9,'2-2 引出数据_合同数据仓库'!$B$5:$BP$20,64,FALSE),4)+1)),'2-2 引出数据_合同数据仓库'!$B$5:$BP$20,3,FALSE),0)</f>
        <v>0</v>
      </c>
      <c r="P9" s="125"/>
      <c r="Q9" s="125">
        <f>IFERROR(VLOOKUP($L9,'2-2 引出数据_合同数据仓库'!$B$5:$BP$20,28,FALSE),0)</f>
        <v>0</v>
      </c>
      <c r="R9" s="125">
        <f>IFERROR(VLOOKUP($L9,'2-2 引出数据_合同数据仓库'!$B$5:$BP$20,29,FALSE),0)</f>
        <v>0</v>
      </c>
      <c r="S9" s="125">
        <f>IFERROR(VLOOKUP($L9,'2-2 引出数据_合同数据仓库'!$B$5:$BP$20,4,FALSE),0)</f>
        <v>0</v>
      </c>
      <c r="T9" s="125"/>
      <c r="U9" s="125">
        <f>IFERROR(VLOOKUP($L9,'2-2 引出数据_合同数据仓库'!$B$5:$BP$20,15,FALSE),0)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hidden="1" customHeight="1" outlineLevel="4" spans="1:95">
      <c r="A10" s="122"/>
      <c r="B10" s="123"/>
      <c r="C10" s="124"/>
      <c r="D10" s="122"/>
      <c r="E10" s="123"/>
      <c r="F10" s="123"/>
      <c r="G10" s="123"/>
      <c r="H10" s="125"/>
      <c r="I10" s="125"/>
      <c r="J10" s="125">
        <f t="shared" si="5"/>
        <v>0</v>
      </c>
      <c r="K10" s="125">
        <f>K9+1</f>
        <v>2</v>
      </c>
      <c r="L10" s="150"/>
      <c r="M10" s="151">
        <f>IFERROR(VLOOKUP($L10,'2-2 引出数据_合同数据仓库'!$B$5:$BP$20,3,FALSE),0)</f>
        <v>0</v>
      </c>
      <c r="N10" s="125"/>
      <c r="O10" s="151">
        <f>IFERROR(VLOOKUP((LEFT(VLOOKUP($L10,'2-2 引出数据_合同数据仓库'!$B$5:$BP$20,64,FALSE),15)&amp;(RIGHT(VLOOKUP($L10,'2-2 引出数据_合同数据仓库'!$B$5:$BP$20,64,FALSE),4)+1)),'2-2 引出数据_合同数据仓库'!$B$5:$BP$20,3,FALSE),0)</f>
        <v>0</v>
      </c>
      <c r="P10" s="125"/>
      <c r="Q10" s="125">
        <f>IFERROR(VLOOKUP($L10,'2-2 引出数据_合同数据仓库'!$B$5:$BP$20,28,FALSE),0)</f>
        <v>0</v>
      </c>
      <c r="R10" s="125">
        <f>IFERROR(VLOOKUP($L10,'2-2 引出数据_合同数据仓库'!$B$5:$BP$20,29,FALSE),0)</f>
        <v>0</v>
      </c>
      <c r="S10" s="125">
        <f>IFERROR(VLOOKUP($L10,'2-2 引出数据_合同数据仓库'!$B$5:$BP$20,4,FALSE),0)</f>
        <v>0</v>
      </c>
      <c r="T10" s="125"/>
      <c r="U10" s="125">
        <f>IFERROR(VLOOKUP($L10,'2-2 引出数据_合同数据仓库'!$B$5:$BP$20,15,FALSE),0)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hidden="1"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引出数据_合同数据仓库'!$B$5:$BP$20,3,FALSE),0)</f>
        <v>0</v>
      </c>
      <c r="N11" s="125"/>
      <c r="O11" s="151">
        <f>IFERROR(VLOOKUP((LEFT(VLOOKUP($L11,'2-2 引出数据_合同数据仓库'!$B$5:$BP$20,64,FALSE),15)&amp;(RIGHT(VLOOKUP($L11,'2-2 引出数据_合同数据仓库'!$B$5:$BP$20,64,FALSE),4)+1)),'2-2 引出数据_合同数据仓库'!$B$5:$BP$20,3,FALSE),0)</f>
        <v>0</v>
      </c>
      <c r="P11" s="125"/>
      <c r="Q11" s="125">
        <f>IFERROR(VLOOKUP($L11,'2-2 引出数据_合同数据仓库'!$B$5:$BP$20,28,FALSE),0)</f>
        <v>0</v>
      </c>
      <c r="R11" s="125">
        <f>IFERROR(VLOOKUP($L11,'2-2 引出数据_合同数据仓库'!$B$5:$BP$20,29,FALSE),0)</f>
        <v>0</v>
      </c>
      <c r="S11" s="125">
        <f>IFERROR(VLOOKUP($L11,'2-2 引出数据_合同数据仓库'!$B$5:$BP$20,4,FALSE),0)</f>
        <v>0</v>
      </c>
      <c r="T11" s="125"/>
      <c r="U11" s="125">
        <f>IFERROR(VLOOKUP($L11,'2-2 引出数据_合同数据仓库'!$B$5:$BP$20,15,FALSE),0)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hidden="1"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引出数据_合同数据仓库'!$B$5:$BP$20,3,FALSE),0)</f>
        <v>0</v>
      </c>
      <c r="N12" s="125"/>
      <c r="O12" s="151">
        <f>IFERROR(VLOOKUP((LEFT(VLOOKUP($L12,'2-2 引出数据_合同数据仓库'!$B$5:$BP$20,64,FALSE),15)&amp;(RIGHT(VLOOKUP($L12,'2-2 引出数据_合同数据仓库'!$B$5:$BP$20,64,FALSE),4)+1)),'2-2 引出数据_合同数据仓库'!$B$5:$BP$20,3,FALSE),0)</f>
        <v>0</v>
      </c>
      <c r="P12" s="125"/>
      <c r="Q12" s="125">
        <f>IFERROR(VLOOKUP($L12,'2-2 引出数据_合同数据仓库'!$B$5:$BP$20,28,FALSE),0)</f>
        <v>0</v>
      </c>
      <c r="R12" s="125">
        <f>IFERROR(VLOOKUP($L12,'2-2 引出数据_合同数据仓库'!$B$5:$BP$20,29,FALSE),0)</f>
        <v>0</v>
      </c>
      <c r="S12" s="125">
        <f>IFERROR(VLOOKUP($L12,'2-2 引出数据_合同数据仓库'!$B$5:$BP$20,4,FALSE),0)</f>
        <v>0</v>
      </c>
      <c r="T12" s="125"/>
      <c r="U12" s="125">
        <f>IFERROR(VLOOKUP($L12,'2-2 引出数据_合同数据仓库'!$B$5:$BP$20,15,FALSE),0)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hidden="1" customHeight="1" outlineLevel="4" spans="1:95">
      <c r="A13" s="126" t="s">
        <v>2770</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hidden="1" customHeight="1" outlineLevel="3" collapsed="1" spans="1:95">
      <c r="A14" s="118"/>
      <c r="B14" s="119" t="s">
        <v>747</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hidden="1" customHeight="1" outlineLevel="4" spans="1:95">
      <c r="A15" s="122"/>
      <c r="B15" s="123"/>
      <c r="C15" s="124" t="s">
        <v>112</v>
      </c>
      <c r="D15" s="130" t="s">
        <v>2771</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hidden="1"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引出数据_合同数据仓库'!$B$5:$BP$20,3,FALSE),0)</f>
        <v>0</v>
      </c>
      <c r="N16" s="125"/>
      <c r="O16" s="151">
        <f>IFERROR(VLOOKUP((LEFT(VLOOKUP($L16,'2-2 引出数据_合同数据仓库'!$B$5:$BP$20,64,FALSE),15)&amp;(RIGHT(VLOOKUP($L16,'2-2 引出数据_合同数据仓库'!$B$5:$BP$20,64,FALSE),4)+1)),'2-2 引出数据_合同数据仓库'!$B$5:$BP$20,3,FALSE),0)</f>
        <v>0</v>
      </c>
      <c r="P16" s="125"/>
      <c r="Q16" s="125">
        <f>IFERROR(VLOOKUP($L16,'2-2 引出数据_合同数据仓库'!$B$5:$BP$20,28,FALSE),0)</f>
        <v>0</v>
      </c>
      <c r="R16" s="125">
        <f>IFERROR(VLOOKUP($L16,'2-2 引出数据_合同数据仓库'!$B$5:$BP$20,29,FALSE),0)</f>
        <v>0</v>
      </c>
      <c r="S16" s="125">
        <f>IFERROR(VLOOKUP($L16,'2-2 引出数据_合同数据仓库'!$B$5:$BP$20,4,FALSE),0)</f>
        <v>0</v>
      </c>
      <c r="T16" s="125"/>
      <c r="U16" s="125">
        <f>IFERROR(VLOOKUP($L16,'2-2 引出数据_合同数据仓库'!$B$5:$BP$20,15,FALSE),0)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hidden="1"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引出数据_合同数据仓库'!$B$5:$BP$20,3,FALSE),0)</f>
        <v>0</v>
      </c>
      <c r="N17" s="125"/>
      <c r="O17" s="151">
        <f>IFERROR(VLOOKUP((LEFT(VLOOKUP($L17,'2-2 引出数据_合同数据仓库'!$B$5:$BP$20,64,FALSE),15)&amp;(RIGHT(VLOOKUP($L17,'2-2 引出数据_合同数据仓库'!$B$5:$BP$20,64,FALSE),4)+1)),'2-2 引出数据_合同数据仓库'!$B$5:$BP$20,3,FALSE),0)</f>
        <v>0</v>
      </c>
      <c r="P17" s="125"/>
      <c r="Q17" s="125">
        <f>IFERROR(VLOOKUP($L17,'2-2 引出数据_合同数据仓库'!$B$5:$BP$20,28,FALSE),0)</f>
        <v>0</v>
      </c>
      <c r="R17" s="125">
        <f>IFERROR(VLOOKUP($L17,'2-2 引出数据_合同数据仓库'!$B$5:$BP$20,29,FALSE),0)</f>
        <v>0</v>
      </c>
      <c r="S17" s="125">
        <f>IFERROR(VLOOKUP($L17,'2-2 引出数据_合同数据仓库'!$B$5:$BP$20,4,FALSE),0)</f>
        <v>0</v>
      </c>
      <c r="T17" s="125"/>
      <c r="U17" s="125">
        <f>IFERROR(VLOOKUP($L17,'2-2 引出数据_合同数据仓库'!$B$5:$BP$20,15,FALSE),0)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hidden="1"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引出数据_合同数据仓库'!$B$5:$BP$20,3,FALSE),0)</f>
        <v>0</v>
      </c>
      <c r="N18" s="125"/>
      <c r="O18" s="151">
        <f>IFERROR(VLOOKUP((LEFT(VLOOKUP($L18,'2-2 引出数据_合同数据仓库'!$B$5:$BP$20,64,FALSE),15)&amp;(RIGHT(VLOOKUP($L18,'2-2 引出数据_合同数据仓库'!$B$5:$BP$20,64,FALSE),4)+1)),'2-2 引出数据_合同数据仓库'!$B$5:$BP$20,3,FALSE),0)</f>
        <v>0</v>
      </c>
      <c r="P18" s="125"/>
      <c r="Q18" s="125">
        <f>IFERROR(VLOOKUP($L18,'2-2 引出数据_合同数据仓库'!$B$5:$BP$20,28,FALSE),0)</f>
        <v>0</v>
      </c>
      <c r="R18" s="125">
        <f>IFERROR(VLOOKUP($L18,'2-2 引出数据_合同数据仓库'!$B$5:$BP$20,29,FALSE),0)</f>
        <v>0</v>
      </c>
      <c r="S18" s="125">
        <f>IFERROR(VLOOKUP($L18,'2-2 引出数据_合同数据仓库'!$B$5:$BP$20,4,FALSE),0)</f>
        <v>0</v>
      </c>
      <c r="T18" s="125"/>
      <c r="U18" s="125">
        <f>IFERROR(VLOOKUP($L18,'2-2 引出数据_合同数据仓库'!$B$5:$BP$20,15,FALSE),0)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hidden="1" customHeight="1" outlineLevel="4" spans="1:95">
      <c r="A19" s="126" t="s">
        <v>2770</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hidden="1" customHeight="1" outlineLevel="3" collapsed="1" spans="1:95">
      <c r="A20" s="118"/>
      <c r="B20" s="119" t="s">
        <v>747</v>
      </c>
      <c r="C20" s="120" t="s">
        <v>18</v>
      </c>
      <c r="D20" s="118" t="s">
        <v>19</v>
      </c>
      <c r="E20" s="119"/>
      <c r="F20" s="119"/>
      <c r="G20" s="119"/>
      <c r="H20" s="121">
        <f>X20+AA20+AD20+AG20+AJ20+AM20+AP20+AS20+AV20+AY20+BB20+BE20</f>
        <v>0</v>
      </c>
      <c r="I20" s="121">
        <f>Y20+AB20+AE20+AH20+AK20+AN20+AQ20+AT20+AW20+AZ20+BC20+BF20</f>
        <v>0</v>
      </c>
      <c r="J20" s="121">
        <f t="shared" si="5"/>
        <v>0</v>
      </c>
      <c r="K20" s="121"/>
      <c r="L20" s="149"/>
      <c r="M20" s="149"/>
      <c r="N20" s="121"/>
      <c r="O20" s="149"/>
      <c r="P20" s="121"/>
      <c r="Q20" s="121"/>
      <c r="R20" s="121"/>
      <c r="S20" s="121"/>
      <c r="T20" s="121"/>
      <c r="U20" s="121"/>
      <c r="V20" s="121"/>
      <c r="W20" s="121"/>
      <c r="X20" s="121">
        <f>VLOOKUP($C20,'1 预算编制表单'!$C:$BJ,27,FALSE)</f>
        <v>0</v>
      </c>
      <c r="Y20" s="121">
        <f>X20-Z20</f>
        <v>0</v>
      </c>
      <c r="Z20" s="121">
        <f>SUM(Z21:Z25)</f>
        <v>0</v>
      </c>
      <c r="AA20" s="121">
        <f>VLOOKUP($C20,'1 预算编制表单'!$C:$BJ,30,FALSE)</f>
        <v>0</v>
      </c>
      <c r="AB20" s="121">
        <f>AA20-AC20</f>
        <v>0</v>
      </c>
      <c r="AC20" s="121">
        <f>SUM(AC21:AC25)</f>
        <v>0</v>
      </c>
      <c r="AD20" s="121">
        <f>VLOOKUP($C20,'1 预算编制表单'!$C:$BJ,33,FALSE)</f>
        <v>0</v>
      </c>
      <c r="AE20" s="121">
        <f>AD20-AF20</f>
        <v>0</v>
      </c>
      <c r="AF20" s="121">
        <f>SUM(AF21:AF25)</f>
        <v>0</v>
      </c>
      <c r="AG20" s="121">
        <f>VLOOKUP($C20,'1 预算编制表单'!$C:$BJ,36,FALSE)</f>
        <v>0</v>
      </c>
      <c r="AH20" s="121">
        <f>AG20-AI20</f>
        <v>0</v>
      </c>
      <c r="AI20" s="121">
        <f>SUM(AI21:AI25)</f>
        <v>0</v>
      </c>
      <c r="AJ20" s="121">
        <f>VLOOKUP($C20,'1 预算编制表单'!$C:$BJ,39,FALSE)</f>
        <v>0</v>
      </c>
      <c r="AK20" s="121">
        <f>AJ20-AL20</f>
        <v>0</v>
      </c>
      <c r="AL20" s="121">
        <f>SUM(AL21:AL25)</f>
        <v>0</v>
      </c>
      <c r="AM20" s="121">
        <f>VLOOKUP($C20,'1 预算编制表单'!$C:$BJ,42,FALSE)</f>
        <v>0</v>
      </c>
      <c r="AN20" s="121">
        <f>AM20-AO20</f>
        <v>0</v>
      </c>
      <c r="AO20" s="121">
        <f>SUM(AO21:AO25)</f>
        <v>0</v>
      </c>
      <c r="AP20" s="121">
        <f>VLOOKUP($C20,'1 预算编制表单'!$C:$BJ,45,FALSE)</f>
        <v>0</v>
      </c>
      <c r="AQ20" s="121">
        <f>AP20-AR20</f>
        <v>0</v>
      </c>
      <c r="AR20" s="121">
        <f>SUM(AR21:AR25)</f>
        <v>0</v>
      </c>
      <c r="AS20" s="121">
        <f>VLOOKUP($C20,'1 预算编制表单'!$C:$BJ,48,FALSE)</f>
        <v>0</v>
      </c>
      <c r="AT20" s="121">
        <f>AS20-AU20</f>
        <v>0</v>
      </c>
      <c r="AU20" s="121">
        <f>SUM(AU21:AU25)</f>
        <v>0</v>
      </c>
      <c r="AV20" s="121">
        <f>VLOOKUP($C20,'1 预算编制表单'!$C:$BJ,51,FALSE)</f>
        <v>0</v>
      </c>
      <c r="AW20" s="121">
        <f>AV20-AX20</f>
        <v>0</v>
      </c>
      <c r="AX20" s="121">
        <f>SUM(AX21:AX25)</f>
        <v>0</v>
      </c>
      <c r="AY20" s="121">
        <f>VLOOKUP($C20,'1 预算编制表单'!$C:$BJ,54,FALSE)</f>
        <v>0</v>
      </c>
      <c r="AZ20" s="121">
        <f>AY20-BA20</f>
        <v>0</v>
      </c>
      <c r="BA20" s="121">
        <f>SUM(BA21:BA25)</f>
        <v>0</v>
      </c>
      <c r="BB20" s="121">
        <f>VLOOKUP($C20,'1 预算编制表单'!$C:$BJ,57,FALSE)</f>
        <v>0</v>
      </c>
      <c r="BC20" s="121">
        <f>BB20-BD20</f>
        <v>0</v>
      </c>
      <c r="BD20" s="121">
        <f>SUM(BD21:BD25)</f>
        <v>0</v>
      </c>
      <c r="BE20" s="121">
        <f>VLOOKUP($C20,'1 预算编制表单'!$C:$BJ,60,FALSE)</f>
        <v>0</v>
      </c>
      <c r="BF20" s="121">
        <f>BE20-BG20</f>
        <v>0</v>
      </c>
      <c r="BG20" s="121">
        <f>SUM(BG21:BG25)</f>
        <v>0</v>
      </c>
      <c r="BH20" s="121">
        <f>VLOOKUP($C20,'1 预算编制表单'!$C:$BJ,27,FALSE)</f>
        <v>0</v>
      </c>
      <c r="BI20" s="121">
        <f>BH20-BJ20</f>
        <v>0</v>
      </c>
      <c r="BJ20" s="121">
        <f>SUM(BJ21:BJ25)</f>
        <v>0</v>
      </c>
      <c r="BK20" s="121">
        <f>VLOOKUP($C20,'1 预算编制表单'!$C:$BJ,30,FALSE)</f>
        <v>0</v>
      </c>
      <c r="BL20" s="121">
        <f>BK20-BM20</f>
        <v>0</v>
      </c>
      <c r="BM20" s="121">
        <f>SUM(BM21:BM25)</f>
        <v>0</v>
      </c>
      <c r="BN20" s="121">
        <f>VLOOKUP($C20,'1 预算编制表单'!$C:$BJ,33,FALSE)</f>
        <v>0</v>
      </c>
      <c r="BO20" s="121">
        <f>BN20-BP20</f>
        <v>0</v>
      </c>
      <c r="BP20" s="121">
        <f>SUM(BP21:BP25)</f>
        <v>0</v>
      </c>
      <c r="BQ20" s="121">
        <f>VLOOKUP($C20,'1 预算编制表单'!$C:$BJ,36,FALSE)</f>
        <v>0</v>
      </c>
      <c r="BR20" s="121">
        <f>BQ20-BS20</f>
        <v>0</v>
      </c>
      <c r="BS20" s="121">
        <f>SUM(BS21:BS25)</f>
        <v>0</v>
      </c>
      <c r="BT20" s="121">
        <f>VLOOKUP($C20,'1 预算编制表单'!$C:$BJ,39,FALSE)</f>
        <v>0</v>
      </c>
      <c r="BU20" s="121">
        <f>BT20-BV20</f>
        <v>0</v>
      </c>
      <c r="BV20" s="121">
        <f>SUM(BV21:BV25)</f>
        <v>0</v>
      </c>
      <c r="BW20" s="121">
        <f>VLOOKUP($C20,'1 预算编制表单'!$C:$BJ,42,FALSE)</f>
        <v>0</v>
      </c>
      <c r="BX20" s="121">
        <f>BW20-BY20</f>
        <v>0</v>
      </c>
      <c r="BY20" s="121">
        <f>SUM(BY21:BY25)</f>
        <v>0</v>
      </c>
      <c r="BZ20" s="121">
        <f>VLOOKUP($C20,'1 预算编制表单'!$C:$BJ,45,FALSE)</f>
        <v>0</v>
      </c>
      <c r="CA20" s="121">
        <f>BZ20-CB20</f>
        <v>0</v>
      </c>
      <c r="CB20" s="121">
        <f>SUM(CB21:CB25)</f>
        <v>0</v>
      </c>
      <c r="CC20" s="121">
        <f>VLOOKUP($C20,'1 预算编制表单'!$C:$BJ,48,FALSE)</f>
        <v>0</v>
      </c>
      <c r="CD20" s="121">
        <f>CC20-CE20</f>
        <v>0</v>
      </c>
      <c r="CE20" s="121">
        <f>SUM(CE21:CE25)</f>
        <v>0</v>
      </c>
      <c r="CF20" s="121">
        <f>VLOOKUP($C20,'1 预算编制表单'!$C:$BJ,51,FALSE)</f>
        <v>0</v>
      </c>
      <c r="CG20" s="121">
        <f>CF20-CH20</f>
        <v>0</v>
      </c>
      <c r="CH20" s="121">
        <f>SUM(CH21:CH25)</f>
        <v>0</v>
      </c>
      <c r="CI20" s="121">
        <f>VLOOKUP($C20,'1 预算编制表单'!$C:$BJ,54,FALSE)</f>
        <v>0</v>
      </c>
      <c r="CJ20" s="121">
        <f>CI20-CK20</f>
        <v>0</v>
      </c>
      <c r="CK20" s="121">
        <f>SUM(CK21:CK25)</f>
        <v>0</v>
      </c>
      <c r="CL20" s="121">
        <f>VLOOKUP($C20,'1 预算编制表单'!$C:$BJ,57,FALSE)</f>
        <v>0</v>
      </c>
      <c r="CM20" s="121">
        <f>CL20-CN20</f>
        <v>0</v>
      </c>
      <c r="CN20" s="121">
        <f>SUM(CN21:CN25)</f>
        <v>0</v>
      </c>
      <c r="CO20" s="121">
        <f>VLOOKUP($C20,'1 预算编制表单'!$C:$BJ,60,FALSE)</f>
        <v>0</v>
      </c>
      <c r="CP20" s="121">
        <f>CO20-CQ20</f>
        <v>0</v>
      </c>
      <c r="CQ20" s="121">
        <f>SUM(CQ21:CQ25)</f>
        <v>0</v>
      </c>
    </row>
    <row r="21" s="83" customFormat="1" ht="24" hidden="1" customHeight="1" outlineLevel="4" spans="1:95">
      <c r="A21" s="122"/>
      <c r="B21" s="123"/>
      <c r="C21" s="124"/>
      <c r="D21" s="122"/>
      <c r="E21" s="123"/>
      <c r="F21" s="123"/>
      <c r="G21" s="123"/>
      <c r="H21" s="125"/>
      <c r="I21" s="125"/>
      <c r="J21" s="125">
        <f t="shared" si="5"/>
        <v>0</v>
      </c>
      <c r="K21" s="125">
        <v>1</v>
      </c>
      <c r="L21" s="150"/>
      <c r="M21" s="151">
        <f>IFERROR(VLOOKUP($L21,'2-2 引出数据_合同数据仓库'!$B$5:$BP$20,3,FALSE),0)</f>
        <v>0</v>
      </c>
      <c r="N21" s="125"/>
      <c r="O21" s="151">
        <f>IFERROR(VLOOKUP((LEFT(VLOOKUP($L21,'2-2 引出数据_合同数据仓库'!$B$5:$BP$20,64,FALSE),15)&amp;(RIGHT(VLOOKUP($L21,'2-2 引出数据_合同数据仓库'!$B$5:$BP$20,64,FALSE),4)+1)),'2-2 引出数据_合同数据仓库'!$B$5:$BP$20,3,FALSE),0)</f>
        <v>0</v>
      </c>
      <c r="P21" s="125"/>
      <c r="Q21" s="125">
        <f>IFERROR(VLOOKUP($L21,'2-2 引出数据_合同数据仓库'!$B$5:$BP$20,28,FALSE),0)</f>
        <v>0</v>
      </c>
      <c r="R21" s="125">
        <f>IFERROR(VLOOKUP($L21,'2-2 引出数据_合同数据仓库'!$B$5:$BP$20,29,FALSE),0)</f>
        <v>0</v>
      </c>
      <c r="S21" s="125">
        <f>IFERROR(VLOOKUP($L21,'2-2 引出数据_合同数据仓库'!$B$5:$BP$20,4,FALSE),0)</f>
        <v>0</v>
      </c>
      <c r="T21" s="125"/>
      <c r="U21" s="125">
        <f>IFERROR(VLOOKUP($L21,'2-2 引出数据_合同数据仓库'!$B$5:$BP$20,15,FALSE),0)</f>
        <v>0</v>
      </c>
      <c r="V21" s="125">
        <f t="shared" ref="V21:V24" si="168">U21/(S21-R21+1)*365</f>
        <v>0</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0</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0</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0</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0</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hidden="1"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引出数据_合同数据仓库'!$B$5:$BP$20,3,FALSE),0)</f>
        <v>0</v>
      </c>
      <c r="N22" s="125"/>
      <c r="O22" s="151">
        <f>IFERROR(VLOOKUP((LEFT(VLOOKUP($L22,'2-2 引出数据_合同数据仓库'!$B$5:$BP$20,64,FALSE),15)&amp;(RIGHT(VLOOKUP($L22,'2-2 引出数据_合同数据仓库'!$B$5:$BP$20,64,FALSE),4)+1)),'2-2 引出数据_合同数据仓库'!$B$5:$BP$20,3,FALSE),0)</f>
        <v>0</v>
      </c>
      <c r="P22" s="125"/>
      <c r="Q22" s="125">
        <f>IFERROR(VLOOKUP($L22,'2-2 引出数据_合同数据仓库'!$B$5:$BP$20,28,FALSE),0)</f>
        <v>0</v>
      </c>
      <c r="R22" s="125">
        <f>IFERROR(VLOOKUP($L22,'2-2 引出数据_合同数据仓库'!$B$5:$BP$20,29,FALSE),0)</f>
        <v>0</v>
      </c>
      <c r="S22" s="125">
        <f>IFERROR(VLOOKUP($L22,'2-2 引出数据_合同数据仓库'!$B$5:$BP$20,4,FALSE),0)</f>
        <v>0</v>
      </c>
      <c r="T22" s="125"/>
      <c r="U22" s="125">
        <f>IFERROR(VLOOKUP($L22,'2-2 引出数据_合同数据仓库'!$B$5:$BP$20,15,FALSE),0)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hidden="1"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引出数据_合同数据仓库'!$B$5:$BP$20,3,FALSE),0)</f>
        <v>0</v>
      </c>
      <c r="N23" s="125"/>
      <c r="O23" s="151">
        <f>IFERROR(VLOOKUP((LEFT(VLOOKUP($L23,'2-2 引出数据_合同数据仓库'!$B$5:$BP$20,64,FALSE),15)&amp;(RIGHT(VLOOKUP($L23,'2-2 引出数据_合同数据仓库'!$B$5:$BP$20,64,FALSE),4)+1)),'2-2 引出数据_合同数据仓库'!$B$5:$BP$20,3,FALSE),0)</f>
        <v>0</v>
      </c>
      <c r="P23" s="125"/>
      <c r="Q23" s="125">
        <f>IFERROR(VLOOKUP($L23,'2-2 引出数据_合同数据仓库'!$B$5:$BP$20,28,FALSE),0)</f>
        <v>0</v>
      </c>
      <c r="R23" s="125">
        <f>IFERROR(VLOOKUP($L23,'2-2 引出数据_合同数据仓库'!$B$5:$BP$20,29,FALSE),0)</f>
        <v>0</v>
      </c>
      <c r="S23" s="125">
        <f>IFERROR(VLOOKUP($L23,'2-2 引出数据_合同数据仓库'!$B$5:$BP$20,4,FALSE),0)</f>
        <v>0</v>
      </c>
      <c r="T23" s="125"/>
      <c r="U23" s="125">
        <f>IFERROR(VLOOKUP($L23,'2-2 引出数据_合同数据仓库'!$B$5:$BP$20,15,FALSE),0)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hidden="1"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引出数据_合同数据仓库'!$B$5:$BP$20,3,FALSE),0)</f>
        <v>0</v>
      </c>
      <c r="N24" s="125"/>
      <c r="O24" s="151">
        <f>IFERROR(VLOOKUP((LEFT(VLOOKUP($L24,'2-2 引出数据_合同数据仓库'!$B$5:$BP$20,64,FALSE),15)&amp;(RIGHT(VLOOKUP($L24,'2-2 引出数据_合同数据仓库'!$B$5:$BP$20,64,FALSE),4)+1)),'2-2 引出数据_合同数据仓库'!$B$5:$BP$20,3,FALSE),0)</f>
        <v>0</v>
      </c>
      <c r="P24" s="125"/>
      <c r="Q24" s="125">
        <f>IFERROR(VLOOKUP($L24,'2-2 引出数据_合同数据仓库'!$B$5:$BP$20,28,FALSE),0)</f>
        <v>0</v>
      </c>
      <c r="R24" s="125">
        <f>IFERROR(VLOOKUP($L24,'2-2 引出数据_合同数据仓库'!$B$5:$BP$20,29,FALSE),0)</f>
        <v>0</v>
      </c>
      <c r="S24" s="125">
        <f>IFERROR(VLOOKUP($L24,'2-2 引出数据_合同数据仓库'!$B$5:$BP$20,4,FALSE),0)</f>
        <v>0</v>
      </c>
      <c r="T24" s="125"/>
      <c r="U24" s="125">
        <f>IFERROR(VLOOKUP($L24,'2-2 引出数据_合同数据仓库'!$B$5:$BP$20,15,FALSE),0)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hidden="1" customHeight="1" outlineLevel="4" spans="1:95">
      <c r="A25" s="126" t="s">
        <v>2770</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hidden="1" customHeight="1" outlineLevel="2" collapsed="1" spans="1:95">
      <c r="A26" s="48"/>
      <c r="B26" s="115" t="s">
        <v>742</v>
      </c>
      <c r="C26" s="116" t="s">
        <v>786</v>
      </c>
      <c r="D26" s="48" t="s">
        <v>787</v>
      </c>
      <c r="E26" s="115"/>
      <c r="F26" s="115"/>
      <c r="G26" s="115"/>
      <c r="H26" s="117">
        <f>X26+AA26+AD26+AG26+AJ26+AM26+AP26+AS26+AV26+AY26+BB26+BE26</f>
        <v>147600</v>
      </c>
      <c r="I26" s="117">
        <f>Y26+AB26+AE26+AH26+AK26+AN26+AQ26+AT26+AW26+AZ26+BC26+BF26</f>
        <v>147600</v>
      </c>
      <c r="J26" s="117">
        <f t="shared" si="5"/>
        <v>0</v>
      </c>
      <c r="K26" s="117"/>
      <c r="L26" s="148"/>
      <c r="M26" s="148"/>
      <c r="N26" s="117"/>
      <c r="O26" s="148"/>
      <c r="P26" s="117"/>
      <c r="Q26" s="117"/>
      <c r="R26" s="117"/>
      <c r="S26" s="117"/>
      <c r="T26" s="117"/>
      <c r="U26" s="117"/>
      <c r="V26" s="117"/>
      <c r="W26" s="117"/>
      <c r="X26" s="117">
        <f>VLOOKUP($C26,'1 预算编制表单'!$C:$BJ,27,FALSE)</f>
        <v>12300</v>
      </c>
      <c r="Y26" s="117">
        <f>X26-Z26</f>
        <v>12300</v>
      </c>
      <c r="Z26" s="117">
        <f>Z27+Z33+Z39</f>
        <v>0</v>
      </c>
      <c r="AA26" s="117">
        <f>VLOOKUP($C26,'1 预算编制表单'!$C:$BJ,30,FALSE)</f>
        <v>12300</v>
      </c>
      <c r="AB26" s="117">
        <f>AA26-AC26</f>
        <v>12300</v>
      </c>
      <c r="AC26" s="117">
        <f>AC27+AC33+AC39</f>
        <v>0</v>
      </c>
      <c r="AD26" s="117">
        <f>VLOOKUP($C26,'1 预算编制表单'!$C:$BJ,33,FALSE)</f>
        <v>12300</v>
      </c>
      <c r="AE26" s="117">
        <f>AD26-AF26</f>
        <v>12300</v>
      </c>
      <c r="AF26" s="117">
        <f>AF27+AF33+AF39</f>
        <v>0</v>
      </c>
      <c r="AG26" s="117">
        <f>VLOOKUP($C26,'1 预算编制表单'!$C:$BJ,36,FALSE)</f>
        <v>12300</v>
      </c>
      <c r="AH26" s="117">
        <f>AG26-AI26</f>
        <v>12300</v>
      </c>
      <c r="AI26" s="117">
        <f>AI27+AI33+AI39</f>
        <v>0</v>
      </c>
      <c r="AJ26" s="117">
        <f>VLOOKUP($C26,'1 预算编制表单'!$C:$BJ,39,FALSE)</f>
        <v>12300</v>
      </c>
      <c r="AK26" s="117">
        <f>AJ26-AL26</f>
        <v>12300</v>
      </c>
      <c r="AL26" s="117">
        <f>AL27+AL33+AL39</f>
        <v>0</v>
      </c>
      <c r="AM26" s="117">
        <f>VLOOKUP($C26,'1 预算编制表单'!$C:$BJ,42,FALSE)</f>
        <v>12300</v>
      </c>
      <c r="AN26" s="117">
        <f>AM26-AO26</f>
        <v>12300</v>
      </c>
      <c r="AO26" s="117">
        <f>AO27+AO33+AO39</f>
        <v>0</v>
      </c>
      <c r="AP26" s="117">
        <f>VLOOKUP($C26,'1 预算编制表单'!$C:$BJ,45,FALSE)</f>
        <v>12300</v>
      </c>
      <c r="AQ26" s="117">
        <f>AP26-AR26</f>
        <v>12300</v>
      </c>
      <c r="AR26" s="117">
        <f>AR27+AR33+AR39</f>
        <v>0</v>
      </c>
      <c r="AS26" s="117">
        <f>VLOOKUP($C26,'1 预算编制表单'!$C:$BJ,48,FALSE)</f>
        <v>12300</v>
      </c>
      <c r="AT26" s="117">
        <f>AS26-AU26</f>
        <v>12300</v>
      </c>
      <c r="AU26" s="117">
        <f>AU27+AU33+AU39</f>
        <v>0</v>
      </c>
      <c r="AV26" s="117">
        <f>VLOOKUP($C26,'1 预算编制表单'!$C:$BJ,51,FALSE)</f>
        <v>12300</v>
      </c>
      <c r="AW26" s="117">
        <f>AV26-AX26</f>
        <v>12300</v>
      </c>
      <c r="AX26" s="117">
        <f>AX27+AX33+AX39</f>
        <v>0</v>
      </c>
      <c r="AY26" s="117">
        <f>VLOOKUP($C26,'1 预算编制表单'!$C:$BJ,54,FALSE)</f>
        <v>12300</v>
      </c>
      <c r="AZ26" s="117">
        <f>AY26-BA26</f>
        <v>12300</v>
      </c>
      <c r="BA26" s="117">
        <f>BA27+BA33+BA39</f>
        <v>0</v>
      </c>
      <c r="BB26" s="117">
        <f>VLOOKUP($C26,'1 预算编制表单'!$C:$BJ,57,FALSE)</f>
        <v>12300</v>
      </c>
      <c r="BC26" s="117">
        <f>BB26-BD26</f>
        <v>12300</v>
      </c>
      <c r="BD26" s="117">
        <f>BD27+BD33+BD39</f>
        <v>0</v>
      </c>
      <c r="BE26" s="117">
        <f>VLOOKUP($C26,'1 预算编制表单'!$C:$BJ,60,FALSE)</f>
        <v>12300</v>
      </c>
      <c r="BF26" s="117">
        <f>BE26-BG26</f>
        <v>12300</v>
      </c>
      <c r="BG26" s="117">
        <f>BG27+BG33+BG39</f>
        <v>0</v>
      </c>
      <c r="BH26" s="117">
        <f>VLOOKUP($C26,'1 预算编制表单'!$C:$BJ,27,FALSE)</f>
        <v>12300</v>
      </c>
      <c r="BI26" s="117">
        <f>BH26-BJ26</f>
        <v>12300</v>
      </c>
      <c r="BJ26" s="117">
        <f>BJ27+BJ33+BJ39</f>
        <v>0</v>
      </c>
      <c r="BK26" s="117">
        <f>VLOOKUP($C26,'1 预算编制表单'!$C:$BJ,30,FALSE)</f>
        <v>12300</v>
      </c>
      <c r="BL26" s="117">
        <f>BK26-BM26</f>
        <v>12300</v>
      </c>
      <c r="BM26" s="117">
        <f>BM27+BM33+BM39</f>
        <v>0</v>
      </c>
      <c r="BN26" s="117">
        <f>VLOOKUP($C26,'1 预算编制表单'!$C:$BJ,33,FALSE)</f>
        <v>12300</v>
      </c>
      <c r="BO26" s="117">
        <f>BN26-BP26</f>
        <v>12300</v>
      </c>
      <c r="BP26" s="117">
        <f>BP27+BP33+BP39</f>
        <v>0</v>
      </c>
      <c r="BQ26" s="117">
        <f>VLOOKUP($C26,'1 预算编制表单'!$C:$BJ,36,FALSE)</f>
        <v>12300</v>
      </c>
      <c r="BR26" s="117">
        <f>BQ26-BS26</f>
        <v>12300</v>
      </c>
      <c r="BS26" s="117">
        <f>BS27+BS33+BS39</f>
        <v>0</v>
      </c>
      <c r="BT26" s="117">
        <f>VLOOKUP($C26,'1 预算编制表单'!$C:$BJ,39,FALSE)</f>
        <v>12300</v>
      </c>
      <c r="BU26" s="117">
        <f>BT26-BV26</f>
        <v>12300</v>
      </c>
      <c r="BV26" s="117">
        <f>BV27+BV33+BV39</f>
        <v>0</v>
      </c>
      <c r="BW26" s="117">
        <f>VLOOKUP($C26,'1 预算编制表单'!$C:$BJ,42,FALSE)</f>
        <v>12300</v>
      </c>
      <c r="BX26" s="117">
        <f>BW26-BY26</f>
        <v>12300</v>
      </c>
      <c r="BY26" s="117">
        <f>BY27+BY33+BY39</f>
        <v>0</v>
      </c>
      <c r="BZ26" s="117">
        <f>VLOOKUP($C26,'1 预算编制表单'!$C:$BJ,45,FALSE)</f>
        <v>12300</v>
      </c>
      <c r="CA26" s="117">
        <f>BZ26-CB26</f>
        <v>12300</v>
      </c>
      <c r="CB26" s="117">
        <f>CB27+CB33+CB39</f>
        <v>0</v>
      </c>
      <c r="CC26" s="117">
        <f>VLOOKUP($C26,'1 预算编制表单'!$C:$BJ,48,FALSE)</f>
        <v>12300</v>
      </c>
      <c r="CD26" s="117">
        <f>CC26-CE26</f>
        <v>12300</v>
      </c>
      <c r="CE26" s="117">
        <f>CE27+CE33+CE39</f>
        <v>0</v>
      </c>
      <c r="CF26" s="117">
        <f>VLOOKUP($C26,'1 预算编制表单'!$C:$BJ,51,FALSE)</f>
        <v>12300</v>
      </c>
      <c r="CG26" s="117">
        <f>CF26-CH26</f>
        <v>12300</v>
      </c>
      <c r="CH26" s="117">
        <f>CH27+CH33+CH39</f>
        <v>0</v>
      </c>
      <c r="CI26" s="117">
        <f>VLOOKUP($C26,'1 预算编制表单'!$C:$BJ,54,FALSE)</f>
        <v>12300</v>
      </c>
      <c r="CJ26" s="117">
        <f>CI26-CK26</f>
        <v>12300</v>
      </c>
      <c r="CK26" s="117">
        <f>CK27+CK33+CK39</f>
        <v>0</v>
      </c>
      <c r="CL26" s="117">
        <f>VLOOKUP($C26,'1 预算编制表单'!$C:$BJ,57,FALSE)</f>
        <v>12300</v>
      </c>
      <c r="CM26" s="117">
        <f>CL26-CN26</f>
        <v>12300</v>
      </c>
      <c r="CN26" s="117">
        <f>CN27+CN33+CN39</f>
        <v>0</v>
      </c>
      <c r="CO26" s="117">
        <f>VLOOKUP($C26,'1 预算编制表单'!$C:$BJ,60,FALSE)</f>
        <v>12300</v>
      </c>
      <c r="CP26" s="117">
        <f>CO26-CQ26</f>
        <v>12300</v>
      </c>
      <c r="CQ26" s="117">
        <f>CQ27+CQ33+CQ39</f>
        <v>0</v>
      </c>
    </row>
    <row r="27" s="83" customFormat="1" ht="24" hidden="1" customHeight="1" outlineLevel="3" collapsed="1" spans="1:95">
      <c r="A27" s="118"/>
      <c r="B27" s="119" t="s">
        <v>747</v>
      </c>
      <c r="C27" s="120" t="s">
        <v>112</v>
      </c>
      <c r="D27" s="118" t="s">
        <v>109</v>
      </c>
      <c r="E27" s="119"/>
      <c r="F27" s="119"/>
      <c r="G27" s="119"/>
      <c r="H27" s="121">
        <f>X27+AA27+AD27+AG27+AJ27+AM27+AP27+AS27+AV27+AY27+BB27+BE27</f>
        <v>147600</v>
      </c>
      <c r="I27" s="121">
        <f>Y27+AB27+AE27+AH27+AK27+AN27+AQ27+AT27+AW27+AZ27+BC27+BF27</f>
        <v>147600</v>
      </c>
      <c r="J27" s="121">
        <f t="shared" si="5"/>
        <v>0</v>
      </c>
      <c r="K27" s="121"/>
      <c r="L27" s="149"/>
      <c r="M27" s="149"/>
      <c r="N27" s="121"/>
      <c r="O27" s="149"/>
      <c r="P27" s="121"/>
      <c r="Q27" s="121"/>
      <c r="R27" s="121"/>
      <c r="S27" s="121"/>
      <c r="T27" s="121"/>
      <c r="U27" s="121"/>
      <c r="V27" s="121"/>
      <c r="W27" s="121"/>
      <c r="X27" s="121">
        <f>VLOOKUP($C27,'1 预算编制表单'!$C:$BJ,27,FALSE)</f>
        <v>12300</v>
      </c>
      <c r="Y27" s="121">
        <f>X27-Z27</f>
        <v>12300</v>
      </c>
      <c r="Z27" s="121">
        <f>SUM(Z28:Z32)</f>
        <v>0</v>
      </c>
      <c r="AA27" s="121">
        <f>VLOOKUP($C27,'1 预算编制表单'!$C:$BJ,30,FALSE)</f>
        <v>12300</v>
      </c>
      <c r="AB27" s="121">
        <f>AA27-AC27</f>
        <v>12300</v>
      </c>
      <c r="AC27" s="121">
        <f>SUM(AC28:AC32)</f>
        <v>0</v>
      </c>
      <c r="AD27" s="121">
        <f>VLOOKUP($C27,'1 预算编制表单'!$C:$BJ,33,FALSE)</f>
        <v>12300</v>
      </c>
      <c r="AE27" s="121">
        <f>AD27-AF27</f>
        <v>12300</v>
      </c>
      <c r="AF27" s="121">
        <f>SUM(AF28:AF32)</f>
        <v>0</v>
      </c>
      <c r="AG27" s="121">
        <f>VLOOKUP($C27,'1 预算编制表单'!$C:$BJ,36,FALSE)</f>
        <v>12300</v>
      </c>
      <c r="AH27" s="121">
        <f>AG27-AI27</f>
        <v>12300</v>
      </c>
      <c r="AI27" s="121">
        <f>SUM(AI28:AI32)</f>
        <v>0</v>
      </c>
      <c r="AJ27" s="121">
        <f>VLOOKUP($C27,'1 预算编制表单'!$C:$BJ,39,FALSE)</f>
        <v>12300</v>
      </c>
      <c r="AK27" s="121">
        <f>AJ27-AL27</f>
        <v>12300</v>
      </c>
      <c r="AL27" s="121">
        <f>SUM(AL28:AL32)</f>
        <v>0</v>
      </c>
      <c r="AM27" s="121">
        <f>VLOOKUP($C27,'1 预算编制表单'!$C:$BJ,42,FALSE)</f>
        <v>12300</v>
      </c>
      <c r="AN27" s="121">
        <f>AM27-AO27</f>
        <v>12300</v>
      </c>
      <c r="AO27" s="121">
        <f>SUM(AO28:AO32)</f>
        <v>0</v>
      </c>
      <c r="AP27" s="121">
        <f>VLOOKUP($C27,'1 预算编制表单'!$C:$BJ,45,FALSE)</f>
        <v>12300</v>
      </c>
      <c r="AQ27" s="121">
        <f>AP27-AR27</f>
        <v>12300</v>
      </c>
      <c r="AR27" s="121">
        <f>SUM(AR28:AR32)</f>
        <v>0</v>
      </c>
      <c r="AS27" s="121">
        <f>VLOOKUP($C27,'1 预算编制表单'!$C:$BJ,48,FALSE)</f>
        <v>12300</v>
      </c>
      <c r="AT27" s="121">
        <f>AS27-AU27</f>
        <v>12300</v>
      </c>
      <c r="AU27" s="121">
        <f>SUM(AU28:AU32)</f>
        <v>0</v>
      </c>
      <c r="AV27" s="121">
        <f>VLOOKUP($C27,'1 预算编制表单'!$C:$BJ,51,FALSE)</f>
        <v>12300</v>
      </c>
      <c r="AW27" s="121">
        <f>AV27-AX27</f>
        <v>12300</v>
      </c>
      <c r="AX27" s="121">
        <f>SUM(AX28:AX32)</f>
        <v>0</v>
      </c>
      <c r="AY27" s="121">
        <f>VLOOKUP($C27,'1 预算编制表单'!$C:$BJ,54,FALSE)</f>
        <v>12300</v>
      </c>
      <c r="AZ27" s="121">
        <f>AY27-BA27</f>
        <v>12300</v>
      </c>
      <c r="BA27" s="121">
        <f>SUM(BA28:BA32)</f>
        <v>0</v>
      </c>
      <c r="BB27" s="121">
        <f>VLOOKUP($C27,'1 预算编制表单'!$C:$BJ,57,FALSE)</f>
        <v>12300</v>
      </c>
      <c r="BC27" s="121">
        <f>BB27-BD27</f>
        <v>12300</v>
      </c>
      <c r="BD27" s="121">
        <f>SUM(BD28:BD32)</f>
        <v>0</v>
      </c>
      <c r="BE27" s="121">
        <f>VLOOKUP($C27,'1 预算编制表单'!$C:$BJ,60,FALSE)</f>
        <v>12300</v>
      </c>
      <c r="BF27" s="121">
        <f>BE27-BG27</f>
        <v>12300</v>
      </c>
      <c r="BG27" s="121">
        <f>SUM(BG28:BG32)</f>
        <v>0</v>
      </c>
      <c r="BH27" s="121">
        <f>VLOOKUP($C27,'1 预算编制表单'!$C:$BJ,27,FALSE)</f>
        <v>12300</v>
      </c>
      <c r="BI27" s="121">
        <f>BH27-BJ27</f>
        <v>12300</v>
      </c>
      <c r="BJ27" s="121">
        <f>SUM(BJ28:BJ32)</f>
        <v>0</v>
      </c>
      <c r="BK27" s="121">
        <f>VLOOKUP($C27,'1 预算编制表单'!$C:$BJ,30,FALSE)</f>
        <v>12300</v>
      </c>
      <c r="BL27" s="121">
        <f>BK27-BM27</f>
        <v>12300</v>
      </c>
      <c r="BM27" s="121">
        <f>SUM(BM28:BM32)</f>
        <v>0</v>
      </c>
      <c r="BN27" s="121">
        <f>VLOOKUP($C27,'1 预算编制表单'!$C:$BJ,33,FALSE)</f>
        <v>12300</v>
      </c>
      <c r="BO27" s="121">
        <f>BN27-BP27</f>
        <v>12300</v>
      </c>
      <c r="BP27" s="121">
        <f>SUM(BP28:BP32)</f>
        <v>0</v>
      </c>
      <c r="BQ27" s="121">
        <f>VLOOKUP($C27,'1 预算编制表单'!$C:$BJ,36,FALSE)</f>
        <v>12300</v>
      </c>
      <c r="BR27" s="121">
        <f>BQ27-BS27</f>
        <v>12300</v>
      </c>
      <c r="BS27" s="121">
        <f>SUM(BS28:BS32)</f>
        <v>0</v>
      </c>
      <c r="BT27" s="121">
        <f>VLOOKUP($C27,'1 预算编制表单'!$C:$BJ,39,FALSE)</f>
        <v>12300</v>
      </c>
      <c r="BU27" s="121">
        <f>BT27-BV27</f>
        <v>12300</v>
      </c>
      <c r="BV27" s="121">
        <f>SUM(BV28:BV32)</f>
        <v>0</v>
      </c>
      <c r="BW27" s="121">
        <f>VLOOKUP($C27,'1 预算编制表单'!$C:$BJ,42,FALSE)</f>
        <v>12300</v>
      </c>
      <c r="BX27" s="121">
        <f>BW27-BY27</f>
        <v>12300</v>
      </c>
      <c r="BY27" s="121">
        <f>SUM(BY28:BY32)</f>
        <v>0</v>
      </c>
      <c r="BZ27" s="121">
        <f>VLOOKUP($C27,'1 预算编制表单'!$C:$BJ,45,FALSE)</f>
        <v>12300</v>
      </c>
      <c r="CA27" s="121">
        <f>BZ27-CB27</f>
        <v>12300</v>
      </c>
      <c r="CB27" s="121">
        <f>SUM(CB28:CB32)</f>
        <v>0</v>
      </c>
      <c r="CC27" s="121">
        <f>VLOOKUP($C27,'1 预算编制表单'!$C:$BJ,48,FALSE)</f>
        <v>12300</v>
      </c>
      <c r="CD27" s="121">
        <f>CC27-CE27</f>
        <v>12300</v>
      </c>
      <c r="CE27" s="121">
        <f>SUM(CE28:CE32)</f>
        <v>0</v>
      </c>
      <c r="CF27" s="121">
        <f>VLOOKUP($C27,'1 预算编制表单'!$C:$BJ,51,FALSE)</f>
        <v>12300</v>
      </c>
      <c r="CG27" s="121">
        <f>CF27-CH27</f>
        <v>12300</v>
      </c>
      <c r="CH27" s="121">
        <f>SUM(CH28:CH32)</f>
        <v>0</v>
      </c>
      <c r="CI27" s="121">
        <f>VLOOKUP($C27,'1 预算编制表单'!$C:$BJ,54,FALSE)</f>
        <v>12300</v>
      </c>
      <c r="CJ27" s="121">
        <f>CI27-CK27</f>
        <v>12300</v>
      </c>
      <c r="CK27" s="121">
        <f>SUM(CK28:CK32)</f>
        <v>0</v>
      </c>
      <c r="CL27" s="121">
        <f>VLOOKUP($C27,'1 预算编制表单'!$C:$BJ,57,FALSE)</f>
        <v>12300</v>
      </c>
      <c r="CM27" s="121">
        <f>CL27-CN27</f>
        <v>12300</v>
      </c>
      <c r="CN27" s="121">
        <f>SUM(CN28:CN32)</f>
        <v>0</v>
      </c>
      <c r="CO27" s="121">
        <f>VLOOKUP($C27,'1 预算编制表单'!$C:$BJ,60,FALSE)</f>
        <v>12300</v>
      </c>
      <c r="CP27" s="121">
        <f>CO27-CQ27</f>
        <v>12300</v>
      </c>
      <c r="CQ27" s="121">
        <f>SUM(CQ28:CQ32)</f>
        <v>0</v>
      </c>
    </row>
    <row r="28" s="83" customFormat="1" ht="24" hidden="1" customHeight="1" outlineLevel="4" spans="1:95">
      <c r="A28" s="122"/>
      <c r="B28" s="123"/>
      <c r="C28" s="124"/>
      <c r="D28" s="122"/>
      <c r="E28" s="123"/>
      <c r="F28" s="123"/>
      <c r="G28" s="123"/>
      <c r="H28" s="125"/>
      <c r="I28" s="125"/>
      <c r="J28" s="125">
        <f t="shared" si="5"/>
        <v>0</v>
      </c>
      <c r="K28" s="125">
        <v>1</v>
      </c>
      <c r="L28" s="150"/>
      <c r="M28" s="151">
        <f>IFERROR(VLOOKUP($L28,'2-2 引出数据_合同数据仓库'!$B$5:$BP$20,3,FALSE),0)</f>
        <v>0</v>
      </c>
      <c r="N28" s="125"/>
      <c r="O28" s="151">
        <f>IFERROR(VLOOKUP((LEFT(VLOOKUP($L28,'2-2 引出数据_合同数据仓库'!$B$5:$BP$20,64,FALSE),15)&amp;(RIGHT(VLOOKUP($L28,'2-2 引出数据_合同数据仓库'!$B$5:$BP$20,64,FALSE),4)+1)),'2-2 引出数据_合同数据仓库'!$B$5:$BP$20,3,FALSE),0)</f>
        <v>0</v>
      </c>
      <c r="P28" s="125"/>
      <c r="Q28" s="125">
        <f>IFERROR(VLOOKUP($L28,'2-2 引出数据_合同数据仓库'!$B$5:$BP$20,28,FALSE),0)</f>
        <v>0</v>
      </c>
      <c r="R28" s="125">
        <f>IFERROR(VLOOKUP($L28,'2-2 引出数据_合同数据仓库'!$B$5:$BP$20,29,FALSE),0)</f>
        <v>0</v>
      </c>
      <c r="S28" s="125">
        <f>IFERROR(VLOOKUP($L28,'2-2 引出数据_合同数据仓库'!$B$5:$BP$20,4,FALSE),0)</f>
        <v>0</v>
      </c>
      <c r="T28" s="125"/>
      <c r="U28" s="125">
        <f>IFERROR(VLOOKUP($L28,'2-2 引出数据_合同数据仓库'!$B$5:$BP$20,15,FALSE),0)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hidden="1"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引出数据_合同数据仓库'!$B$5:$BP$20,3,FALSE),0)</f>
        <v>0</v>
      </c>
      <c r="N29" s="125"/>
      <c r="O29" s="151">
        <f>IFERROR(VLOOKUP((LEFT(VLOOKUP($L29,'2-2 引出数据_合同数据仓库'!$B$5:$BP$20,64,FALSE),15)&amp;(RIGHT(VLOOKUP($L29,'2-2 引出数据_合同数据仓库'!$B$5:$BP$20,64,FALSE),4)+1)),'2-2 引出数据_合同数据仓库'!$B$5:$BP$20,3,FALSE),0)</f>
        <v>0</v>
      </c>
      <c r="P29" s="125"/>
      <c r="Q29" s="125">
        <f>IFERROR(VLOOKUP($L29,'2-2 引出数据_合同数据仓库'!$B$5:$BP$20,28,FALSE),0)</f>
        <v>0</v>
      </c>
      <c r="R29" s="125">
        <f>IFERROR(VLOOKUP($L29,'2-2 引出数据_合同数据仓库'!$B$5:$BP$20,29,FALSE),0)</f>
        <v>0</v>
      </c>
      <c r="S29" s="125">
        <f>IFERROR(VLOOKUP($L29,'2-2 引出数据_合同数据仓库'!$B$5:$BP$20,4,FALSE),0)</f>
        <v>0</v>
      </c>
      <c r="T29" s="125"/>
      <c r="U29" s="125">
        <f>IFERROR(VLOOKUP($L29,'2-2 引出数据_合同数据仓库'!$B$5:$BP$20,15,FALSE),0)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hidden="1"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引出数据_合同数据仓库'!$B$5:$BP$20,3,FALSE),0)</f>
        <v>0</v>
      </c>
      <c r="N30" s="125"/>
      <c r="O30" s="151">
        <f>IFERROR(VLOOKUP((LEFT(VLOOKUP($L30,'2-2 引出数据_合同数据仓库'!$B$5:$BP$20,64,FALSE),15)&amp;(RIGHT(VLOOKUP($L30,'2-2 引出数据_合同数据仓库'!$B$5:$BP$20,64,FALSE),4)+1)),'2-2 引出数据_合同数据仓库'!$B$5:$BP$20,3,FALSE),0)</f>
        <v>0</v>
      </c>
      <c r="P30" s="125"/>
      <c r="Q30" s="125">
        <f>IFERROR(VLOOKUP($L30,'2-2 引出数据_合同数据仓库'!$B$5:$BP$20,28,FALSE),0)</f>
        <v>0</v>
      </c>
      <c r="R30" s="125">
        <f>IFERROR(VLOOKUP($L30,'2-2 引出数据_合同数据仓库'!$B$5:$BP$20,29,FALSE),0)</f>
        <v>0</v>
      </c>
      <c r="S30" s="125">
        <f>IFERROR(VLOOKUP($L30,'2-2 引出数据_合同数据仓库'!$B$5:$BP$20,4,FALSE),0)</f>
        <v>0</v>
      </c>
      <c r="T30" s="125"/>
      <c r="U30" s="125">
        <f>IFERROR(VLOOKUP($L30,'2-2 引出数据_合同数据仓库'!$B$5:$BP$20,15,FALSE),0)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hidden="1"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引出数据_合同数据仓库'!$B$5:$BP$20,3,FALSE),0)</f>
        <v>0</v>
      </c>
      <c r="N31" s="125"/>
      <c r="O31" s="151">
        <f>IFERROR(VLOOKUP((LEFT(VLOOKUP($L31,'2-2 引出数据_合同数据仓库'!$B$5:$BP$20,64,FALSE),15)&amp;(RIGHT(VLOOKUP($L31,'2-2 引出数据_合同数据仓库'!$B$5:$BP$20,64,FALSE),4)+1)),'2-2 引出数据_合同数据仓库'!$B$5:$BP$20,3,FALSE),0)</f>
        <v>0</v>
      </c>
      <c r="P31" s="125"/>
      <c r="Q31" s="125">
        <f>IFERROR(VLOOKUP($L31,'2-2 引出数据_合同数据仓库'!$B$5:$BP$20,28,FALSE),0)</f>
        <v>0</v>
      </c>
      <c r="R31" s="125">
        <f>IFERROR(VLOOKUP($L31,'2-2 引出数据_合同数据仓库'!$B$5:$BP$20,29,FALSE),0)</f>
        <v>0</v>
      </c>
      <c r="S31" s="125">
        <f>IFERROR(VLOOKUP($L31,'2-2 引出数据_合同数据仓库'!$B$5:$BP$20,4,FALSE),0)</f>
        <v>0</v>
      </c>
      <c r="T31" s="125"/>
      <c r="U31" s="125">
        <f>IFERROR(VLOOKUP($L31,'2-2 引出数据_合同数据仓库'!$B$5:$BP$20,15,FALSE),0)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hidden="1" customHeight="1" outlineLevel="4" spans="1:95">
      <c r="A32" s="126" t="s">
        <v>2770</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hidden="1" customHeight="1" outlineLevel="3" collapsed="1" spans="1:95">
      <c r="A33" s="118"/>
      <c r="B33" s="119" t="s">
        <v>747</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hidden="1" customHeight="1" outlineLevel="4" spans="1:95">
      <c r="A34" s="122"/>
      <c r="B34" s="123"/>
      <c r="C34" s="124" t="s">
        <v>810</v>
      </c>
      <c r="D34" s="131" t="s">
        <v>2771</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hidden="1"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引出数据_合同数据仓库'!$B$5:$BP$20,3,FALSE),0)</f>
        <v>0</v>
      </c>
      <c r="N35" s="125"/>
      <c r="O35" s="151">
        <f>IFERROR(VLOOKUP((LEFT(VLOOKUP($L35,'2-2 引出数据_合同数据仓库'!$B$5:$BP$20,64,FALSE),15)&amp;(RIGHT(VLOOKUP($L35,'2-2 引出数据_合同数据仓库'!$B$5:$BP$20,64,FALSE),4)+1)),'2-2 引出数据_合同数据仓库'!$B$5:$BP$20,3,FALSE),0)</f>
        <v>0</v>
      </c>
      <c r="P35" s="125"/>
      <c r="Q35" s="125">
        <f>IFERROR(VLOOKUP($L35,'2-2 引出数据_合同数据仓库'!$B$5:$BP$20,28,FALSE),0)</f>
        <v>0</v>
      </c>
      <c r="R35" s="125">
        <f>IFERROR(VLOOKUP($L35,'2-2 引出数据_合同数据仓库'!$B$5:$BP$20,29,FALSE),0)</f>
        <v>0</v>
      </c>
      <c r="S35" s="125">
        <f>IFERROR(VLOOKUP($L35,'2-2 引出数据_合同数据仓库'!$B$5:$BP$20,4,FALSE),0)</f>
        <v>0</v>
      </c>
      <c r="T35" s="125"/>
      <c r="U35" s="125">
        <f>IFERROR(VLOOKUP($L35,'2-2 引出数据_合同数据仓库'!$B$5:$BP$20,15,FALSE),0)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hidden="1"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引出数据_合同数据仓库'!$B$5:$BP$20,3,FALSE),0)</f>
        <v>0</v>
      </c>
      <c r="N36" s="125"/>
      <c r="O36" s="151">
        <f>IFERROR(VLOOKUP((LEFT(VLOOKUP($L36,'2-2 引出数据_合同数据仓库'!$B$5:$BP$20,64,FALSE),15)&amp;(RIGHT(VLOOKUP($L36,'2-2 引出数据_合同数据仓库'!$B$5:$BP$20,64,FALSE),4)+1)),'2-2 引出数据_合同数据仓库'!$B$5:$BP$20,3,FALSE),0)</f>
        <v>0</v>
      </c>
      <c r="P36" s="125"/>
      <c r="Q36" s="125">
        <f>IFERROR(VLOOKUP($L36,'2-2 引出数据_合同数据仓库'!$B$5:$BP$20,28,FALSE),0)</f>
        <v>0</v>
      </c>
      <c r="R36" s="125">
        <f>IFERROR(VLOOKUP($L36,'2-2 引出数据_合同数据仓库'!$B$5:$BP$20,29,FALSE),0)</f>
        <v>0</v>
      </c>
      <c r="S36" s="125">
        <f>IFERROR(VLOOKUP($L36,'2-2 引出数据_合同数据仓库'!$B$5:$BP$20,4,FALSE),0)</f>
        <v>0</v>
      </c>
      <c r="T36" s="125"/>
      <c r="U36" s="125">
        <f>IFERROR(VLOOKUP($L36,'2-2 引出数据_合同数据仓库'!$B$5:$BP$20,15,FALSE),0)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hidden="1"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引出数据_合同数据仓库'!$B$5:$BP$20,3,FALSE),0)</f>
        <v>0</v>
      </c>
      <c r="N37" s="125"/>
      <c r="O37" s="151">
        <f>IFERROR(VLOOKUP((LEFT(VLOOKUP($L37,'2-2 引出数据_合同数据仓库'!$B$5:$BP$20,64,FALSE),15)&amp;(RIGHT(VLOOKUP($L37,'2-2 引出数据_合同数据仓库'!$B$5:$BP$20,64,FALSE),4)+1)),'2-2 引出数据_合同数据仓库'!$B$5:$BP$20,3,FALSE),0)</f>
        <v>0</v>
      </c>
      <c r="P37" s="125"/>
      <c r="Q37" s="125">
        <f>IFERROR(VLOOKUP($L37,'2-2 引出数据_合同数据仓库'!$B$5:$BP$20,28,FALSE),0)</f>
        <v>0</v>
      </c>
      <c r="R37" s="125">
        <f>IFERROR(VLOOKUP($L37,'2-2 引出数据_合同数据仓库'!$B$5:$BP$20,29,FALSE),0)</f>
        <v>0</v>
      </c>
      <c r="S37" s="125">
        <f>IFERROR(VLOOKUP($L37,'2-2 引出数据_合同数据仓库'!$B$5:$BP$20,4,FALSE),0)</f>
        <v>0</v>
      </c>
      <c r="T37" s="125"/>
      <c r="U37" s="125">
        <f>IFERROR(VLOOKUP($L37,'2-2 引出数据_合同数据仓库'!$B$5:$BP$20,15,FALSE),0)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hidden="1" customHeight="1" outlineLevel="4" spans="1:95">
      <c r="A38" s="126" t="s">
        <v>2770</v>
      </c>
      <c r="B38" s="127"/>
      <c r="C38" s="127"/>
      <c r="D38" s="127"/>
      <c r="E38" s="127"/>
      <c r="F38" s="127"/>
      <c r="G38" s="128"/>
      <c r="H38" s="129"/>
      <c r="I38" s="129"/>
      <c r="J38" s="129"/>
      <c r="K38" s="129"/>
      <c r="L38" s="152"/>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hidden="1" customHeight="1" outlineLevel="3" collapsed="1" spans="1:95">
      <c r="A39" s="118"/>
      <c r="B39" s="119" t="s">
        <v>747</v>
      </c>
      <c r="C39" s="120" t="s">
        <v>819</v>
      </c>
      <c r="D39" s="118" t="s">
        <v>19</v>
      </c>
      <c r="E39" s="119"/>
      <c r="F39" s="119"/>
      <c r="G39" s="119"/>
      <c r="H39" s="121">
        <f>X39+AA39+AD39+AG39+AJ39+AM39+AP39+AS39+AV39+AY39+BB39+BE39</f>
        <v>0</v>
      </c>
      <c r="I39" s="121">
        <f>Y39+AB39+AE39+AH39+AK39+AN39+AQ39+AT39+AW39+AZ39+BC39+BF39</f>
        <v>0</v>
      </c>
      <c r="J39" s="121">
        <f t="shared" si="5"/>
        <v>0</v>
      </c>
      <c r="K39" s="121"/>
      <c r="L39" s="149"/>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hidden="1" customHeight="1" outlineLevel="4" spans="1:95">
      <c r="A40" s="122"/>
      <c r="B40" s="123"/>
      <c r="C40" s="124"/>
      <c r="D40" s="122"/>
      <c r="E40" s="123"/>
      <c r="F40" s="123"/>
      <c r="G40" s="123"/>
      <c r="H40" s="125"/>
      <c r="I40" s="125"/>
      <c r="J40" s="125">
        <f t="shared" si="5"/>
        <v>0</v>
      </c>
      <c r="K40" s="125">
        <v>1</v>
      </c>
      <c r="L40" s="150"/>
      <c r="M40" s="151">
        <f>IFERROR(VLOOKUP($L40,'2-2 引出数据_合同数据仓库'!$B$5:$BP$20,3,FALSE),0)</f>
        <v>0</v>
      </c>
      <c r="N40" s="125"/>
      <c r="O40" s="151">
        <f>IFERROR(VLOOKUP((LEFT(VLOOKUP($L40,'2-2 引出数据_合同数据仓库'!$B$5:$BP$20,64,FALSE),15)&amp;(RIGHT(VLOOKUP($L40,'2-2 引出数据_合同数据仓库'!$B$5:$BP$20,64,FALSE),4)+1)),'2-2 引出数据_合同数据仓库'!$B$5:$BP$20,3,FALSE),0)</f>
        <v>0</v>
      </c>
      <c r="P40" s="125"/>
      <c r="Q40" s="125">
        <f>IFERROR(VLOOKUP($L40,'2-2 引出数据_合同数据仓库'!$B$5:$BP$20,28,FALSE),0)</f>
        <v>0</v>
      </c>
      <c r="R40" s="125">
        <f>IFERROR(VLOOKUP($L40,'2-2 引出数据_合同数据仓库'!$B$5:$BP$20,29,FALSE),0)</f>
        <v>0</v>
      </c>
      <c r="S40" s="125">
        <f>IFERROR(VLOOKUP($L40,'2-2 引出数据_合同数据仓库'!$B$5:$BP$20,4,FALSE),0)</f>
        <v>0</v>
      </c>
      <c r="T40" s="125"/>
      <c r="U40" s="125">
        <f>IFERROR(VLOOKUP($L40,'2-2 引出数据_合同数据仓库'!$B$5:$BP$20,15,FALSE),0)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hidden="1"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引出数据_合同数据仓库'!$B$5:$BP$20,3,FALSE),0)</f>
        <v>0</v>
      </c>
      <c r="N41" s="125"/>
      <c r="O41" s="151">
        <f>IFERROR(VLOOKUP((LEFT(VLOOKUP($L41,'2-2 引出数据_合同数据仓库'!$B$5:$BP$20,64,FALSE),15)&amp;(RIGHT(VLOOKUP($L41,'2-2 引出数据_合同数据仓库'!$B$5:$BP$20,64,FALSE),4)+1)),'2-2 引出数据_合同数据仓库'!$B$5:$BP$20,3,FALSE),0)</f>
        <v>0</v>
      </c>
      <c r="P41" s="125"/>
      <c r="Q41" s="125">
        <f>IFERROR(VLOOKUP($L41,'2-2 引出数据_合同数据仓库'!$B$5:$BP$20,28,FALSE),0)</f>
        <v>0</v>
      </c>
      <c r="R41" s="125">
        <f>IFERROR(VLOOKUP($L41,'2-2 引出数据_合同数据仓库'!$B$5:$BP$20,29,FALSE),0)</f>
        <v>0</v>
      </c>
      <c r="S41" s="125">
        <f>IFERROR(VLOOKUP($L41,'2-2 引出数据_合同数据仓库'!$B$5:$BP$20,4,FALSE),0)</f>
        <v>0</v>
      </c>
      <c r="T41" s="125"/>
      <c r="U41" s="125">
        <f>IFERROR(VLOOKUP($L41,'2-2 引出数据_合同数据仓库'!$B$5:$BP$20,15,FALSE),0)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hidden="1"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引出数据_合同数据仓库'!$B$5:$BP$20,3,FALSE),0)</f>
        <v>0</v>
      </c>
      <c r="N42" s="125"/>
      <c r="O42" s="151">
        <f>IFERROR(VLOOKUP((LEFT(VLOOKUP($L42,'2-2 引出数据_合同数据仓库'!$B$5:$BP$20,64,FALSE),15)&amp;(RIGHT(VLOOKUP($L42,'2-2 引出数据_合同数据仓库'!$B$5:$BP$20,64,FALSE),4)+1)),'2-2 引出数据_合同数据仓库'!$B$5:$BP$20,3,FALSE),0)</f>
        <v>0</v>
      </c>
      <c r="P42" s="125"/>
      <c r="Q42" s="125">
        <f>IFERROR(VLOOKUP($L42,'2-2 引出数据_合同数据仓库'!$B$5:$BP$20,28,FALSE),0)</f>
        <v>0</v>
      </c>
      <c r="R42" s="125">
        <f>IFERROR(VLOOKUP($L42,'2-2 引出数据_合同数据仓库'!$B$5:$BP$20,29,FALSE),0)</f>
        <v>0</v>
      </c>
      <c r="S42" s="125">
        <f>IFERROR(VLOOKUP($L42,'2-2 引出数据_合同数据仓库'!$B$5:$BP$20,4,FALSE),0)</f>
        <v>0</v>
      </c>
      <c r="T42" s="125"/>
      <c r="U42" s="125">
        <f>IFERROR(VLOOKUP($L42,'2-2 引出数据_合同数据仓库'!$B$5:$BP$20,15,FALSE),0)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hidden="1"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引出数据_合同数据仓库'!$B$5:$BP$20,3,FALSE),0)</f>
        <v>0</v>
      </c>
      <c r="N43" s="125"/>
      <c r="O43" s="151">
        <f>IFERROR(VLOOKUP((LEFT(VLOOKUP($L43,'2-2 引出数据_合同数据仓库'!$B$5:$BP$20,64,FALSE),15)&amp;(RIGHT(VLOOKUP($L43,'2-2 引出数据_合同数据仓库'!$B$5:$BP$20,64,FALSE),4)+1)),'2-2 引出数据_合同数据仓库'!$B$5:$BP$20,3,FALSE),0)</f>
        <v>0</v>
      </c>
      <c r="P43" s="125"/>
      <c r="Q43" s="125">
        <f>IFERROR(VLOOKUP($L43,'2-2 引出数据_合同数据仓库'!$B$5:$BP$20,28,FALSE),0)</f>
        <v>0</v>
      </c>
      <c r="R43" s="125">
        <f>IFERROR(VLOOKUP($L43,'2-2 引出数据_合同数据仓库'!$B$5:$BP$20,29,FALSE),0)</f>
        <v>0</v>
      </c>
      <c r="S43" s="125">
        <f>IFERROR(VLOOKUP($L43,'2-2 引出数据_合同数据仓库'!$B$5:$BP$20,4,FALSE),0)</f>
        <v>0</v>
      </c>
      <c r="T43" s="125"/>
      <c r="U43" s="125">
        <f>IFERROR(VLOOKUP($L43,'2-2 引出数据_合同数据仓库'!$B$5:$BP$20,15,FALSE),0)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hidden="1" customHeight="1" outlineLevel="4" spans="1:95">
      <c r="A44" s="126" t="s">
        <v>2770</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24" hidden="1" customHeight="1" outlineLevel="2" collapsed="1" spans="1:95">
      <c r="A45" s="48"/>
      <c r="B45" s="115" t="s">
        <v>742</v>
      </c>
      <c r="C45" s="116" t="s">
        <v>830</v>
      </c>
      <c r="D45" s="48" t="s">
        <v>831</v>
      </c>
      <c r="E45" s="115"/>
      <c r="F45" s="115"/>
      <c r="G45" s="115"/>
      <c r="H45" s="117">
        <f>X45+AA45+AD45+AG45+AJ45+AM45+AP45+AS45+AV45+AY45+BB45+BE45</f>
        <v>347531.08992</v>
      </c>
      <c r="I45" s="117">
        <f>Y45+AB45+AE45+AH45+AK45+AN45+AQ45+AT45+AW45+AZ45+BC45+BF45</f>
        <v>304350.524226569</v>
      </c>
      <c r="J45" s="117">
        <f t="shared" si="5"/>
        <v>43180.5656934307</v>
      </c>
      <c r="K45" s="117"/>
      <c r="L45" s="148"/>
      <c r="M45" s="148"/>
      <c r="N45" s="117"/>
      <c r="O45" s="117"/>
      <c r="P45" s="117"/>
      <c r="Q45" s="117"/>
      <c r="R45" s="117"/>
      <c r="S45" s="117"/>
      <c r="T45" s="117"/>
      <c r="U45" s="117"/>
      <c r="V45" s="117"/>
      <c r="W45" s="117"/>
      <c r="X45" s="117">
        <f>VLOOKUP($C45,'1 预算编制表单'!$C:$BJ,27,FALSE)</f>
        <v>37083.92416</v>
      </c>
      <c r="Y45" s="117">
        <f>X45-Z45</f>
        <v>33416.5336490511</v>
      </c>
      <c r="Z45" s="117">
        <f>Z46+Z52+Z58+Z64</f>
        <v>3667.39051094891</v>
      </c>
      <c r="AA45" s="117">
        <f>VLOOKUP($C45,'1 预算编制表单'!$C:$BJ,30,FALSE)</f>
        <v>26867.92416</v>
      </c>
      <c r="AB45" s="117">
        <f>AA45-AC45</f>
        <v>23555.4424081752</v>
      </c>
      <c r="AC45" s="117">
        <f>AC46+AC52+AC58+AC64</f>
        <v>3312.48175182482</v>
      </c>
      <c r="AD45" s="117">
        <f>VLOOKUP($C45,'1 预算编制表单'!$C:$BJ,33,FALSE)</f>
        <v>29717.92416</v>
      </c>
      <c r="AE45" s="117">
        <f>AD45-AF45</f>
        <v>26050.5336490511</v>
      </c>
      <c r="AF45" s="117">
        <f>AF46+AF52+AF58+AF64</f>
        <v>3667.39051094891</v>
      </c>
      <c r="AG45" s="117">
        <f>VLOOKUP($C45,'1 预算编制表单'!$C:$BJ,36,FALSE)</f>
        <v>26867.92416</v>
      </c>
      <c r="AH45" s="117">
        <f>AG45-AI45</f>
        <v>23318.8365687591</v>
      </c>
      <c r="AI45" s="117">
        <f>AI46+AI52+AI58+AI64</f>
        <v>3549.08759124088</v>
      </c>
      <c r="AJ45" s="117">
        <f>VLOOKUP($C45,'1 预算编制表单'!$C:$BJ,39,FALSE)</f>
        <v>33217.92416</v>
      </c>
      <c r="AK45" s="117">
        <f>AJ45-AL45</f>
        <v>29550.5336490511</v>
      </c>
      <c r="AL45" s="117">
        <f>AL46+AL52+AL58+AL64</f>
        <v>3667.39051094891</v>
      </c>
      <c r="AM45" s="117">
        <f>VLOOKUP($C45,'1 预算编制表单'!$C:$BJ,42,FALSE)</f>
        <v>26267.92416</v>
      </c>
      <c r="AN45" s="117">
        <f>AM45-AO45</f>
        <v>22718.8365687591</v>
      </c>
      <c r="AO45" s="117">
        <f>AO46+AO52+AO58+AO64</f>
        <v>3549.08759124088</v>
      </c>
      <c r="AP45" s="117">
        <f>VLOOKUP($C45,'1 预算编制表单'!$C:$BJ,45,FALSE)</f>
        <v>25567.92416</v>
      </c>
      <c r="AQ45" s="117">
        <f>AP45-AR45</f>
        <v>21900.5336490511</v>
      </c>
      <c r="AR45" s="117">
        <f>AR46+AR52+AR58+AR64</f>
        <v>3667.39051094891</v>
      </c>
      <c r="AS45" s="117">
        <f>VLOOKUP($C45,'1 预算编制表单'!$C:$BJ,48,FALSE)</f>
        <v>29717.92416</v>
      </c>
      <c r="AT45" s="117">
        <f>AS45-AU45</f>
        <v>26050.5336490511</v>
      </c>
      <c r="AU45" s="117">
        <f>AU46+AU52+AU58+AU64</f>
        <v>3667.39051094891</v>
      </c>
      <c r="AV45" s="117">
        <f>VLOOKUP($C45,'1 预算编制表单'!$C:$BJ,51,FALSE)</f>
        <v>31367.92416</v>
      </c>
      <c r="AW45" s="117">
        <f>AV45-AX45</f>
        <v>27818.8365687591</v>
      </c>
      <c r="AX45" s="117">
        <f>AX46+AX52+AX58+AX64</f>
        <v>3549.08759124088</v>
      </c>
      <c r="AY45" s="117">
        <f>VLOOKUP($C45,'1 预算编制表单'!$C:$BJ,54,FALSE)</f>
        <v>29717.92416</v>
      </c>
      <c r="AZ45" s="117">
        <f>AY45-BA45</f>
        <v>26050.5336490511</v>
      </c>
      <c r="BA45" s="117">
        <f>BA46+BA52+BA58+BA64</f>
        <v>3667.39051094891</v>
      </c>
      <c r="BB45" s="117">
        <f>VLOOKUP($C45,'1 预算编制表单'!$C:$BJ,57,FALSE)</f>
        <v>25567.92416</v>
      </c>
      <c r="BC45" s="117">
        <f>BB45-BD45</f>
        <v>22018.8365687591</v>
      </c>
      <c r="BD45" s="117">
        <f>BD46+BD52+BD58+BD64</f>
        <v>3549.08759124088</v>
      </c>
      <c r="BE45" s="117">
        <f>VLOOKUP($C45,'1 预算编制表单'!$C:$BJ,60,FALSE)</f>
        <v>25567.92416</v>
      </c>
      <c r="BF45" s="117">
        <f>BE45-BG45</f>
        <v>21900.5336490511</v>
      </c>
      <c r="BG45" s="117">
        <f>BG46+BG52+BG58+BG64</f>
        <v>3667.39051094891</v>
      </c>
      <c r="BH45" s="117">
        <f>VLOOKUP($C45,'1 预算编制表单'!$C:$BJ,27,FALSE)</f>
        <v>37083.92416</v>
      </c>
      <c r="BI45" s="117">
        <f>BH45-BJ45</f>
        <v>37083.92416</v>
      </c>
      <c r="BJ45" s="117">
        <f>BJ46+BJ52+BJ58+BJ64</f>
        <v>0</v>
      </c>
      <c r="BK45" s="117">
        <f>VLOOKUP($C45,'1 预算编制表单'!$C:$BJ,30,FALSE)</f>
        <v>26867.92416</v>
      </c>
      <c r="BL45" s="117">
        <f>BK45-BM45</f>
        <v>26867.92416</v>
      </c>
      <c r="BM45" s="117">
        <f>BM46+BM52+BM58+BM64</f>
        <v>0</v>
      </c>
      <c r="BN45" s="117">
        <f>VLOOKUP($C45,'1 预算编制表单'!$C:$BJ,33,FALSE)</f>
        <v>29717.92416</v>
      </c>
      <c r="BO45" s="117">
        <f>BN45-BP45</f>
        <v>29717.92416</v>
      </c>
      <c r="BP45" s="117">
        <f>BP46+BP52+BP58+BP64</f>
        <v>0</v>
      </c>
      <c r="BQ45" s="117">
        <f>VLOOKUP($C45,'1 预算编制表单'!$C:$BJ,36,FALSE)</f>
        <v>26867.92416</v>
      </c>
      <c r="BR45" s="117">
        <f>BQ45-BS45</f>
        <v>26867.92416</v>
      </c>
      <c r="BS45" s="117">
        <f>BS46+BS52+BS58+BS64</f>
        <v>0</v>
      </c>
      <c r="BT45" s="117">
        <f>VLOOKUP($C45,'1 预算编制表单'!$C:$BJ,39,FALSE)</f>
        <v>33217.92416</v>
      </c>
      <c r="BU45" s="117">
        <f>BT45-BV45</f>
        <v>33217.92416</v>
      </c>
      <c r="BV45" s="117">
        <f>BV46+BV52+BV58+BV64</f>
        <v>0</v>
      </c>
      <c r="BW45" s="117">
        <f>VLOOKUP($C45,'1 预算编制表单'!$C:$BJ,42,FALSE)</f>
        <v>26267.92416</v>
      </c>
      <c r="BX45" s="117">
        <f>BW45-BY45</f>
        <v>26267.92416</v>
      </c>
      <c r="BY45" s="117">
        <f>BY46+BY52+BY58+BY64</f>
        <v>0</v>
      </c>
      <c r="BZ45" s="117">
        <f>VLOOKUP($C45,'1 预算编制表单'!$C:$BJ,45,FALSE)</f>
        <v>25567.92416</v>
      </c>
      <c r="CA45" s="117">
        <f>BZ45-CB45</f>
        <v>25567.92416</v>
      </c>
      <c r="CB45" s="117">
        <f>CB46+CB52+CB58+CB64</f>
        <v>0</v>
      </c>
      <c r="CC45" s="117">
        <f>VLOOKUP($C45,'1 预算编制表单'!$C:$BJ,48,FALSE)</f>
        <v>29717.92416</v>
      </c>
      <c r="CD45" s="117">
        <f>CC45-CE45</f>
        <v>29717.92416</v>
      </c>
      <c r="CE45" s="117">
        <f>CE46+CE52+CE58+CE64</f>
        <v>0</v>
      </c>
      <c r="CF45" s="117">
        <f>VLOOKUP($C45,'1 预算编制表单'!$C:$BJ,51,FALSE)</f>
        <v>31367.92416</v>
      </c>
      <c r="CG45" s="117">
        <f>CF45-CH45</f>
        <v>31367.92416</v>
      </c>
      <c r="CH45" s="117">
        <f>CH46+CH52+CH58+CH64</f>
        <v>0</v>
      </c>
      <c r="CI45" s="117">
        <f>VLOOKUP($C45,'1 预算编制表单'!$C:$BJ,54,FALSE)</f>
        <v>29717.92416</v>
      </c>
      <c r="CJ45" s="117">
        <f>CI45-CK45</f>
        <v>29717.92416</v>
      </c>
      <c r="CK45" s="117">
        <f>CK46+CK52+CK58+CK64</f>
        <v>0</v>
      </c>
      <c r="CL45" s="117">
        <f>VLOOKUP($C45,'1 预算编制表单'!$C:$BJ,57,FALSE)</f>
        <v>25567.92416</v>
      </c>
      <c r="CM45" s="117">
        <f>CL45-CN45</f>
        <v>25567.92416</v>
      </c>
      <c r="CN45" s="117">
        <f>CN46+CN52+CN58+CN64</f>
        <v>0</v>
      </c>
      <c r="CO45" s="117">
        <f>VLOOKUP($C45,'1 预算编制表单'!$C:$BJ,60,FALSE)</f>
        <v>25567.92416</v>
      </c>
      <c r="CP45" s="117">
        <f>CO45-CQ45</f>
        <v>25567.92416</v>
      </c>
      <c r="CQ45" s="117">
        <f>CQ46+CQ52+CQ58+CQ64</f>
        <v>0</v>
      </c>
    </row>
    <row r="46" s="83" customFormat="1" ht="24" hidden="1" customHeight="1" outlineLevel="3" collapsed="1" spans="1:95">
      <c r="A46" s="118"/>
      <c r="B46" s="119" t="s">
        <v>747</v>
      </c>
      <c r="C46" s="120" t="s">
        <v>115</v>
      </c>
      <c r="D46" s="118" t="s">
        <v>109</v>
      </c>
      <c r="E46" s="119"/>
      <c r="F46" s="119"/>
      <c r="G46" s="119"/>
      <c r="H46" s="121">
        <f>X46+AA46+AD46+AG46+AJ46+AM46+AP46+AS46+AV46+AY46+BB46+BE46</f>
        <v>121116</v>
      </c>
      <c r="I46" s="121">
        <f>Y46+AB46+AE46+AH46+AK46+AN46+AQ46+AT46+AW46+AZ46+BC46+BF46</f>
        <v>121116</v>
      </c>
      <c r="J46" s="121">
        <f t="shared" si="5"/>
        <v>0</v>
      </c>
      <c r="K46" s="121"/>
      <c r="L46" s="149"/>
      <c r="M46" s="149"/>
      <c r="N46" s="121"/>
      <c r="O46" s="121"/>
      <c r="P46" s="121"/>
      <c r="Q46" s="121"/>
      <c r="R46" s="121"/>
      <c r="S46" s="121"/>
      <c r="T46" s="121"/>
      <c r="U46" s="121"/>
      <c r="V46" s="121"/>
      <c r="W46" s="121"/>
      <c r="X46" s="121">
        <f>VLOOKUP($C46,'1 预算编制表单'!$C:$BJ,27,FALSE)</f>
        <v>18216</v>
      </c>
      <c r="Y46" s="121">
        <f>X46-Z46</f>
        <v>18216</v>
      </c>
      <c r="Z46" s="121">
        <f>SUM(Z47:Z51)</f>
        <v>0</v>
      </c>
      <c r="AA46" s="121">
        <f>VLOOKUP($C46,'1 预算编制表单'!$C:$BJ,30,FALSE)</f>
        <v>8000</v>
      </c>
      <c r="AB46" s="121">
        <f>AA46-AC46</f>
        <v>8000</v>
      </c>
      <c r="AC46" s="121">
        <f>SUM(AC47:AC51)</f>
        <v>0</v>
      </c>
      <c r="AD46" s="121">
        <f>VLOOKUP($C46,'1 预算编制表单'!$C:$BJ,33,FALSE)</f>
        <v>10850</v>
      </c>
      <c r="AE46" s="121">
        <f>AD46-AF46</f>
        <v>10850</v>
      </c>
      <c r="AF46" s="121">
        <f>SUM(AF47:AF51)</f>
        <v>0</v>
      </c>
      <c r="AG46" s="121">
        <f>VLOOKUP($C46,'1 预算编制表单'!$C:$BJ,36,FALSE)</f>
        <v>8000</v>
      </c>
      <c r="AH46" s="121">
        <f>AG46-AI46</f>
        <v>8000</v>
      </c>
      <c r="AI46" s="121">
        <f>SUM(AI47:AI51)</f>
        <v>0</v>
      </c>
      <c r="AJ46" s="121">
        <f>VLOOKUP($C46,'1 预算编制表单'!$C:$BJ,39,FALSE)</f>
        <v>14350</v>
      </c>
      <c r="AK46" s="121">
        <f>AJ46-AL46</f>
        <v>14350</v>
      </c>
      <c r="AL46" s="121">
        <f>SUM(AL47:AL51)</f>
        <v>0</v>
      </c>
      <c r="AM46" s="121">
        <f>VLOOKUP($C46,'1 预算编制表单'!$C:$BJ,42,FALSE)</f>
        <v>7400</v>
      </c>
      <c r="AN46" s="121">
        <f>AM46-AO46</f>
        <v>7400</v>
      </c>
      <c r="AO46" s="121">
        <f>SUM(AO47:AO51)</f>
        <v>0</v>
      </c>
      <c r="AP46" s="121">
        <f>VLOOKUP($C46,'1 预算编制表单'!$C:$BJ,45,FALSE)</f>
        <v>6700</v>
      </c>
      <c r="AQ46" s="121">
        <f>AP46-AR46</f>
        <v>6700</v>
      </c>
      <c r="AR46" s="121">
        <f>SUM(AR47:AR51)</f>
        <v>0</v>
      </c>
      <c r="AS46" s="121">
        <f>VLOOKUP($C46,'1 预算编制表单'!$C:$BJ,48,FALSE)</f>
        <v>10850</v>
      </c>
      <c r="AT46" s="121">
        <f>AS46-AU46</f>
        <v>10850</v>
      </c>
      <c r="AU46" s="121">
        <f>SUM(AU47:AU51)</f>
        <v>0</v>
      </c>
      <c r="AV46" s="121">
        <f>VLOOKUP($C46,'1 预算编制表单'!$C:$BJ,51,FALSE)</f>
        <v>12500</v>
      </c>
      <c r="AW46" s="121">
        <f>AV46-AX46</f>
        <v>12500</v>
      </c>
      <c r="AX46" s="121">
        <f>SUM(AX47:AX51)</f>
        <v>0</v>
      </c>
      <c r="AY46" s="121">
        <f>VLOOKUP($C46,'1 预算编制表单'!$C:$BJ,54,FALSE)</f>
        <v>10850</v>
      </c>
      <c r="AZ46" s="121">
        <f>AY46-BA46</f>
        <v>10850</v>
      </c>
      <c r="BA46" s="121">
        <f>SUM(BA47:BA51)</f>
        <v>0</v>
      </c>
      <c r="BB46" s="121">
        <f>VLOOKUP($C46,'1 预算编制表单'!$C:$BJ,57,FALSE)</f>
        <v>6700</v>
      </c>
      <c r="BC46" s="121">
        <f>BB46-BD46</f>
        <v>6700</v>
      </c>
      <c r="BD46" s="121">
        <f>SUM(BD47:BD51)</f>
        <v>0</v>
      </c>
      <c r="BE46" s="121">
        <f>VLOOKUP($C46,'1 预算编制表单'!$C:$BJ,60,FALSE)</f>
        <v>6700</v>
      </c>
      <c r="BF46" s="121">
        <f>BE46-BG46</f>
        <v>6700</v>
      </c>
      <c r="BG46" s="121">
        <f>SUM(BG47:BG51)</f>
        <v>0</v>
      </c>
      <c r="BH46" s="121">
        <f>VLOOKUP($C46,'1 预算编制表单'!$C:$BJ,27,FALSE)</f>
        <v>18216</v>
      </c>
      <c r="BI46" s="121">
        <f>BH46-BJ46</f>
        <v>18216</v>
      </c>
      <c r="BJ46" s="121">
        <f>SUM(BJ47:BJ51)</f>
        <v>0</v>
      </c>
      <c r="BK46" s="121">
        <f>VLOOKUP($C46,'1 预算编制表单'!$C:$BJ,30,FALSE)</f>
        <v>8000</v>
      </c>
      <c r="BL46" s="121">
        <f>BK46-BM46</f>
        <v>8000</v>
      </c>
      <c r="BM46" s="121">
        <f>SUM(BM47:BM51)</f>
        <v>0</v>
      </c>
      <c r="BN46" s="121">
        <f>VLOOKUP($C46,'1 预算编制表单'!$C:$BJ,33,FALSE)</f>
        <v>10850</v>
      </c>
      <c r="BO46" s="121">
        <f>BN46-BP46</f>
        <v>10850</v>
      </c>
      <c r="BP46" s="121">
        <f>SUM(BP47:BP51)</f>
        <v>0</v>
      </c>
      <c r="BQ46" s="121">
        <f>VLOOKUP($C46,'1 预算编制表单'!$C:$BJ,36,FALSE)</f>
        <v>8000</v>
      </c>
      <c r="BR46" s="121">
        <f>BQ46-BS46</f>
        <v>8000</v>
      </c>
      <c r="BS46" s="121">
        <f>SUM(BS47:BS51)</f>
        <v>0</v>
      </c>
      <c r="BT46" s="121">
        <f>VLOOKUP($C46,'1 预算编制表单'!$C:$BJ,39,FALSE)</f>
        <v>14350</v>
      </c>
      <c r="BU46" s="121">
        <f>BT46-BV46</f>
        <v>14350</v>
      </c>
      <c r="BV46" s="121">
        <f>SUM(BV47:BV51)</f>
        <v>0</v>
      </c>
      <c r="BW46" s="121">
        <f>VLOOKUP($C46,'1 预算编制表单'!$C:$BJ,42,FALSE)</f>
        <v>7400</v>
      </c>
      <c r="BX46" s="121">
        <f>BW46-BY46</f>
        <v>7400</v>
      </c>
      <c r="BY46" s="121">
        <f>SUM(BY47:BY51)</f>
        <v>0</v>
      </c>
      <c r="BZ46" s="121">
        <f>VLOOKUP($C46,'1 预算编制表单'!$C:$BJ,45,FALSE)</f>
        <v>6700</v>
      </c>
      <c r="CA46" s="121">
        <f>BZ46-CB46</f>
        <v>6700</v>
      </c>
      <c r="CB46" s="121">
        <f>SUM(CB47:CB51)</f>
        <v>0</v>
      </c>
      <c r="CC46" s="121">
        <f>VLOOKUP($C46,'1 预算编制表单'!$C:$BJ,48,FALSE)</f>
        <v>10850</v>
      </c>
      <c r="CD46" s="121">
        <f>CC46-CE46</f>
        <v>10850</v>
      </c>
      <c r="CE46" s="121">
        <f>SUM(CE47:CE51)</f>
        <v>0</v>
      </c>
      <c r="CF46" s="121">
        <f>VLOOKUP($C46,'1 预算编制表单'!$C:$BJ,51,FALSE)</f>
        <v>12500</v>
      </c>
      <c r="CG46" s="121">
        <f>CF46-CH46</f>
        <v>12500</v>
      </c>
      <c r="CH46" s="121">
        <f>SUM(CH47:CH51)</f>
        <v>0</v>
      </c>
      <c r="CI46" s="121">
        <f>VLOOKUP($C46,'1 预算编制表单'!$C:$BJ,54,FALSE)</f>
        <v>10850</v>
      </c>
      <c r="CJ46" s="121">
        <f>CI46-CK46</f>
        <v>10850</v>
      </c>
      <c r="CK46" s="121">
        <f>SUM(CK47:CK51)</f>
        <v>0</v>
      </c>
      <c r="CL46" s="121">
        <f>VLOOKUP($C46,'1 预算编制表单'!$C:$BJ,57,FALSE)</f>
        <v>6700</v>
      </c>
      <c r="CM46" s="121">
        <f>CL46-CN46</f>
        <v>6700</v>
      </c>
      <c r="CN46" s="121">
        <f>SUM(CN47:CN51)</f>
        <v>0</v>
      </c>
      <c r="CO46" s="121">
        <f>VLOOKUP($C46,'1 预算编制表单'!$C:$BJ,60,FALSE)</f>
        <v>6700</v>
      </c>
      <c r="CP46" s="121">
        <f>CO46-CQ46</f>
        <v>6700</v>
      </c>
      <c r="CQ46" s="121">
        <f>SUM(CQ47:CQ51)</f>
        <v>0</v>
      </c>
    </row>
    <row r="47" s="83" customFormat="1" ht="24" hidden="1" customHeight="1" outlineLevel="4" spans="1:95">
      <c r="A47" s="122"/>
      <c r="B47" s="123"/>
      <c r="C47" s="124"/>
      <c r="D47" s="122"/>
      <c r="E47" s="123"/>
      <c r="F47" s="123"/>
      <c r="G47" s="123"/>
      <c r="H47" s="125"/>
      <c r="I47" s="125"/>
      <c r="J47" s="125">
        <f t="shared" si="5"/>
        <v>0</v>
      </c>
      <c r="K47" s="125">
        <v>1</v>
      </c>
      <c r="L47" s="150"/>
      <c r="M47" s="151">
        <f>IFERROR(VLOOKUP($L47,'2-2 引出数据_合同数据仓库'!$B$5:$BP$20,3,FALSE),0)</f>
        <v>0</v>
      </c>
      <c r="N47" s="125"/>
      <c r="O47" s="151">
        <f>IFERROR(VLOOKUP((LEFT(VLOOKUP($L47,'2-2 引出数据_合同数据仓库'!$B$5:$BP$20,64,FALSE),15)&amp;(RIGHT(VLOOKUP($L47,'2-2 引出数据_合同数据仓库'!$B$5:$BP$20,64,FALSE),4)+1)),'2-2 引出数据_合同数据仓库'!$B$5:$BP$20,3,FALSE),0)</f>
        <v>0</v>
      </c>
      <c r="P47" s="125"/>
      <c r="Q47" s="125">
        <f>IFERROR(VLOOKUP($L47,'2-2 引出数据_合同数据仓库'!$B$5:$BP$20,28,FALSE),0)</f>
        <v>0</v>
      </c>
      <c r="R47" s="125">
        <f>IFERROR(VLOOKUP($L47,'2-2 引出数据_合同数据仓库'!$B$5:$BP$20,29,FALSE),0)</f>
        <v>0</v>
      </c>
      <c r="S47" s="125">
        <f>IFERROR(VLOOKUP($L47,'2-2 引出数据_合同数据仓库'!$B$5:$BP$20,4,FALSE),0)</f>
        <v>0</v>
      </c>
      <c r="T47" s="125"/>
      <c r="U47" s="125">
        <f>IFERROR(VLOOKUP($L47,'2-2 引出数据_合同数据仓库'!$B$5:$BP$20,15,FALSE),0)</f>
        <v>0</v>
      </c>
      <c r="V47" s="125">
        <f t="shared" ref="V47:V50" si="491">U47/(S47-R47+1)*365</f>
        <v>0</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0</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0</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0</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0</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0</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0</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0</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0</v>
      </c>
      <c r="BH47" s="157">
        <v>46023</v>
      </c>
      <c r="BI47" s="157">
        <f t="shared" ref="BI47:BI50" si="527">BH47+30</f>
        <v>46053</v>
      </c>
      <c r="BJ47" s="161">
        <f t="shared" ref="BJ47:BJ50" si="528">IFERROR(IF(($R47-BI47)&gt;=0,0,IF(($S47-BH47)&lt;0,0,IF(AND(($S47-BI47)&gt;0,(BH47-$R47)&gt;0),$V47/365*(BI47-BH47+1),IF(AND(($S47-BI47)&lt;=0,(BH47-$R47)&gt;0),$V47/365*($S47-BH47+1),$V47/365*(BI47-$R47+1))))),0)</f>
        <v>0</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0</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0</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0</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hidden="1" customHeight="1" outlineLevel="4" spans="1:95">
      <c r="A48" s="122"/>
      <c r="B48" s="123"/>
      <c r="C48" s="124"/>
      <c r="D48" s="122"/>
      <c r="E48" s="123"/>
      <c r="F48" s="123"/>
      <c r="G48" s="123"/>
      <c r="H48" s="125"/>
      <c r="I48" s="125"/>
      <c r="J48" s="125">
        <f t="shared" si="5"/>
        <v>0</v>
      </c>
      <c r="K48" s="125">
        <f t="shared" ref="K48:K50" si="562">K47+1</f>
        <v>2</v>
      </c>
      <c r="L48" s="150"/>
      <c r="M48" s="151">
        <f>IFERROR(VLOOKUP($L48,'2-2 引出数据_合同数据仓库'!$B$5:$BP$20,3,FALSE),0)</f>
        <v>0</v>
      </c>
      <c r="N48" s="125"/>
      <c r="O48" s="151">
        <f>IFERROR(VLOOKUP((LEFT(VLOOKUP($L48,'2-2 引出数据_合同数据仓库'!$B$5:$BP$20,64,FALSE),15)&amp;(RIGHT(VLOOKUP($L48,'2-2 引出数据_合同数据仓库'!$B$5:$BP$20,64,FALSE),4)+1)),'2-2 引出数据_合同数据仓库'!$B$5:$BP$20,3,FALSE),0)</f>
        <v>0</v>
      </c>
      <c r="P48" s="125"/>
      <c r="Q48" s="125">
        <f>IFERROR(VLOOKUP($L48,'2-2 引出数据_合同数据仓库'!$B$5:$BP$20,28,FALSE),0)</f>
        <v>0</v>
      </c>
      <c r="R48" s="125">
        <f>IFERROR(VLOOKUP($L48,'2-2 引出数据_合同数据仓库'!$B$5:$BP$20,29,FALSE),0)</f>
        <v>0</v>
      </c>
      <c r="S48" s="125">
        <f>IFERROR(VLOOKUP($L48,'2-2 引出数据_合同数据仓库'!$B$5:$BP$20,4,FALSE),0)</f>
        <v>0</v>
      </c>
      <c r="T48" s="125"/>
      <c r="U48" s="125">
        <f>IFERROR(VLOOKUP($L48,'2-2 引出数据_合同数据仓库'!$B$5:$BP$20,15,FALSE),0)</f>
        <v>0</v>
      </c>
      <c r="V48" s="125">
        <f t="shared" si="491"/>
        <v>0</v>
      </c>
      <c r="W48" s="125"/>
      <c r="X48" s="157">
        <v>45658</v>
      </c>
      <c r="Y48" s="157">
        <f t="shared" si="492"/>
        <v>45688</v>
      </c>
      <c r="Z48" s="161">
        <f t="shared" si="493"/>
        <v>0</v>
      </c>
      <c r="AA48" s="157">
        <f t="shared" si="494"/>
        <v>45689</v>
      </c>
      <c r="AB48" s="157">
        <f t="shared" si="495"/>
        <v>45716</v>
      </c>
      <c r="AC48" s="161">
        <f t="shared" si="496"/>
        <v>0</v>
      </c>
      <c r="AD48" s="157">
        <f t="shared" si="497"/>
        <v>45717</v>
      </c>
      <c r="AE48" s="157">
        <f t="shared" si="498"/>
        <v>45747</v>
      </c>
      <c r="AF48" s="161">
        <f t="shared" si="499"/>
        <v>0</v>
      </c>
      <c r="AG48" s="157">
        <f t="shared" si="500"/>
        <v>45748</v>
      </c>
      <c r="AH48" s="157">
        <f t="shared" si="501"/>
        <v>45777</v>
      </c>
      <c r="AI48" s="161">
        <f t="shared" si="502"/>
        <v>0</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hidden="1" customHeight="1" outlineLevel="4" spans="1:95">
      <c r="A49" s="122"/>
      <c r="B49" s="123"/>
      <c r="C49" s="124"/>
      <c r="D49" s="122"/>
      <c r="E49" s="123"/>
      <c r="F49" s="123"/>
      <c r="G49" s="123"/>
      <c r="H49" s="125"/>
      <c r="I49" s="125"/>
      <c r="J49" s="125">
        <f t="shared" si="5"/>
        <v>0</v>
      </c>
      <c r="K49" s="125">
        <f t="shared" si="562"/>
        <v>3</v>
      </c>
      <c r="L49" s="150"/>
      <c r="M49" s="151">
        <f>IFERROR(VLOOKUP($L49,'2-2 引出数据_合同数据仓库'!$B$5:$BP$20,3,FALSE),0)</f>
        <v>0</v>
      </c>
      <c r="N49" s="125"/>
      <c r="O49" s="151">
        <f>IFERROR(VLOOKUP((LEFT(VLOOKUP($L49,'2-2 引出数据_合同数据仓库'!$B$5:$BP$20,64,FALSE),15)&amp;(RIGHT(VLOOKUP($L49,'2-2 引出数据_合同数据仓库'!$B$5:$BP$20,64,FALSE),4)+1)),'2-2 引出数据_合同数据仓库'!$B$5:$BP$20,3,FALSE),0)</f>
        <v>0</v>
      </c>
      <c r="P49" s="125"/>
      <c r="Q49" s="125">
        <f>IFERROR(VLOOKUP($L49,'2-2 引出数据_合同数据仓库'!$B$5:$BP$20,28,FALSE),0)</f>
        <v>0</v>
      </c>
      <c r="R49" s="125">
        <f>IFERROR(VLOOKUP($L49,'2-2 引出数据_合同数据仓库'!$B$5:$BP$20,29,FALSE),0)</f>
        <v>0</v>
      </c>
      <c r="S49" s="125">
        <f>IFERROR(VLOOKUP($L49,'2-2 引出数据_合同数据仓库'!$B$5:$BP$20,4,FALSE),0)</f>
        <v>0</v>
      </c>
      <c r="T49" s="125"/>
      <c r="U49" s="125">
        <f>IFERROR(VLOOKUP($L49,'2-2 引出数据_合同数据仓库'!$B$5:$BP$20,15,FALSE),0)</f>
        <v>0</v>
      </c>
      <c r="V49" s="125">
        <f t="shared" si="491"/>
        <v>0</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hidden="1"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引出数据_合同数据仓库'!$B$5:$BP$20,3,FALSE),0)</f>
        <v>0</v>
      </c>
      <c r="N50" s="125"/>
      <c r="O50" s="151">
        <f>IFERROR(VLOOKUP((LEFT(VLOOKUP($L50,'2-2 引出数据_合同数据仓库'!$B$5:$BP$20,64,FALSE),15)&amp;(RIGHT(VLOOKUP($L50,'2-2 引出数据_合同数据仓库'!$B$5:$BP$20,64,FALSE),4)+1)),'2-2 引出数据_合同数据仓库'!$B$5:$BP$20,3,FALSE),0)</f>
        <v>0</v>
      </c>
      <c r="P50" s="125"/>
      <c r="Q50" s="125">
        <f>IFERROR(VLOOKUP($L50,'2-2 引出数据_合同数据仓库'!$B$5:$BP$20,28,FALSE),0)</f>
        <v>0</v>
      </c>
      <c r="R50" s="125">
        <f>IFERROR(VLOOKUP($L50,'2-2 引出数据_合同数据仓库'!$B$5:$BP$20,29,FALSE),0)</f>
        <v>0</v>
      </c>
      <c r="S50" s="125">
        <f>IFERROR(VLOOKUP($L50,'2-2 引出数据_合同数据仓库'!$B$5:$BP$20,4,FALSE),0)</f>
        <v>0</v>
      </c>
      <c r="T50" s="125"/>
      <c r="U50" s="125">
        <f>IFERROR(VLOOKUP($L50,'2-2 引出数据_合同数据仓库'!$B$5:$BP$20,15,FALSE),0)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hidden="1" customHeight="1" outlineLevel="4" spans="1:95">
      <c r="A51" s="126" t="s">
        <v>2770</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hidden="1" customHeight="1" outlineLevel="3" collapsed="1" spans="1:95">
      <c r="A52" s="118"/>
      <c r="B52" s="119" t="s">
        <v>747</v>
      </c>
      <c r="C52" s="120" t="s">
        <v>70</v>
      </c>
      <c r="D52" s="118" t="s">
        <v>68</v>
      </c>
      <c r="E52" s="119"/>
      <c r="F52" s="119"/>
      <c r="G52" s="119"/>
      <c r="H52" s="121">
        <f>X52+AA52+AD52+AG52+AJ52+AM52+AP52+AS52+AV52+AY52+BB52+BE52</f>
        <v>0</v>
      </c>
      <c r="I52" s="121">
        <f>Y52+AB52+AE52+AH52+AK52+AN52+AQ52+AT52+AW52+AZ52+BC52+BF52</f>
        <v>0</v>
      </c>
      <c r="J52" s="121">
        <f t="shared" si="5"/>
        <v>0</v>
      </c>
      <c r="K52" s="121"/>
      <c r="L52" s="149"/>
      <c r="M52" s="149"/>
      <c r="N52" s="121"/>
      <c r="O52" s="121"/>
      <c r="P52" s="121"/>
      <c r="Q52" s="121"/>
      <c r="R52" s="121"/>
      <c r="S52" s="121"/>
      <c r="T52" s="121"/>
      <c r="U52" s="121"/>
      <c r="V52" s="121"/>
      <c r="W52" s="121"/>
      <c r="X52" s="121">
        <f>VLOOKUP($C52,'1 预算编制表单'!$C:$BJ,27,FALSE)</f>
        <v>0</v>
      </c>
      <c r="Y52" s="121">
        <f>X52-Z52</f>
        <v>0</v>
      </c>
      <c r="Z52" s="121">
        <f>SUM(Z53:Z57)</f>
        <v>0</v>
      </c>
      <c r="AA52" s="121">
        <f>VLOOKUP($C52,'1 预算编制表单'!$C:$BJ,30,FALSE)</f>
        <v>0</v>
      </c>
      <c r="AB52" s="121">
        <f>AA52-AC52</f>
        <v>0</v>
      </c>
      <c r="AC52" s="121">
        <f>SUM(AC53:AC57)</f>
        <v>0</v>
      </c>
      <c r="AD52" s="121">
        <f>VLOOKUP($C52,'1 预算编制表单'!$C:$BJ,33,FALSE)</f>
        <v>0</v>
      </c>
      <c r="AE52" s="121">
        <f>AD52-AF52</f>
        <v>0</v>
      </c>
      <c r="AF52" s="121">
        <f>SUM(AF53:AF57)</f>
        <v>0</v>
      </c>
      <c r="AG52" s="121">
        <f>VLOOKUP($C52,'1 预算编制表单'!$C:$BJ,36,FALSE)</f>
        <v>0</v>
      </c>
      <c r="AH52" s="121">
        <f>AG52-AI52</f>
        <v>0</v>
      </c>
      <c r="AI52" s="121">
        <f>SUM(AI53:AI57)</f>
        <v>0</v>
      </c>
      <c r="AJ52" s="121">
        <f>VLOOKUP($C52,'1 预算编制表单'!$C:$BJ,39,FALSE)</f>
        <v>0</v>
      </c>
      <c r="AK52" s="121">
        <f>AJ52-AL52</f>
        <v>0</v>
      </c>
      <c r="AL52" s="121">
        <f>SUM(AL53:AL57)</f>
        <v>0</v>
      </c>
      <c r="AM52" s="121">
        <f>VLOOKUP($C52,'1 预算编制表单'!$C:$BJ,42,FALSE)</f>
        <v>0</v>
      </c>
      <c r="AN52" s="121">
        <f>AM52-AO52</f>
        <v>0</v>
      </c>
      <c r="AO52" s="121">
        <f>SUM(AO53:AO57)</f>
        <v>0</v>
      </c>
      <c r="AP52" s="121">
        <f>VLOOKUP($C52,'1 预算编制表单'!$C:$BJ,45,FALSE)</f>
        <v>0</v>
      </c>
      <c r="AQ52" s="121">
        <f>AP52-AR52</f>
        <v>0</v>
      </c>
      <c r="AR52" s="121">
        <f>SUM(AR53:AR57)</f>
        <v>0</v>
      </c>
      <c r="AS52" s="121">
        <f>VLOOKUP($C52,'1 预算编制表单'!$C:$BJ,48,FALSE)</f>
        <v>0</v>
      </c>
      <c r="AT52" s="121">
        <f>AS52-AU52</f>
        <v>0</v>
      </c>
      <c r="AU52" s="121">
        <f>SUM(AU53:AU57)</f>
        <v>0</v>
      </c>
      <c r="AV52" s="121">
        <f>VLOOKUP($C52,'1 预算编制表单'!$C:$BJ,51,FALSE)</f>
        <v>0</v>
      </c>
      <c r="AW52" s="121">
        <f>AV52-AX52</f>
        <v>0</v>
      </c>
      <c r="AX52" s="121">
        <f>SUM(AX53:AX57)</f>
        <v>0</v>
      </c>
      <c r="AY52" s="121">
        <f>VLOOKUP($C52,'1 预算编制表单'!$C:$BJ,54,FALSE)</f>
        <v>0</v>
      </c>
      <c r="AZ52" s="121">
        <f>AY52-BA52</f>
        <v>0</v>
      </c>
      <c r="BA52" s="121">
        <f>SUM(BA53:BA57)</f>
        <v>0</v>
      </c>
      <c r="BB52" s="121">
        <f>VLOOKUP($C52,'1 预算编制表单'!$C:$BJ,57,FALSE)</f>
        <v>0</v>
      </c>
      <c r="BC52" s="121">
        <f>BB52-BD52</f>
        <v>0</v>
      </c>
      <c r="BD52" s="121">
        <f>SUM(BD53:BD57)</f>
        <v>0</v>
      </c>
      <c r="BE52" s="121">
        <f>VLOOKUP($C52,'1 预算编制表单'!$C:$BJ,60,FALSE)</f>
        <v>0</v>
      </c>
      <c r="BF52" s="121">
        <f>BE52-BG52</f>
        <v>0</v>
      </c>
      <c r="BG52" s="121">
        <f>SUM(BG53:BG57)</f>
        <v>0</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hidden="1" customHeight="1" outlineLevel="4" spans="1:95">
      <c r="A53" s="131"/>
      <c r="B53" s="132"/>
      <c r="C53" s="133" t="s">
        <v>861</v>
      </c>
      <c r="D53" s="131" t="s">
        <v>2771</v>
      </c>
      <c r="E53" s="132"/>
      <c r="F53" s="132"/>
      <c r="G53" s="132"/>
      <c r="H53" s="134"/>
      <c r="I53" s="134"/>
      <c r="J53" s="134">
        <f t="shared" si="5"/>
        <v>0</v>
      </c>
      <c r="K53" s="134"/>
      <c r="L53" s="155"/>
      <c r="M53" s="155"/>
      <c r="N53" s="134"/>
      <c r="O53" s="155"/>
      <c r="P53" s="134"/>
      <c r="Q53" s="134"/>
      <c r="R53" s="134"/>
      <c r="S53" s="134"/>
      <c r="T53" s="134"/>
      <c r="U53" s="134"/>
      <c r="V53" s="134"/>
      <c r="W53" s="134"/>
      <c r="X53" s="158"/>
      <c r="Y53" s="158"/>
      <c r="Z53" s="134">
        <f>报销单计算表!B25</f>
        <v>0</v>
      </c>
      <c r="AA53" s="158"/>
      <c r="AB53" s="158"/>
      <c r="AC53" s="134">
        <f>报销单计算表!C25</f>
        <v>0</v>
      </c>
      <c r="AD53" s="158"/>
      <c r="AE53" s="158"/>
      <c r="AF53" s="134">
        <f>报销单计算表!D25</f>
        <v>0</v>
      </c>
      <c r="AG53" s="158"/>
      <c r="AH53" s="158"/>
      <c r="AI53" s="134">
        <f>报销单计算表!E25</f>
        <v>0</v>
      </c>
      <c r="AJ53" s="158"/>
      <c r="AK53" s="158"/>
      <c r="AL53" s="134">
        <f>报销单计算表!F25</f>
        <v>0</v>
      </c>
      <c r="AM53" s="158"/>
      <c r="AN53" s="158"/>
      <c r="AO53" s="134">
        <f>报销单计算表!G25</f>
        <v>0</v>
      </c>
      <c r="AP53" s="158"/>
      <c r="AQ53" s="158"/>
      <c r="AR53" s="134">
        <f>报销单计算表!H25</f>
        <v>0</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hidden="1" customHeight="1" outlineLevel="4" spans="1:95">
      <c r="A54" s="122"/>
      <c r="B54" s="123"/>
      <c r="C54" s="124"/>
      <c r="D54" s="122"/>
      <c r="E54" s="123"/>
      <c r="F54" s="123"/>
      <c r="G54" s="123"/>
      <c r="H54" s="125"/>
      <c r="I54" s="125"/>
      <c r="J54" s="125">
        <f t="shared" si="5"/>
        <v>0</v>
      </c>
      <c r="K54" s="125">
        <f t="shared" ref="K54:K56" si="598">K53+1</f>
        <v>1</v>
      </c>
      <c r="L54" s="150"/>
      <c r="M54" s="151">
        <f>IFERROR(VLOOKUP($L54,'2-2 引出数据_合同数据仓库'!$B$5:$BP$20,3,FALSE),0)</f>
        <v>0</v>
      </c>
      <c r="N54" s="125"/>
      <c r="O54" s="151">
        <f>IFERROR(VLOOKUP((LEFT(VLOOKUP($L54,'2-2 引出数据_合同数据仓库'!$B$5:$BP$20,64,FALSE),15)&amp;(RIGHT(VLOOKUP($L54,'2-2 引出数据_合同数据仓库'!$B$5:$BP$20,64,FALSE),4)+1)),'2-2 引出数据_合同数据仓库'!$B$5:$BP$20,3,FALSE),0)</f>
        <v>0</v>
      </c>
      <c r="P54" s="125"/>
      <c r="Q54" s="125">
        <f>IFERROR(VLOOKUP($L54,'2-2 引出数据_合同数据仓库'!$B$5:$BP$20,28,FALSE),0)</f>
        <v>0</v>
      </c>
      <c r="R54" s="125">
        <f>IFERROR(VLOOKUP($L54,'2-2 引出数据_合同数据仓库'!$B$5:$BP$20,29,FALSE),0)</f>
        <v>0</v>
      </c>
      <c r="S54" s="125">
        <f>IFERROR(VLOOKUP($L54,'2-2 引出数据_合同数据仓库'!$B$5:$BP$20,4,FALSE),0)</f>
        <v>0</v>
      </c>
      <c r="T54" s="125"/>
      <c r="U54" s="125">
        <f>IFERROR(VLOOKUP($L54,'2-2 引出数据_合同数据仓库'!$B$5:$BP$20,15,FALSE),0)</f>
        <v>0</v>
      </c>
      <c r="V54" s="125">
        <f t="shared" ref="V54:V56" si="599">U54/(S54-R54+1)*365</f>
        <v>0</v>
      </c>
      <c r="W54" s="125"/>
      <c r="X54" s="157">
        <v>45658</v>
      </c>
      <c r="Y54" s="157">
        <f t="shared" ref="Y54:Y56" si="600">X54+30</f>
        <v>45688</v>
      </c>
      <c r="Z54" s="161">
        <f t="shared" ref="Z54:Z56" si="601">IFERROR(IF(($R54-Y54)&gt;=0,0,IF(($S54-X54)&lt;0,0,IF(AND(($S54-Y54)&gt;0,(X54-$R54)&gt;0),$V54/365*(Y54-X54+1),IF(AND(($S54-Y54)&lt;=0,(X54-$R54)&gt;0),$V54/365*($S54-X54+1),$V54/365*(Y54-$R54+1))))),0)</f>
        <v>0</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0</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0</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0</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0</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0</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0</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0</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0</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0</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0</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0</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hidden="1" customHeight="1" outlineLevel="4" spans="1:95">
      <c r="A55" s="122"/>
      <c r="B55" s="123"/>
      <c r="C55" s="124"/>
      <c r="D55" s="122"/>
      <c r="E55" s="123"/>
      <c r="F55" s="123"/>
      <c r="G55" s="123"/>
      <c r="H55" s="125"/>
      <c r="I55" s="125"/>
      <c r="J55" s="125">
        <f t="shared" si="5"/>
        <v>0</v>
      </c>
      <c r="K55" s="125">
        <f t="shared" si="598"/>
        <v>2</v>
      </c>
      <c r="L55" s="150"/>
      <c r="M55" s="151">
        <f>IFERROR(VLOOKUP($L55,'2-2 引出数据_合同数据仓库'!$B$5:$BP$20,3,FALSE),0)</f>
        <v>0</v>
      </c>
      <c r="N55" s="125"/>
      <c r="O55" s="151">
        <f>IFERROR(VLOOKUP((LEFT(VLOOKUP($L55,'2-2 引出数据_合同数据仓库'!$B$5:$BP$20,64,FALSE),15)&amp;(RIGHT(VLOOKUP($L55,'2-2 引出数据_合同数据仓库'!$B$5:$BP$20,64,FALSE),4)+1)),'2-2 引出数据_合同数据仓库'!$B$5:$BP$20,3,FALSE),0)</f>
        <v>0</v>
      </c>
      <c r="P55" s="125"/>
      <c r="Q55" s="125">
        <f>IFERROR(VLOOKUP($L55,'2-2 引出数据_合同数据仓库'!$B$5:$BP$20,28,FALSE),0)</f>
        <v>0</v>
      </c>
      <c r="R55" s="125">
        <f>IFERROR(VLOOKUP($L55,'2-2 引出数据_合同数据仓库'!$B$5:$BP$20,29,FALSE),0)</f>
        <v>0</v>
      </c>
      <c r="S55" s="125">
        <f>IFERROR(VLOOKUP($L55,'2-2 引出数据_合同数据仓库'!$B$5:$BP$20,4,FALSE),0)</f>
        <v>0</v>
      </c>
      <c r="T55" s="125"/>
      <c r="U55" s="125">
        <f>IFERROR(VLOOKUP($L55,'2-2 引出数据_合同数据仓库'!$B$5:$BP$20,15,FALSE),0)</f>
        <v>0</v>
      </c>
      <c r="V55" s="125">
        <f t="shared" si="599"/>
        <v>0</v>
      </c>
      <c r="W55" s="125"/>
      <c r="X55" s="157">
        <v>45658</v>
      </c>
      <c r="Y55" s="157">
        <f t="shared" si="600"/>
        <v>45688</v>
      </c>
      <c r="Z55" s="161">
        <f t="shared" si="601"/>
        <v>0</v>
      </c>
      <c r="AA55" s="157">
        <f t="shared" si="602"/>
        <v>45689</v>
      </c>
      <c r="AB55" s="157">
        <f t="shared" si="603"/>
        <v>45716</v>
      </c>
      <c r="AC55" s="161">
        <f t="shared" si="604"/>
        <v>0</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hidden="1" customHeight="1" outlineLevel="4" spans="1:95">
      <c r="A56" s="122"/>
      <c r="B56" s="123"/>
      <c r="C56" s="124"/>
      <c r="D56" s="122"/>
      <c r="E56" s="123"/>
      <c r="F56" s="123"/>
      <c r="G56" s="123"/>
      <c r="H56" s="125"/>
      <c r="I56" s="125"/>
      <c r="J56" s="125">
        <f t="shared" si="5"/>
        <v>0</v>
      </c>
      <c r="K56" s="125">
        <f t="shared" si="598"/>
        <v>3</v>
      </c>
      <c r="L56" s="150"/>
      <c r="M56" s="151">
        <f>IFERROR(VLOOKUP($L56,'2-2 引出数据_合同数据仓库'!$B$5:$BP$20,3,FALSE),0)</f>
        <v>0</v>
      </c>
      <c r="N56" s="125"/>
      <c r="O56" s="151">
        <f>IFERROR(VLOOKUP((LEFT(VLOOKUP($L56,'2-2 引出数据_合同数据仓库'!$B$5:$BP$20,64,FALSE),15)&amp;(RIGHT(VLOOKUP($L56,'2-2 引出数据_合同数据仓库'!$B$5:$BP$20,64,FALSE),4)+1)),'2-2 引出数据_合同数据仓库'!$B$5:$BP$20,3,FALSE),0)</f>
        <v>0</v>
      </c>
      <c r="P56" s="125"/>
      <c r="Q56" s="125">
        <f>IFERROR(VLOOKUP($L56,'2-2 引出数据_合同数据仓库'!$B$5:$BP$20,28,FALSE),0)</f>
        <v>0</v>
      </c>
      <c r="R56" s="125">
        <f>IFERROR(VLOOKUP($L56,'2-2 引出数据_合同数据仓库'!$B$5:$BP$20,29,FALSE),0)</f>
        <v>0</v>
      </c>
      <c r="S56" s="125">
        <f>IFERROR(VLOOKUP($L56,'2-2 引出数据_合同数据仓库'!$B$5:$BP$20,4,FALSE),0)</f>
        <v>0</v>
      </c>
      <c r="T56" s="125"/>
      <c r="U56" s="125">
        <f>IFERROR(VLOOKUP($L56,'2-2 引出数据_合同数据仓库'!$B$5:$BP$20,15,FALSE),0)</f>
        <v>0</v>
      </c>
      <c r="V56" s="125">
        <f t="shared" si="599"/>
        <v>0</v>
      </c>
      <c r="W56" s="125"/>
      <c r="X56" s="157">
        <v>45658</v>
      </c>
      <c r="Y56" s="157">
        <f t="shared" si="600"/>
        <v>45688</v>
      </c>
      <c r="Z56" s="161">
        <f t="shared" si="601"/>
        <v>0</v>
      </c>
      <c r="AA56" s="157">
        <f t="shared" si="602"/>
        <v>45689</v>
      </c>
      <c r="AB56" s="157">
        <f t="shared" si="603"/>
        <v>45716</v>
      </c>
      <c r="AC56" s="161">
        <f t="shared" si="604"/>
        <v>0</v>
      </c>
      <c r="AD56" s="157">
        <f t="shared" si="605"/>
        <v>45717</v>
      </c>
      <c r="AE56" s="157">
        <f t="shared" si="606"/>
        <v>45747</v>
      </c>
      <c r="AF56" s="161">
        <f t="shared" si="607"/>
        <v>0</v>
      </c>
      <c r="AG56" s="157">
        <f t="shared" si="608"/>
        <v>45748</v>
      </c>
      <c r="AH56" s="157">
        <f t="shared" si="609"/>
        <v>45777</v>
      </c>
      <c r="AI56" s="161">
        <f t="shared" si="610"/>
        <v>0</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hidden="1" customHeight="1" outlineLevel="4" spans="1:95">
      <c r="A57" s="126" t="s">
        <v>2770</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hidden="1" customHeight="1" outlineLevel="3" collapsed="1" spans="1:95">
      <c r="A58" s="118"/>
      <c r="B58" s="119" t="s">
        <v>747</v>
      </c>
      <c r="C58" s="120" t="s">
        <v>14</v>
      </c>
      <c r="D58" s="118" t="s">
        <v>15</v>
      </c>
      <c r="E58" s="119"/>
      <c r="F58" s="119"/>
      <c r="G58" s="119"/>
      <c r="H58" s="121">
        <f>X58+AA58+AD58+AG58+AJ58+AM58+AP58+AS58+AV58+AY58+BB58+BE58</f>
        <v>226415.08992</v>
      </c>
      <c r="I58" s="121">
        <f>Y58+AB58+AE58+AH58+AK58+AN58+AQ58+AT58+AW58+AZ58+BC58+BF58</f>
        <v>183234.524226569</v>
      </c>
      <c r="J58" s="121">
        <f t="shared" si="5"/>
        <v>43180.5656934307</v>
      </c>
      <c r="K58" s="121"/>
      <c r="L58" s="149"/>
      <c r="M58" s="149"/>
      <c r="N58" s="121"/>
      <c r="O58" s="121"/>
      <c r="P58" s="121"/>
      <c r="Q58" s="121"/>
      <c r="R58" s="121"/>
      <c r="S58" s="121"/>
      <c r="T58" s="121"/>
      <c r="U58" s="121"/>
      <c r="V58" s="121"/>
      <c r="W58" s="121"/>
      <c r="X58" s="121">
        <f>VLOOKUP($C58,'1 预算编制表单'!$C:$BJ,27,FALSE)</f>
        <v>18867.92416</v>
      </c>
      <c r="Y58" s="121">
        <f>X58-Z58</f>
        <v>15200.5336490511</v>
      </c>
      <c r="Z58" s="121">
        <f>SUM(Z59:Z63)</f>
        <v>3667.39051094891</v>
      </c>
      <c r="AA58" s="121">
        <f>VLOOKUP($C58,'1 预算编制表单'!$C:$BJ,30,FALSE)</f>
        <v>18867.92416</v>
      </c>
      <c r="AB58" s="121">
        <f>AA58-AC58</f>
        <v>15555.4424081752</v>
      </c>
      <c r="AC58" s="121">
        <f>SUM(AC59:AC63)</f>
        <v>3312.48175182482</v>
      </c>
      <c r="AD58" s="121">
        <f>VLOOKUP($C58,'1 预算编制表单'!$C:$BJ,33,FALSE)</f>
        <v>18867.92416</v>
      </c>
      <c r="AE58" s="121">
        <f>AD58-AF58</f>
        <v>15200.5336490511</v>
      </c>
      <c r="AF58" s="121">
        <f>SUM(AF59:AF63)</f>
        <v>3667.39051094891</v>
      </c>
      <c r="AG58" s="121">
        <f>VLOOKUP($C58,'1 预算编制表单'!$C:$BJ,36,FALSE)</f>
        <v>18867.92416</v>
      </c>
      <c r="AH58" s="121">
        <f>AG58-AI58</f>
        <v>15318.8365687591</v>
      </c>
      <c r="AI58" s="121">
        <f>SUM(AI59:AI63)</f>
        <v>3549.08759124088</v>
      </c>
      <c r="AJ58" s="121">
        <f>VLOOKUP($C58,'1 预算编制表单'!$C:$BJ,39,FALSE)</f>
        <v>18867.92416</v>
      </c>
      <c r="AK58" s="121">
        <f>AJ58-AL58</f>
        <v>15200.5336490511</v>
      </c>
      <c r="AL58" s="121">
        <f>SUM(AL59:AL63)</f>
        <v>3667.39051094891</v>
      </c>
      <c r="AM58" s="121">
        <f>VLOOKUP($C58,'1 预算编制表单'!$C:$BJ,42,FALSE)</f>
        <v>18867.92416</v>
      </c>
      <c r="AN58" s="121">
        <f>AM58-AO58</f>
        <v>15318.8365687591</v>
      </c>
      <c r="AO58" s="121">
        <f>SUM(AO59:AO63)</f>
        <v>3549.08759124088</v>
      </c>
      <c r="AP58" s="121">
        <f>VLOOKUP($C58,'1 预算编制表单'!$C:$BJ,45,FALSE)</f>
        <v>18867.92416</v>
      </c>
      <c r="AQ58" s="121">
        <f>AP58-AR58</f>
        <v>15200.5336490511</v>
      </c>
      <c r="AR58" s="121">
        <f>SUM(AR59:AR63)</f>
        <v>3667.39051094891</v>
      </c>
      <c r="AS58" s="121">
        <f>VLOOKUP($C58,'1 预算编制表单'!$C:$BJ,48,FALSE)</f>
        <v>18867.92416</v>
      </c>
      <c r="AT58" s="121">
        <f>AS58-AU58</f>
        <v>15200.5336490511</v>
      </c>
      <c r="AU58" s="121">
        <f>SUM(AU59:AU63)</f>
        <v>3667.39051094891</v>
      </c>
      <c r="AV58" s="121">
        <f>VLOOKUP($C58,'1 预算编制表单'!$C:$BJ,51,FALSE)</f>
        <v>18867.92416</v>
      </c>
      <c r="AW58" s="121">
        <f>AV58-AX58</f>
        <v>15318.8365687591</v>
      </c>
      <c r="AX58" s="121">
        <f>SUM(AX59:AX63)</f>
        <v>3549.08759124088</v>
      </c>
      <c r="AY58" s="121">
        <f>VLOOKUP($C58,'1 预算编制表单'!$C:$BJ,54,FALSE)</f>
        <v>18867.92416</v>
      </c>
      <c r="AZ58" s="121">
        <f>AY58-BA58</f>
        <v>15200.5336490511</v>
      </c>
      <c r="BA58" s="121">
        <f>SUM(BA59:BA63)</f>
        <v>3667.39051094891</v>
      </c>
      <c r="BB58" s="121">
        <f>VLOOKUP($C58,'1 预算编制表单'!$C:$BJ,57,FALSE)</f>
        <v>18867.92416</v>
      </c>
      <c r="BC58" s="121">
        <f>BB58-BD58</f>
        <v>15318.8365687591</v>
      </c>
      <c r="BD58" s="121">
        <f>SUM(BD59:BD63)</f>
        <v>3549.08759124088</v>
      </c>
      <c r="BE58" s="121">
        <f>VLOOKUP($C58,'1 预算编制表单'!$C:$BJ,60,FALSE)</f>
        <v>18867.92416</v>
      </c>
      <c r="BF58" s="121">
        <f>BE58-BG58</f>
        <v>15200.5336490511</v>
      </c>
      <c r="BG58" s="121">
        <f>SUM(BG59:BG63)</f>
        <v>3667.39051094891</v>
      </c>
      <c r="BH58" s="121">
        <f>VLOOKUP($C58,'1 预算编制表单'!$C:$BJ,27,FALSE)</f>
        <v>18867.92416</v>
      </c>
      <c r="BI58" s="121">
        <f>BH58-BJ58</f>
        <v>18867.92416</v>
      </c>
      <c r="BJ58" s="121">
        <f>SUM(BJ59:BJ63)</f>
        <v>0</v>
      </c>
      <c r="BK58" s="121">
        <f>VLOOKUP($C58,'1 预算编制表单'!$C:$BJ,30,FALSE)</f>
        <v>18867.92416</v>
      </c>
      <c r="BL58" s="121">
        <f>BK58-BM58</f>
        <v>18867.92416</v>
      </c>
      <c r="BM58" s="121">
        <f>SUM(BM59:BM63)</f>
        <v>0</v>
      </c>
      <c r="BN58" s="121">
        <f>VLOOKUP($C58,'1 预算编制表单'!$C:$BJ,33,FALSE)</f>
        <v>18867.92416</v>
      </c>
      <c r="BO58" s="121">
        <f>BN58-BP58</f>
        <v>18867.92416</v>
      </c>
      <c r="BP58" s="121">
        <f>SUM(BP59:BP63)</f>
        <v>0</v>
      </c>
      <c r="BQ58" s="121">
        <f>VLOOKUP($C58,'1 预算编制表单'!$C:$BJ,36,FALSE)</f>
        <v>18867.92416</v>
      </c>
      <c r="BR58" s="121">
        <f>BQ58-BS58</f>
        <v>18867.92416</v>
      </c>
      <c r="BS58" s="121">
        <f>SUM(BS59:BS63)</f>
        <v>0</v>
      </c>
      <c r="BT58" s="121">
        <f>VLOOKUP($C58,'1 预算编制表单'!$C:$BJ,39,FALSE)</f>
        <v>18867.92416</v>
      </c>
      <c r="BU58" s="121">
        <f>BT58-BV58</f>
        <v>18867.92416</v>
      </c>
      <c r="BV58" s="121">
        <f>SUM(BV59:BV63)</f>
        <v>0</v>
      </c>
      <c r="BW58" s="121">
        <f>VLOOKUP($C58,'1 预算编制表单'!$C:$BJ,42,FALSE)</f>
        <v>18867.92416</v>
      </c>
      <c r="BX58" s="121">
        <f>BW58-BY58</f>
        <v>18867.92416</v>
      </c>
      <c r="BY58" s="121">
        <f>SUM(BY59:BY63)</f>
        <v>0</v>
      </c>
      <c r="BZ58" s="121">
        <f>VLOOKUP($C58,'1 预算编制表单'!$C:$BJ,45,FALSE)</f>
        <v>18867.92416</v>
      </c>
      <c r="CA58" s="121">
        <f>BZ58-CB58</f>
        <v>18867.92416</v>
      </c>
      <c r="CB58" s="121">
        <f>SUM(CB59:CB63)</f>
        <v>0</v>
      </c>
      <c r="CC58" s="121">
        <f>VLOOKUP($C58,'1 预算编制表单'!$C:$BJ,48,FALSE)</f>
        <v>18867.92416</v>
      </c>
      <c r="CD58" s="121">
        <f>CC58-CE58</f>
        <v>18867.92416</v>
      </c>
      <c r="CE58" s="121">
        <f>SUM(CE59:CE63)</f>
        <v>0</v>
      </c>
      <c r="CF58" s="121">
        <f>VLOOKUP($C58,'1 预算编制表单'!$C:$BJ,51,FALSE)</f>
        <v>18867.92416</v>
      </c>
      <c r="CG58" s="121">
        <f>CF58-CH58</f>
        <v>18867.92416</v>
      </c>
      <c r="CH58" s="121">
        <f>SUM(CH59:CH63)</f>
        <v>0</v>
      </c>
      <c r="CI58" s="121">
        <f>VLOOKUP($C58,'1 预算编制表单'!$C:$BJ,54,FALSE)</f>
        <v>18867.92416</v>
      </c>
      <c r="CJ58" s="121">
        <f>CI58-CK58</f>
        <v>18867.92416</v>
      </c>
      <c r="CK58" s="121">
        <f>SUM(CK59:CK63)</f>
        <v>0</v>
      </c>
      <c r="CL58" s="121">
        <f>VLOOKUP($C58,'1 预算编制表单'!$C:$BJ,57,FALSE)</f>
        <v>18867.92416</v>
      </c>
      <c r="CM58" s="121">
        <f>CL58-CN58</f>
        <v>18867.92416</v>
      </c>
      <c r="CN58" s="121">
        <f>SUM(CN59:CN63)</f>
        <v>0</v>
      </c>
      <c r="CO58" s="121">
        <f>VLOOKUP($C58,'1 预算编制表单'!$C:$BJ,60,FALSE)</f>
        <v>18867.92416</v>
      </c>
      <c r="CP58" s="121">
        <f>CO58-CQ58</f>
        <v>18867.92416</v>
      </c>
      <c r="CQ58" s="121">
        <f>SUM(CQ59:CQ63)</f>
        <v>0</v>
      </c>
    </row>
    <row r="59" s="83" customFormat="1" ht="24" hidden="1" customHeight="1" outlineLevel="4" spans="1:95">
      <c r="A59" s="122"/>
      <c r="B59" s="123"/>
      <c r="C59" s="124"/>
      <c r="D59" s="122"/>
      <c r="E59" s="123"/>
      <c r="F59" s="123"/>
      <c r="G59" s="123"/>
      <c r="H59" s="125"/>
      <c r="I59" s="125"/>
      <c r="J59" s="125">
        <f t="shared" si="5"/>
        <v>0</v>
      </c>
      <c r="K59" s="125">
        <v>1</v>
      </c>
      <c r="L59" s="150" t="s">
        <v>2772</v>
      </c>
      <c r="M59" s="151">
        <f>IFERROR(VLOOKUP($L59,'2-2 引出数据_合同数据仓库'!$B$5:$BP$20,3,FALSE),0)</f>
        <v>0</v>
      </c>
      <c r="N59" s="125"/>
      <c r="O59" s="151">
        <f>IFERROR(VLOOKUP((LEFT(VLOOKUP($L59,'2-2 引出数据_合同数据仓库'!$B$5:$BP$20,64,FALSE),15)&amp;(RIGHT(VLOOKUP($L59,'2-2 引出数据_合同数据仓库'!$B$5:$BP$20,64,FALSE),4)+1)),'2-2 引出数据_合同数据仓库'!$B$5:$BP$20,3,FALSE),0)</f>
        <v>0</v>
      </c>
      <c r="P59" s="125"/>
      <c r="Q59" s="125">
        <f>IFERROR(VLOOKUP($L59,'2-2 引出数据_合同数据仓库'!$B$5:$BP$20,28,FALSE),0)</f>
        <v>0</v>
      </c>
      <c r="R59" s="125">
        <f>IFERROR(VLOOKUP($L59,'2-2 引出数据_合同数据仓库'!$B$5:$BP$20,29,FALSE),0)</f>
        <v>0</v>
      </c>
      <c r="S59" s="125">
        <f>IFERROR(VLOOKUP($L59,'2-2 引出数据_合同数据仓库'!$B$5:$BP$20,4,FALSE),0)</f>
        <v>0</v>
      </c>
      <c r="T59" s="125"/>
      <c r="U59" s="125">
        <f>IFERROR(VLOOKUP($L59,'2-2 引出数据_合同数据仓库'!$B$5:$BP$20,15,FALSE),0)</f>
        <v>0</v>
      </c>
      <c r="V59" s="125">
        <f t="shared" ref="V59:V62" si="670">U59/(S59-R59+1)*365</f>
        <v>0</v>
      </c>
      <c r="W59" s="125"/>
      <c r="X59" s="157">
        <v>45658</v>
      </c>
      <c r="Y59" s="157">
        <f t="shared" ref="Y59:Y62" si="671">X59+30</f>
        <v>45688</v>
      </c>
      <c r="Z59" s="161">
        <f t="shared" ref="Z59:Z62" si="672">IFERROR(IF(($R59-Y59)&gt;=0,0,IF(($S59-X59)&lt;0,0,IF(AND(($S59-Y59)&gt;0,(X59-$R59)&gt;0),$V59/365*(Y59-X59+1),IF(AND(($S59-Y59)&lt;=0,(X59-$R59)&gt;0),$V59/365*($S59-X59+1),$V59/365*(Y59-$R59+1))))),0)</f>
        <v>0</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0</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0</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0</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0</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0</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0</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0</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0</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0</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0</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0</v>
      </c>
      <c r="BH59" s="157">
        <v>46023</v>
      </c>
      <c r="BI59" s="157">
        <f t="shared" ref="BI59:BI62" si="706">BH59+30</f>
        <v>46053</v>
      </c>
      <c r="BJ59" s="161">
        <f t="shared" ref="BJ59:BJ62" si="707">IFERROR(IF(($R59-BI59)&gt;=0,0,IF(($S59-BH59)&lt;0,0,IF(AND(($S59-BI59)&gt;0,(BH59-$R59)&gt;0),$V59/365*(BI59-BH59+1),IF(AND(($S59-BI59)&lt;=0,(BH59-$R59)&gt;0),$V59/365*($S59-BH59+1),$V59/365*(BI59-$R59+1))))),0)</f>
        <v>0</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0</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0</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0</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0</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0</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0</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0</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hidden="1" customHeight="1" outlineLevel="4" spans="1:95">
      <c r="A60" s="122"/>
      <c r="B60" s="123"/>
      <c r="C60" s="124"/>
      <c r="D60" s="122"/>
      <c r="E60" s="123"/>
      <c r="F60" s="123"/>
      <c r="G60" s="123"/>
      <c r="H60" s="125"/>
      <c r="I60" s="125"/>
      <c r="J60" s="125">
        <f t="shared" si="5"/>
        <v>43180.5656934307</v>
      </c>
      <c r="K60" s="125">
        <f t="shared" ref="K60:K62" si="741">K59+1</f>
        <v>2</v>
      </c>
      <c r="L60" s="150" t="s">
        <v>2773</v>
      </c>
      <c r="M60" s="151" t="str">
        <f>IFERROR(VLOOKUP($L60,'2-2 引出数据_合同数据仓库'!$B$5:$BP$20,3,FALSE),0)</f>
        <v>JDZHFW-KF-2023001   2023年商用净水产品三方协议</v>
      </c>
      <c r="N60" s="125"/>
      <c r="O60" s="151">
        <f>IFERROR(VLOOKUP((LEFT(VLOOKUP($L60,'2-2 引出数据_合同数据仓库'!$B$5:$BP$20,64,FALSE),15)&amp;(RIGHT(VLOOKUP($L60,'2-2 引出数据_合同数据仓库'!$B$5:$BP$20,64,FALSE),4)+1)),'2-2 引出数据_合同数据仓库'!$B$5:$BP$20,3,FALSE),0)</f>
        <v>0</v>
      </c>
      <c r="P60" s="125"/>
      <c r="Q60" s="125" t="str">
        <f>IFERROR(VLOOKUP($L60,'2-2 引出数据_合同数据仓库'!$B$5:$BP$20,28,FALSE),0)</f>
        <v>2023-04-17 17:20:59:925</v>
      </c>
      <c r="R60" s="125" t="str">
        <f>IFERROR(VLOOKUP($L60,'2-2 引出数据_合同数据仓库'!$B$5:$BP$20,29,FALSE),0)</f>
        <v>2023-01-01</v>
      </c>
      <c r="S60" s="125" t="str">
        <f>IFERROR(VLOOKUP($L60,'2-2 引出数据_合同数据仓库'!$B$5:$BP$20,4,FALSE),0)</f>
        <v>2025-12-31</v>
      </c>
      <c r="T60" s="125"/>
      <c r="U60" s="125">
        <f>IFERROR(VLOOKUP($L60,'2-2 引出数据_合同数据仓库'!$B$5:$BP$20,15,FALSE),0)</f>
        <v>129660</v>
      </c>
      <c r="V60" s="125">
        <f t="shared" si="670"/>
        <v>43180.5656934307</v>
      </c>
      <c r="W60" s="125"/>
      <c r="X60" s="157">
        <v>45658</v>
      </c>
      <c r="Y60" s="157">
        <f t="shared" si="671"/>
        <v>45688</v>
      </c>
      <c r="Z60" s="161">
        <f t="shared" si="672"/>
        <v>3667.39051094891</v>
      </c>
      <c r="AA60" s="157">
        <f t="shared" si="673"/>
        <v>45689</v>
      </c>
      <c r="AB60" s="157">
        <f t="shared" si="674"/>
        <v>45716</v>
      </c>
      <c r="AC60" s="161">
        <f t="shared" si="675"/>
        <v>3312.48175182482</v>
      </c>
      <c r="AD60" s="157">
        <f t="shared" si="676"/>
        <v>45717</v>
      </c>
      <c r="AE60" s="157">
        <f t="shared" si="677"/>
        <v>45747</v>
      </c>
      <c r="AF60" s="161">
        <f t="shared" si="678"/>
        <v>3667.39051094891</v>
      </c>
      <c r="AG60" s="157">
        <f t="shared" si="679"/>
        <v>45748</v>
      </c>
      <c r="AH60" s="157">
        <f t="shared" si="680"/>
        <v>45777</v>
      </c>
      <c r="AI60" s="161">
        <f t="shared" si="681"/>
        <v>3549.08759124088</v>
      </c>
      <c r="AJ60" s="157">
        <f t="shared" si="682"/>
        <v>45778</v>
      </c>
      <c r="AK60" s="157">
        <f t="shared" si="683"/>
        <v>45808</v>
      </c>
      <c r="AL60" s="161">
        <f t="shared" si="684"/>
        <v>3667.39051094891</v>
      </c>
      <c r="AM60" s="157">
        <f t="shared" si="685"/>
        <v>45809</v>
      </c>
      <c r="AN60" s="157">
        <f t="shared" si="686"/>
        <v>45838</v>
      </c>
      <c r="AO60" s="161">
        <f t="shared" si="687"/>
        <v>3549.08759124088</v>
      </c>
      <c r="AP60" s="157">
        <f t="shared" si="688"/>
        <v>45839</v>
      </c>
      <c r="AQ60" s="157">
        <f t="shared" si="689"/>
        <v>45869</v>
      </c>
      <c r="AR60" s="161">
        <f t="shared" si="690"/>
        <v>3667.39051094891</v>
      </c>
      <c r="AS60" s="157">
        <f t="shared" si="691"/>
        <v>45870</v>
      </c>
      <c r="AT60" s="157">
        <f t="shared" si="692"/>
        <v>45900</v>
      </c>
      <c r="AU60" s="161">
        <f t="shared" si="693"/>
        <v>3667.39051094891</v>
      </c>
      <c r="AV60" s="157">
        <f t="shared" si="694"/>
        <v>45901</v>
      </c>
      <c r="AW60" s="157">
        <f t="shared" si="695"/>
        <v>45930</v>
      </c>
      <c r="AX60" s="161">
        <f t="shared" si="696"/>
        <v>3549.08759124088</v>
      </c>
      <c r="AY60" s="157">
        <f t="shared" si="697"/>
        <v>45931</v>
      </c>
      <c r="AZ60" s="157">
        <f t="shared" si="698"/>
        <v>45961</v>
      </c>
      <c r="BA60" s="161">
        <f t="shared" si="699"/>
        <v>3667.39051094891</v>
      </c>
      <c r="BB60" s="157">
        <f t="shared" si="700"/>
        <v>45962</v>
      </c>
      <c r="BC60" s="157">
        <f t="shared" si="701"/>
        <v>45991</v>
      </c>
      <c r="BD60" s="161">
        <f t="shared" si="702"/>
        <v>3549.08759124088</v>
      </c>
      <c r="BE60" s="157">
        <f t="shared" si="703"/>
        <v>45992</v>
      </c>
      <c r="BF60" s="157">
        <f t="shared" si="704"/>
        <v>46022</v>
      </c>
      <c r="BG60" s="161">
        <f t="shared" si="705"/>
        <v>3667.39051094891</v>
      </c>
      <c r="BH60" s="157">
        <v>46023</v>
      </c>
      <c r="BI60" s="157">
        <f t="shared" si="706"/>
        <v>46053</v>
      </c>
      <c r="BJ60" s="161">
        <f t="shared" si="707"/>
        <v>0</v>
      </c>
      <c r="BK60" s="157">
        <f t="shared" si="708"/>
        <v>46054</v>
      </c>
      <c r="BL60" s="157">
        <f t="shared" si="709"/>
        <v>46081</v>
      </c>
      <c r="BM60" s="161">
        <f t="shared" si="710"/>
        <v>0</v>
      </c>
      <c r="BN60" s="157">
        <f t="shared" si="711"/>
        <v>46082</v>
      </c>
      <c r="BO60" s="157">
        <f t="shared" si="712"/>
        <v>46112</v>
      </c>
      <c r="BP60" s="161">
        <f t="shared" si="713"/>
        <v>0</v>
      </c>
      <c r="BQ60" s="157">
        <f t="shared" si="714"/>
        <v>46113</v>
      </c>
      <c r="BR60" s="157">
        <f t="shared" si="715"/>
        <v>46142</v>
      </c>
      <c r="BS60" s="161">
        <f t="shared" si="716"/>
        <v>0</v>
      </c>
      <c r="BT60" s="157">
        <f t="shared" si="717"/>
        <v>46143</v>
      </c>
      <c r="BU60" s="157">
        <f t="shared" si="718"/>
        <v>46173</v>
      </c>
      <c r="BV60" s="161">
        <f t="shared" si="719"/>
        <v>0</v>
      </c>
      <c r="BW60" s="157">
        <f t="shared" si="720"/>
        <v>46174</v>
      </c>
      <c r="BX60" s="157">
        <f t="shared" si="721"/>
        <v>46203</v>
      </c>
      <c r="BY60" s="161">
        <f t="shared" si="722"/>
        <v>0</v>
      </c>
      <c r="BZ60" s="157">
        <f t="shared" si="723"/>
        <v>46204</v>
      </c>
      <c r="CA60" s="157">
        <f t="shared" si="724"/>
        <v>46234</v>
      </c>
      <c r="CB60" s="161">
        <f t="shared" si="725"/>
        <v>0</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hidden="1" customHeight="1" outlineLevel="4" spans="1:95">
      <c r="A61" s="122"/>
      <c r="B61" s="123"/>
      <c r="C61" s="124"/>
      <c r="D61" s="122"/>
      <c r="E61" s="123"/>
      <c r="F61" s="123"/>
      <c r="G61" s="123"/>
      <c r="H61" s="125"/>
      <c r="I61" s="125"/>
      <c r="J61" s="125">
        <f t="shared" si="5"/>
        <v>0</v>
      </c>
      <c r="K61" s="125">
        <f t="shared" si="741"/>
        <v>3</v>
      </c>
      <c r="L61" s="150"/>
      <c r="M61" s="151">
        <f>IFERROR(VLOOKUP($L61,'2-2 引出数据_合同数据仓库'!$B$5:$BP$20,3,FALSE),0)</f>
        <v>0</v>
      </c>
      <c r="N61" s="125"/>
      <c r="O61" s="151">
        <f>IFERROR(VLOOKUP((LEFT(VLOOKUP($L61,'2-2 引出数据_合同数据仓库'!$B$5:$BP$20,64,FALSE),15)&amp;(RIGHT(VLOOKUP($L61,'2-2 引出数据_合同数据仓库'!$B$5:$BP$20,64,FALSE),4)+1)),'2-2 引出数据_合同数据仓库'!$B$5:$BP$20,3,FALSE),0)</f>
        <v>0</v>
      </c>
      <c r="P61" s="125"/>
      <c r="Q61" s="125">
        <f>IFERROR(VLOOKUP($L61,'2-2 引出数据_合同数据仓库'!$B$5:$BP$20,28,FALSE),0)</f>
        <v>0</v>
      </c>
      <c r="R61" s="125">
        <f>IFERROR(VLOOKUP($L61,'2-2 引出数据_合同数据仓库'!$B$5:$BP$20,29,FALSE),0)</f>
        <v>0</v>
      </c>
      <c r="S61" s="125">
        <f>IFERROR(VLOOKUP($L61,'2-2 引出数据_合同数据仓库'!$B$5:$BP$20,4,FALSE),0)</f>
        <v>0</v>
      </c>
      <c r="T61" s="125"/>
      <c r="U61" s="125">
        <f>IFERROR(VLOOKUP($L61,'2-2 引出数据_合同数据仓库'!$B$5:$BP$20,15,FALSE),0)</f>
        <v>0</v>
      </c>
      <c r="V61" s="125">
        <f t="shared" si="670"/>
        <v>0</v>
      </c>
      <c r="W61" s="125"/>
      <c r="X61" s="157">
        <v>45658</v>
      </c>
      <c r="Y61" s="157">
        <f t="shared" si="671"/>
        <v>45688</v>
      </c>
      <c r="Z61" s="161">
        <f t="shared" si="672"/>
        <v>0</v>
      </c>
      <c r="AA61" s="157">
        <f t="shared" si="673"/>
        <v>45689</v>
      </c>
      <c r="AB61" s="157">
        <f t="shared" si="674"/>
        <v>45716</v>
      </c>
      <c r="AC61" s="161">
        <f t="shared" si="675"/>
        <v>0</v>
      </c>
      <c r="AD61" s="157">
        <f t="shared" si="676"/>
        <v>45717</v>
      </c>
      <c r="AE61" s="157">
        <f t="shared" si="677"/>
        <v>45747</v>
      </c>
      <c r="AF61" s="161">
        <f t="shared" si="678"/>
        <v>0</v>
      </c>
      <c r="AG61" s="157">
        <f t="shared" si="679"/>
        <v>45748</v>
      </c>
      <c r="AH61" s="157">
        <f t="shared" si="680"/>
        <v>45777</v>
      </c>
      <c r="AI61" s="161">
        <f t="shared" si="681"/>
        <v>0</v>
      </c>
      <c r="AJ61" s="157">
        <f t="shared" si="682"/>
        <v>45778</v>
      </c>
      <c r="AK61" s="157">
        <f t="shared" si="683"/>
        <v>45808</v>
      </c>
      <c r="AL61" s="161">
        <f t="shared" si="684"/>
        <v>0</v>
      </c>
      <c r="AM61" s="157">
        <f t="shared" si="685"/>
        <v>45809</v>
      </c>
      <c r="AN61" s="157">
        <f t="shared" si="686"/>
        <v>45838</v>
      </c>
      <c r="AO61" s="161">
        <f t="shared" si="687"/>
        <v>0</v>
      </c>
      <c r="AP61" s="157">
        <f t="shared" si="688"/>
        <v>45839</v>
      </c>
      <c r="AQ61" s="157">
        <f t="shared" si="689"/>
        <v>45869</v>
      </c>
      <c r="AR61" s="161">
        <f t="shared" si="690"/>
        <v>0</v>
      </c>
      <c r="AS61" s="157">
        <f t="shared" si="691"/>
        <v>45870</v>
      </c>
      <c r="AT61" s="157">
        <f t="shared" si="692"/>
        <v>45900</v>
      </c>
      <c r="AU61" s="161">
        <f t="shared" si="693"/>
        <v>0</v>
      </c>
      <c r="AV61" s="157">
        <f t="shared" si="694"/>
        <v>45901</v>
      </c>
      <c r="AW61" s="157">
        <f t="shared" si="695"/>
        <v>45930</v>
      </c>
      <c r="AX61" s="161">
        <f t="shared" si="696"/>
        <v>0</v>
      </c>
      <c r="AY61" s="157">
        <f t="shared" si="697"/>
        <v>45931</v>
      </c>
      <c r="AZ61" s="157">
        <f t="shared" si="698"/>
        <v>45961</v>
      </c>
      <c r="BA61" s="161">
        <f t="shared" si="699"/>
        <v>0</v>
      </c>
      <c r="BB61" s="157">
        <f t="shared" si="700"/>
        <v>45962</v>
      </c>
      <c r="BC61" s="157">
        <f t="shared" si="701"/>
        <v>45991</v>
      </c>
      <c r="BD61" s="161">
        <f t="shared" si="702"/>
        <v>0</v>
      </c>
      <c r="BE61" s="157">
        <f t="shared" si="703"/>
        <v>45992</v>
      </c>
      <c r="BF61" s="157">
        <f t="shared" si="704"/>
        <v>46022</v>
      </c>
      <c r="BG61" s="161">
        <f t="shared" si="705"/>
        <v>0</v>
      </c>
      <c r="BH61" s="157">
        <v>46023</v>
      </c>
      <c r="BI61" s="157">
        <f t="shared" si="706"/>
        <v>46053</v>
      </c>
      <c r="BJ61" s="161">
        <f t="shared" si="707"/>
        <v>0</v>
      </c>
      <c r="BK61" s="157">
        <f t="shared" si="708"/>
        <v>46054</v>
      </c>
      <c r="BL61" s="157">
        <f t="shared" si="709"/>
        <v>46081</v>
      </c>
      <c r="BM61" s="161">
        <f t="shared" si="710"/>
        <v>0</v>
      </c>
      <c r="BN61" s="157">
        <f t="shared" si="711"/>
        <v>46082</v>
      </c>
      <c r="BO61" s="157">
        <f t="shared" si="712"/>
        <v>46112</v>
      </c>
      <c r="BP61" s="161">
        <f t="shared" si="713"/>
        <v>0</v>
      </c>
      <c r="BQ61" s="157">
        <f t="shared" si="714"/>
        <v>46113</v>
      </c>
      <c r="BR61" s="157">
        <f t="shared" si="715"/>
        <v>46142</v>
      </c>
      <c r="BS61" s="161">
        <f t="shared" si="716"/>
        <v>0</v>
      </c>
      <c r="BT61" s="157">
        <f t="shared" si="717"/>
        <v>46143</v>
      </c>
      <c r="BU61" s="157">
        <f t="shared" si="718"/>
        <v>46173</v>
      </c>
      <c r="BV61" s="161">
        <f t="shared" si="719"/>
        <v>0</v>
      </c>
      <c r="BW61" s="157">
        <f t="shared" si="720"/>
        <v>46174</v>
      </c>
      <c r="BX61" s="157">
        <f t="shared" si="721"/>
        <v>46203</v>
      </c>
      <c r="BY61" s="161">
        <f t="shared" si="722"/>
        <v>0</v>
      </c>
      <c r="BZ61" s="157">
        <f t="shared" si="723"/>
        <v>46204</v>
      </c>
      <c r="CA61" s="157">
        <f t="shared" si="724"/>
        <v>46234</v>
      </c>
      <c r="CB61" s="161">
        <f t="shared" si="725"/>
        <v>0</v>
      </c>
      <c r="CC61" s="157">
        <f t="shared" si="726"/>
        <v>46235</v>
      </c>
      <c r="CD61" s="157">
        <f t="shared" si="727"/>
        <v>46265</v>
      </c>
      <c r="CE61" s="161">
        <f t="shared" si="728"/>
        <v>0</v>
      </c>
      <c r="CF61" s="157">
        <f t="shared" si="729"/>
        <v>46266</v>
      </c>
      <c r="CG61" s="157">
        <f t="shared" si="730"/>
        <v>46295</v>
      </c>
      <c r="CH61" s="161">
        <f t="shared" si="731"/>
        <v>0</v>
      </c>
      <c r="CI61" s="157">
        <f t="shared" si="732"/>
        <v>46296</v>
      </c>
      <c r="CJ61" s="157">
        <f t="shared" si="733"/>
        <v>46326</v>
      </c>
      <c r="CK61" s="161">
        <f t="shared" si="734"/>
        <v>0</v>
      </c>
      <c r="CL61" s="157">
        <f t="shared" si="735"/>
        <v>46327</v>
      </c>
      <c r="CM61" s="157">
        <f t="shared" si="736"/>
        <v>46356</v>
      </c>
      <c r="CN61" s="161">
        <f t="shared" si="737"/>
        <v>0</v>
      </c>
      <c r="CO61" s="157">
        <f t="shared" si="738"/>
        <v>46357</v>
      </c>
      <c r="CP61" s="157">
        <f t="shared" si="739"/>
        <v>46387</v>
      </c>
      <c r="CQ61" s="161">
        <f t="shared" si="740"/>
        <v>0</v>
      </c>
    </row>
    <row r="62" s="83" customFormat="1" ht="24" hidden="1" customHeight="1" outlineLevel="4" spans="1:95">
      <c r="A62" s="122"/>
      <c r="B62" s="123"/>
      <c r="C62" s="124"/>
      <c r="D62" s="122"/>
      <c r="E62" s="123"/>
      <c r="F62" s="123"/>
      <c r="G62" s="123"/>
      <c r="H62" s="125"/>
      <c r="I62" s="125"/>
      <c r="J62" s="125">
        <f t="shared" si="5"/>
        <v>0</v>
      </c>
      <c r="K62" s="125">
        <f t="shared" si="741"/>
        <v>4</v>
      </c>
      <c r="L62" s="150"/>
      <c r="M62" s="151">
        <f>IFERROR(VLOOKUP($L62,'2-2 引出数据_合同数据仓库'!$B$5:$BP$20,3,FALSE),0)</f>
        <v>0</v>
      </c>
      <c r="N62" s="125"/>
      <c r="O62" s="151">
        <f>IFERROR(VLOOKUP((LEFT(VLOOKUP($L62,'2-2 引出数据_合同数据仓库'!$B$5:$BP$20,64,FALSE),15)&amp;(RIGHT(VLOOKUP($L62,'2-2 引出数据_合同数据仓库'!$B$5:$BP$20,64,FALSE),4)+1)),'2-2 引出数据_合同数据仓库'!$B$5:$BP$20,3,FALSE),0)</f>
        <v>0</v>
      </c>
      <c r="P62" s="125"/>
      <c r="Q62" s="125">
        <f>IFERROR(VLOOKUP($L62,'2-2 引出数据_合同数据仓库'!$B$5:$BP$20,28,FALSE),0)</f>
        <v>0</v>
      </c>
      <c r="R62" s="125">
        <f>IFERROR(VLOOKUP($L62,'2-2 引出数据_合同数据仓库'!$B$5:$BP$20,29,FALSE),0)</f>
        <v>0</v>
      </c>
      <c r="S62" s="125">
        <f>IFERROR(VLOOKUP($L62,'2-2 引出数据_合同数据仓库'!$B$5:$BP$20,4,FALSE),0)</f>
        <v>0</v>
      </c>
      <c r="T62" s="125"/>
      <c r="U62" s="125">
        <f>IFERROR(VLOOKUP($L62,'2-2 引出数据_合同数据仓库'!$B$5:$BP$20,15,FALSE),0)</f>
        <v>0</v>
      </c>
      <c r="V62" s="125">
        <f t="shared" si="670"/>
        <v>0</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0</v>
      </c>
      <c r="AG62" s="157">
        <f t="shared" si="679"/>
        <v>45748</v>
      </c>
      <c r="AH62" s="157">
        <f t="shared" si="680"/>
        <v>45777</v>
      </c>
      <c r="AI62" s="161">
        <f t="shared" si="681"/>
        <v>0</v>
      </c>
      <c r="AJ62" s="157">
        <f t="shared" si="682"/>
        <v>45778</v>
      </c>
      <c r="AK62" s="157">
        <f t="shared" si="683"/>
        <v>45808</v>
      </c>
      <c r="AL62" s="161">
        <f t="shared" si="684"/>
        <v>0</v>
      </c>
      <c r="AM62" s="157">
        <f t="shared" si="685"/>
        <v>45809</v>
      </c>
      <c r="AN62" s="157">
        <f t="shared" si="686"/>
        <v>45838</v>
      </c>
      <c r="AO62" s="161">
        <f t="shared" si="687"/>
        <v>0</v>
      </c>
      <c r="AP62" s="157">
        <f t="shared" si="688"/>
        <v>45839</v>
      </c>
      <c r="AQ62" s="157">
        <f t="shared" si="689"/>
        <v>45869</v>
      </c>
      <c r="AR62" s="161">
        <f t="shared" si="690"/>
        <v>0</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hidden="1" customHeight="1" outlineLevel="4" spans="1:95">
      <c r="A63" s="126" t="s">
        <v>2770</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hidden="1" customHeight="1" outlineLevel="3" collapsed="1" spans="1:95">
      <c r="A64" s="118"/>
      <c r="B64" s="119" t="s">
        <v>747</v>
      </c>
      <c r="C64" s="120" t="s">
        <v>886</v>
      </c>
      <c r="D64" s="118" t="s">
        <v>887</v>
      </c>
      <c r="E64" s="119"/>
      <c r="F64" s="119"/>
      <c r="G64" s="119"/>
      <c r="H64" s="121">
        <f>X64+AA64+AD64+AG64+AJ64+AM64+AP64+AS64+AV64+AY64+BB64+BE64</f>
        <v>0</v>
      </c>
      <c r="I64" s="121">
        <f>Y64+AB64+AE64+AH64+AK64+AN64+AQ64+AT64+AW64+AZ64+BC64+BF64</f>
        <v>0</v>
      </c>
      <c r="J64" s="121">
        <f t="shared" si="5"/>
        <v>0</v>
      </c>
      <c r="K64" s="121"/>
      <c r="L64" s="149"/>
      <c r="M64" s="149"/>
      <c r="N64" s="121"/>
      <c r="O64" s="121"/>
      <c r="P64" s="121"/>
      <c r="Q64" s="121"/>
      <c r="R64" s="121"/>
      <c r="S64" s="121"/>
      <c r="T64" s="121"/>
      <c r="U64" s="121"/>
      <c r="V64" s="121"/>
      <c r="W64" s="121"/>
      <c r="X64" s="121">
        <f>VLOOKUP($C64,'1 预算编制表单'!$C:$BJ,27,FALSE)</f>
        <v>0</v>
      </c>
      <c r="Y64" s="121">
        <f>X64-Z64</f>
        <v>0</v>
      </c>
      <c r="Z64" s="121">
        <f>SUM(Z65:Z69)</f>
        <v>0</v>
      </c>
      <c r="AA64" s="121">
        <f>VLOOKUP($C64,'1 预算编制表单'!$C:$BJ,30,FALSE)</f>
        <v>0</v>
      </c>
      <c r="AB64" s="121">
        <f>AA64-AC64</f>
        <v>0</v>
      </c>
      <c r="AC64" s="121">
        <f>SUM(AC65:AC69)</f>
        <v>0</v>
      </c>
      <c r="AD64" s="121">
        <f>VLOOKUP($C64,'1 预算编制表单'!$C:$BJ,33,FALSE)</f>
        <v>0</v>
      </c>
      <c r="AE64" s="121">
        <f>AD64-AF64</f>
        <v>0</v>
      </c>
      <c r="AF64" s="121">
        <f>SUM(AF65:AF69)</f>
        <v>0</v>
      </c>
      <c r="AG64" s="121">
        <f>VLOOKUP($C64,'1 预算编制表单'!$C:$BJ,36,FALSE)</f>
        <v>0</v>
      </c>
      <c r="AH64" s="121">
        <f>AG64-AI64</f>
        <v>0</v>
      </c>
      <c r="AI64" s="121">
        <f>SUM(AI65:AI69)</f>
        <v>0</v>
      </c>
      <c r="AJ64" s="121">
        <f>VLOOKUP($C64,'1 预算编制表单'!$C:$BJ,39,FALSE)</f>
        <v>0</v>
      </c>
      <c r="AK64" s="121">
        <f>AJ64-AL64</f>
        <v>0</v>
      </c>
      <c r="AL64" s="121">
        <f>SUM(AL65:AL69)</f>
        <v>0</v>
      </c>
      <c r="AM64" s="121">
        <f>VLOOKUP($C64,'1 预算编制表单'!$C:$BJ,42,FALSE)</f>
        <v>0</v>
      </c>
      <c r="AN64" s="121">
        <f>AM64-AO64</f>
        <v>0</v>
      </c>
      <c r="AO64" s="121">
        <f>SUM(AO65:AO69)</f>
        <v>0</v>
      </c>
      <c r="AP64" s="121">
        <f>VLOOKUP($C64,'1 预算编制表单'!$C:$BJ,45,FALSE)</f>
        <v>0</v>
      </c>
      <c r="AQ64" s="121">
        <f>AP64-AR64</f>
        <v>0</v>
      </c>
      <c r="AR64" s="121">
        <f>SUM(AR65:AR69)</f>
        <v>0</v>
      </c>
      <c r="AS64" s="121">
        <f>VLOOKUP($C64,'1 预算编制表单'!$C:$BJ,48,FALSE)</f>
        <v>0</v>
      </c>
      <c r="AT64" s="121">
        <f>AS64-AU64</f>
        <v>0</v>
      </c>
      <c r="AU64" s="121">
        <f>SUM(AU65:AU69)</f>
        <v>0</v>
      </c>
      <c r="AV64" s="121">
        <f>VLOOKUP($C64,'1 预算编制表单'!$C:$BJ,51,FALSE)</f>
        <v>0</v>
      </c>
      <c r="AW64" s="121">
        <f>AV64-AX64</f>
        <v>0</v>
      </c>
      <c r="AX64" s="121">
        <f>SUM(AX65:AX69)</f>
        <v>0</v>
      </c>
      <c r="AY64" s="121">
        <f>VLOOKUP($C64,'1 预算编制表单'!$C:$BJ,54,FALSE)</f>
        <v>0</v>
      </c>
      <c r="AZ64" s="121">
        <f>AY64-BA64</f>
        <v>0</v>
      </c>
      <c r="BA64" s="121">
        <f>SUM(BA65:BA69)</f>
        <v>0</v>
      </c>
      <c r="BB64" s="121">
        <f>VLOOKUP($C64,'1 预算编制表单'!$C:$BJ,57,FALSE)</f>
        <v>0</v>
      </c>
      <c r="BC64" s="121">
        <f>BB64-BD64</f>
        <v>0</v>
      </c>
      <c r="BD64" s="121">
        <f>SUM(BD65:BD69)</f>
        <v>0</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hidden="1" customHeight="1" outlineLevel="4" spans="1:95">
      <c r="A65" s="122"/>
      <c r="B65" s="123"/>
      <c r="C65" s="124"/>
      <c r="D65" s="122"/>
      <c r="E65" s="123"/>
      <c r="F65" s="123"/>
      <c r="G65" s="123"/>
      <c r="H65" s="125"/>
      <c r="I65" s="125"/>
      <c r="J65" s="125">
        <f t="shared" si="5"/>
        <v>0</v>
      </c>
      <c r="K65" s="125">
        <v>1</v>
      </c>
      <c r="L65" s="150"/>
      <c r="M65" s="151">
        <f>IFERROR(VLOOKUP($L65,'2-2 引出数据_合同数据仓库'!$B$5:$BP$20,3,FALSE),0)</f>
        <v>0</v>
      </c>
      <c r="N65" s="125"/>
      <c r="O65" s="151">
        <f>IFERROR(VLOOKUP((LEFT(VLOOKUP($L65,'2-2 引出数据_合同数据仓库'!$B$5:$BP$20,64,FALSE),15)&amp;(RIGHT(VLOOKUP($L65,'2-2 引出数据_合同数据仓库'!$B$5:$BP$20,64,FALSE),4)+1)),'2-2 引出数据_合同数据仓库'!$B$5:$BP$20,3,FALSE),0)</f>
        <v>0</v>
      </c>
      <c r="P65" s="125"/>
      <c r="Q65" s="125">
        <f>IFERROR(VLOOKUP($L65,'2-2 引出数据_合同数据仓库'!$B$5:$BP$20,28,FALSE),0)</f>
        <v>0</v>
      </c>
      <c r="R65" s="125">
        <f>IFERROR(VLOOKUP($L65,'2-2 引出数据_合同数据仓库'!$B$5:$BP$20,29,FALSE),0)</f>
        <v>0</v>
      </c>
      <c r="S65" s="125">
        <f>IFERROR(VLOOKUP($L65,'2-2 引出数据_合同数据仓库'!$B$5:$BP$20,4,FALSE),0)</f>
        <v>0</v>
      </c>
      <c r="T65" s="125"/>
      <c r="U65" s="125">
        <f>IFERROR(VLOOKUP($L65,'2-2 引出数据_合同数据仓库'!$B$5:$BP$20,15,FALSE),0)</f>
        <v>0</v>
      </c>
      <c r="V65" s="125">
        <f t="shared" ref="V65:V68" si="742">U65/(S65-R65+1)*365</f>
        <v>0</v>
      </c>
      <c r="W65" s="125"/>
      <c r="X65" s="157">
        <v>45658</v>
      </c>
      <c r="Y65" s="157">
        <f t="shared" ref="Y65:Y68" si="743">X65+30</f>
        <v>45688</v>
      </c>
      <c r="Z65" s="161">
        <f t="shared" ref="Z65:Z68" si="744">IFERROR(IF(($R65-Y65)&gt;=0,0,IF(($S65-X65)&lt;0,0,IF(AND(($S65-Y65)&gt;0,(X65-$R65)&gt;0),$V65/365*(Y65-X65+1),IF(AND(($S65-Y65)&lt;=0,(X65-$R65)&gt;0),$V65/365*($S65-X65+1),$V65/365*(Y65-$R65+1))))),0)</f>
        <v>0</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0</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0</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0</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0</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0</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0</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0</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0</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0</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0</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hidden="1" customHeight="1" outlineLevel="4" spans="1:95">
      <c r="A66" s="122"/>
      <c r="B66" s="123"/>
      <c r="C66" s="124"/>
      <c r="D66" s="122"/>
      <c r="E66" s="123"/>
      <c r="F66" s="123"/>
      <c r="G66" s="123"/>
      <c r="H66" s="125"/>
      <c r="I66" s="125"/>
      <c r="J66" s="125">
        <f t="shared" si="5"/>
        <v>0</v>
      </c>
      <c r="K66" s="125">
        <f t="shared" ref="K66:K68" si="813">K65+1</f>
        <v>2</v>
      </c>
      <c r="L66" s="150"/>
      <c r="M66" s="151">
        <f>IFERROR(VLOOKUP($L66,'2-2 引出数据_合同数据仓库'!$B$5:$BP$20,3,FALSE),0)</f>
        <v>0</v>
      </c>
      <c r="N66" s="125"/>
      <c r="O66" s="151">
        <f>IFERROR(VLOOKUP((LEFT(VLOOKUP($L66,'2-2 引出数据_合同数据仓库'!$B$5:$BP$20,64,FALSE),15)&amp;(RIGHT(VLOOKUP($L66,'2-2 引出数据_合同数据仓库'!$B$5:$BP$20,64,FALSE),4)+1)),'2-2 引出数据_合同数据仓库'!$B$5:$BP$20,3,FALSE),0)</f>
        <v>0</v>
      </c>
      <c r="P66" s="125"/>
      <c r="Q66" s="125">
        <f>IFERROR(VLOOKUP($L66,'2-2 引出数据_合同数据仓库'!$B$5:$BP$20,28,FALSE),0)</f>
        <v>0</v>
      </c>
      <c r="R66" s="125">
        <f>IFERROR(VLOOKUP($L66,'2-2 引出数据_合同数据仓库'!$B$5:$BP$20,29,FALSE),0)</f>
        <v>0</v>
      </c>
      <c r="S66" s="125">
        <f>IFERROR(VLOOKUP($L66,'2-2 引出数据_合同数据仓库'!$B$5:$BP$20,4,FALSE),0)</f>
        <v>0</v>
      </c>
      <c r="T66" s="125"/>
      <c r="U66" s="125">
        <f>IFERROR(VLOOKUP($L66,'2-2 引出数据_合同数据仓库'!$B$5:$BP$20,15,FALSE),0)</f>
        <v>0</v>
      </c>
      <c r="V66" s="125">
        <f t="shared" si="742"/>
        <v>0</v>
      </c>
      <c r="W66" s="125"/>
      <c r="X66" s="157">
        <v>45658</v>
      </c>
      <c r="Y66" s="157">
        <f t="shared" si="743"/>
        <v>45688</v>
      </c>
      <c r="Z66" s="161">
        <f t="shared" si="744"/>
        <v>0</v>
      </c>
      <c r="AA66" s="157">
        <f t="shared" si="745"/>
        <v>45689</v>
      </c>
      <c r="AB66" s="157">
        <f t="shared" si="746"/>
        <v>45716</v>
      </c>
      <c r="AC66" s="161">
        <f t="shared" si="747"/>
        <v>0</v>
      </c>
      <c r="AD66" s="157">
        <f t="shared" si="748"/>
        <v>45717</v>
      </c>
      <c r="AE66" s="157">
        <f t="shared" si="749"/>
        <v>45747</v>
      </c>
      <c r="AF66" s="161">
        <f t="shared" si="750"/>
        <v>0</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hidden="1"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引出数据_合同数据仓库'!$B$5:$BP$20,3,FALSE),0)</f>
        <v>0</v>
      </c>
      <c r="N67" s="125"/>
      <c r="O67" s="151">
        <f>IFERROR(VLOOKUP((LEFT(VLOOKUP($L67,'2-2 引出数据_合同数据仓库'!$B$5:$BP$20,64,FALSE),15)&amp;(RIGHT(VLOOKUP($L67,'2-2 引出数据_合同数据仓库'!$B$5:$BP$20,64,FALSE),4)+1)),'2-2 引出数据_合同数据仓库'!$B$5:$BP$20,3,FALSE),0)</f>
        <v>0</v>
      </c>
      <c r="P67" s="125"/>
      <c r="Q67" s="125">
        <f>IFERROR(VLOOKUP($L67,'2-2 引出数据_合同数据仓库'!$B$5:$BP$20,28,FALSE),0)</f>
        <v>0</v>
      </c>
      <c r="R67" s="125">
        <f>IFERROR(VLOOKUP($L67,'2-2 引出数据_合同数据仓库'!$B$5:$BP$20,29,FALSE),0)</f>
        <v>0</v>
      </c>
      <c r="S67" s="125">
        <f>IFERROR(VLOOKUP($L67,'2-2 引出数据_合同数据仓库'!$B$5:$BP$20,4,FALSE),0)</f>
        <v>0</v>
      </c>
      <c r="T67" s="125"/>
      <c r="U67" s="125">
        <f>IFERROR(VLOOKUP($L67,'2-2 引出数据_合同数据仓库'!$B$5:$BP$20,15,FALSE),0)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hidden="1"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引出数据_合同数据仓库'!$B$5:$BP$20,3,FALSE),0)</f>
        <v>0</v>
      </c>
      <c r="N68" s="125"/>
      <c r="O68" s="151">
        <f>IFERROR(VLOOKUP((LEFT(VLOOKUP($L68,'2-2 引出数据_合同数据仓库'!$B$5:$BP$20,64,FALSE),15)&amp;(RIGHT(VLOOKUP($L68,'2-2 引出数据_合同数据仓库'!$B$5:$BP$20,64,FALSE),4)+1)),'2-2 引出数据_合同数据仓库'!$B$5:$BP$20,3,FALSE),0)</f>
        <v>0</v>
      </c>
      <c r="P68" s="125"/>
      <c r="Q68" s="125">
        <f>IFERROR(VLOOKUP($L68,'2-2 引出数据_合同数据仓库'!$B$5:$BP$20,28,FALSE),0)</f>
        <v>0</v>
      </c>
      <c r="R68" s="125">
        <f>IFERROR(VLOOKUP($L68,'2-2 引出数据_合同数据仓库'!$B$5:$BP$20,29,FALSE),0)</f>
        <v>0</v>
      </c>
      <c r="S68" s="125">
        <f>IFERROR(VLOOKUP($L68,'2-2 引出数据_合同数据仓库'!$B$5:$BP$20,4,FALSE),0)</f>
        <v>0</v>
      </c>
      <c r="T68" s="125"/>
      <c r="U68" s="125">
        <f>IFERROR(VLOOKUP($L68,'2-2 引出数据_合同数据仓库'!$B$5:$BP$20,15,FALSE),0)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hidden="1" customHeight="1" outlineLevel="4" spans="1:95">
      <c r="A69" s="126" t="s">
        <v>2770</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hidden="1" customHeight="1" outlineLevel="2" collapsed="1" spans="1:95">
      <c r="A70" s="48"/>
      <c r="B70" s="115" t="s">
        <v>742</v>
      </c>
      <c r="C70" s="116" t="s">
        <v>931</v>
      </c>
      <c r="D70" s="48" t="s">
        <v>932</v>
      </c>
      <c r="E70" s="115"/>
      <c r="F70" s="115"/>
      <c r="G70" s="115"/>
      <c r="H70" s="117">
        <f>X70+AA70+AD70+AG70+AJ70+AM70+AP70+AS70+AV70+AY70+BB70+BE70</f>
        <v>221508</v>
      </c>
      <c r="I70" s="117">
        <f>Y70+AB70+AE70+AH70+AK70+AN70+AQ70+AT70+AW70+AZ70+BC70+BF70</f>
        <v>221508</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18459</v>
      </c>
      <c r="Y70" s="117">
        <f>X70-Z70</f>
        <v>18459</v>
      </c>
      <c r="Z70" s="117">
        <f>Z71+Z77+Z83+Z89</f>
        <v>0</v>
      </c>
      <c r="AA70" s="117">
        <f>VLOOKUP($C70,'1 预算编制表单'!$C:$BJ,30,FALSE)</f>
        <v>18459</v>
      </c>
      <c r="AB70" s="117">
        <f>AA70-AC70</f>
        <v>18459</v>
      </c>
      <c r="AC70" s="117">
        <f>AC71+AC77+AC83+AC89</f>
        <v>0</v>
      </c>
      <c r="AD70" s="117">
        <f>VLOOKUP($C70,'1 预算编制表单'!$C:$BJ,33,FALSE)</f>
        <v>18459</v>
      </c>
      <c r="AE70" s="117">
        <f>AD70-AF70</f>
        <v>18459</v>
      </c>
      <c r="AF70" s="117">
        <f>AF71+AF77+AF83+AF89</f>
        <v>0</v>
      </c>
      <c r="AG70" s="117">
        <f>VLOOKUP($C70,'1 预算编制表单'!$C:$BJ,36,FALSE)</f>
        <v>18459</v>
      </c>
      <c r="AH70" s="117">
        <f>AG70-AI70</f>
        <v>18459</v>
      </c>
      <c r="AI70" s="117">
        <f>AI71+AI77+AI83+AI89</f>
        <v>0</v>
      </c>
      <c r="AJ70" s="117">
        <f>VLOOKUP($C70,'1 预算编制表单'!$C:$BJ,39,FALSE)</f>
        <v>18459</v>
      </c>
      <c r="AK70" s="117">
        <f>AJ70-AL70</f>
        <v>18459</v>
      </c>
      <c r="AL70" s="117">
        <f>AL71+AL77+AL83+AL89</f>
        <v>0</v>
      </c>
      <c r="AM70" s="117">
        <f>VLOOKUP($C70,'1 预算编制表单'!$C:$BJ,42,FALSE)</f>
        <v>18459</v>
      </c>
      <c r="AN70" s="117">
        <f>AM70-AO70</f>
        <v>18459</v>
      </c>
      <c r="AO70" s="117">
        <f>AO71+AO77+AO83+AO89</f>
        <v>0</v>
      </c>
      <c r="AP70" s="117">
        <f>VLOOKUP($C70,'1 预算编制表单'!$C:$BJ,45,FALSE)</f>
        <v>18459</v>
      </c>
      <c r="AQ70" s="117">
        <f>AP70-AR70</f>
        <v>18459</v>
      </c>
      <c r="AR70" s="117">
        <f>AR71+AR77+AR83+AR89</f>
        <v>0</v>
      </c>
      <c r="AS70" s="117">
        <f>VLOOKUP($C70,'1 预算编制表单'!$C:$BJ,48,FALSE)</f>
        <v>18459</v>
      </c>
      <c r="AT70" s="117">
        <f>AS70-AU70</f>
        <v>18459</v>
      </c>
      <c r="AU70" s="117">
        <f>AU71+AU77+AU83+AU89</f>
        <v>0</v>
      </c>
      <c r="AV70" s="117">
        <f>VLOOKUP($C70,'1 预算编制表单'!$C:$BJ,51,FALSE)</f>
        <v>18459</v>
      </c>
      <c r="AW70" s="117">
        <f>AV70-AX70</f>
        <v>18459</v>
      </c>
      <c r="AX70" s="117">
        <f>AX71+AX77+AX83+AX89</f>
        <v>0</v>
      </c>
      <c r="AY70" s="117">
        <f>VLOOKUP($C70,'1 预算编制表单'!$C:$BJ,54,FALSE)</f>
        <v>18459</v>
      </c>
      <c r="AZ70" s="117">
        <f>AY70-BA70</f>
        <v>18459</v>
      </c>
      <c r="BA70" s="117">
        <f>BA71+BA77+BA83+BA89</f>
        <v>0</v>
      </c>
      <c r="BB70" s="117">
        <f>VLOOKUP($C70,'1 预算编制表单'!$C:$BJ,57,FALSE)</f>
        <v>18459</v>
      </c>
      <c r="BC70" s="117">
        <f>BB70-BD70</f>
        <v>18459</v>
      </c>
      <c r="BD70" s="117">
        <f>BD71+BD77+BD83+BD89</f>
        <v>0</v>
      </c>
      <c r="BE70" s="117">
        <f>VLOOKUP($C70,'1 预算编制表单'!$C:$BJ,60,FALSE)</f>
        <v>18459</v>
      </c>
      <c r="BF70" s="117">
        <f>BE70-BG70</f>
        <v>18459</v>
      </c>
      <c r="BG70" s="117">
        <f>BG71+BG77+BG83+BG89</f>
        <v>0</v>
      </c>
      <c r="BH70" s="117">
        <f>VLOOKUP($C70,'1 预算编制表单'!$C:$BJ,27,FALSE)</f>
        <v>18459</v>
      </c>
      <c r="BI70" s="117">
        <f>BH70-BJ70</f>
        <v>18459</v>
      </c>
      <c r="BJ70" s="117">
        <f>BJ71+BJ77+BJ83+BJ89</f>
        <v>0</v>
      </c>
      <c r="BK70" s="117">
        <f>VLOOKUP($C70,'1 预算编制表单'!$C:$BJ,30,FALSE)</f>
        <v>18459</v>
      </c>
      <c r="BL70" s="117">
        <f>BK70-BM70</f>
        <v>18459</v>
      </c>
      <c r="BM70" s="117">
        <f>BM71+BM77+BM83+BM89</f>
        <v>0</v>
      </c>
      <c r="BN70" s="117">
        <f>VLOOKUP($C70,'1 预算编制表单'!$C:$BJ,33,FALSE)</f>
        <v>18459</v>
      </c>
      <c r="BO70" s="117">
        <f>BN70-BP70</f>
        <v>18459</v>
      </c>
      <c r="BP70" s="117">
        <f>BP71+BP77+BP83+BP89</f>
        <v>0</v>
      </c>
      <c r="BQ70" s="117">
        <f>VLOOKUP($C70,'1 预算编制表单'!$C:$BJ,36,FALSE)</f>
        <v>18459</v>
      </c>
      <c r="BR70" s="117">
        <f>BQ70-BS70</f>
        <v>18459</v>
      </c>
      <c r="BS70" s="117">
        <f>BS71+BS77+BS83+BS89</f>
        <v>0</v>
      </c>
      <c r="BT70" s="117">
        <f>VLOOKUP($C70,'1 预算编制表单'!$C:$BJ,39,FALSE)</f>
        <v>18459</v>
      </c>
      <c r="BU70" s="117">
        <f>BT70-BV70</f>
        <v>18459</v>
      </c>
      <c r="BV70" s="117">
        <f>BV71+BV77+BV83+BV89</f>
        <v>0</v>
      </c>
      <c r="BW70" s="117">
        <f>VLOOKUP($C70,'1 预算编制表单'!$C:$BJ,42,FALSE)</f>
        <v>18459</v>
      </c>
      <c r="BX70" s="117">
        <f>BW70-BY70</f>
        <v>18459</v>
      </c>
      <c r="BY70" s="117">
        <f>BY71+BY77+BY83+BY89</f>
        <v>0</v>
      </c>
      <c r="BZ70" s="117">
        <f>VLOOKUP($C70,'1 预算编制表单'!$C:$BJ,45,FALSE)</f>
        <v>18459</v>
      </c>
      <c r="CA70" s="117">
        <f>BZ70-CB70</f>
        <v>18459</v>
      </c>
      <c r="CB70" s="117">
        <f>CB71+CB77+CB83+CB89</f>
        <v>0</v>
      </c>
      <c r="CC70" s="117">
        <f>VLOOKUP($C70,'1 预算编制表单'!$C:$BJ,48,FALSE)</f>
        <v>18459</v>
      </c>
      <c r="CD70" s="117">
        <f>CC70-CE70</f>
        <v>18459</v>
      </c>
      <c r="CE70" s="117">
        <f>CE71+CE77+CE83+CE89</f>
        <v>0</v>
      </c>
      <c r="CF70" s="117">
        <f>VLOOKUP($C70,'1 预算编制表单'!$C:$BJ,51,FALSE)</f>
        <v>18459</v>
      </c>
      <c r="CG70" s="117">
        <f>CF70-CH70</f>
        <v>18459</v>
      </c>
      <c r="CH70" s="117">
        <f>CH71+CH77+CH83+CH89</f>
        <v>0</v>
      </c>
      <c r="CI70" s="117">
        <f>VLOOKUP($C70,'1 预算编制表单'!$C:$BJ,54,FALSE)</f>
        <v>18459</v>
      </c>
      <c r="CJ70" s="117">
        <f>CI70-CK70</f>
        <v>18459</v>
      </c>
      <c r="CK70" s="117">
        <f>CK71+CK77+CK83+CK89</f>
        <v>0</v>
      </c>
      <c r="CL70" s="117">
        <f>VLOOKUP($C70,'1 预算编制表单'!$C:$BJ,57,FALSE)</f>
        <v>18459</v>
      </c>
      <c r="CM70" s="117">
        <f>CL70-CN70</f>
        <v>18459</v>
      </c>
      <c r="CN70" s="117">
        <f>CN71+CN77+CN83+CN89</f>
        <v>0</v>
      </c>
      <c r="CO70" s="117">
        <f>VLOOKUP($C70,'1 预算编制表单'!$C:$BJ,60,FALSE)</f>
        <v>18459</v>
      </c>
      <c r="CP70" s="117">
        <f>CO70-CQ70</f>
        <v>18459</v>
      </c>
      <c r="CQ70" s="117">
        <f>CQ71+CQ77+CQ83+CQ89</f>
        <v>0</v>
      </c>
    </row>
    <row r="71" ht="24" hidden="1" customHeight="1" outlineLevel="3" collapsed="1" spans="1:95">
      <c r="A71" s="118"/>
      <c r="B71" s="119" t="s">
        <v>747</v>
      </c>
      <c r="C71" s="120" t="s">
        <v>118</v>
      </c>
      <c r="D71" s="118" t="s">
        <v>109</v>
      </c>
      <c r="E71" s="119"/>
      <c r="F71" s="119"/>
      <c r="G71" s="119"/>
      <c r="H71" s="121">
        <f>X71+AA71+AD71+AG71+AJ71+AM71+AP71+AS71+AV71+AY71+BB71+BE71</f>
        <v>221508</v>
      </c>
      <c r="I71" s="121">
        <f>Y71+AB71+AE71+AH71+AK71+AN71+AQ71+AT71+AW71+AZ71+BC71+BF71</f>
        <v>221508</v>
      </c>
      <c r="J71" s="121">
        <f t="shared" si="814"/>
        <v>0</v>
      </c>
      <c r="K71" s="121"/>
      <c r="L71" s="149"/>
      <c r="M71" s="149"/>
      <c r="N71" s="121"/>
      <c r="O71" s="121"/>
      <c r="P71" s="121"/>
      <c r="Q71" s="121"/>
      <c r="R71" s="121"/>
      <c r="S71" s="121"/>
      <c r="T71" s="121"/>
      <c r="U71" s="121"/>
      <c r="V71" s="121"/>
      <c r="W71" s="121"/>
      <c r="X71" s="121">
        <f>VLOOKUP($C71,'1 预算编制表单'!$C:$BJ,27,FALSE)</f>
        <v>18459</v>
      </c>
      <c r="Y71" s="121">
        <f>X71-Z71</f>
        <v>18459</v>
      </c>
      <c r="Z71" s="121">
        <f>SUM(Z72:Z76)</f>
        <v>0</v>
      </c>
      <c r="AA71" s="121">
        <f>VLOOKUP($C71,'1 预算编制表单'!$C:$BJ,30,FALSE)</f>
        <v>18459</v>
      </c>
      <c r="AB71" s="121">
        <f>AA71-AC71</f>
        <v>18459</v>
      </c>
      <c r="AC71" s="121">
        <f>SUM(AC72:AC76)</f>
        <v>0</v>
      </c>
      <c r="AD71" s="121">
        <f>VLOOKUP($C71,'1 预算编制表单'!$C:$BJ,33,FALSE)</f>
        <v>18459</v>
      </c>
      <c r="AE71" s="121">
        <f>AD71-AF71</f>
        <v>18459</v>
      </c>
      <c r="AF71" s="121">
        <f>SUM(AF72:AF76)</f>
        <v>0</v>
      </c>
      <c r="AG71" s="121">
        <f>VLOOKUP($C71,'1 预算编制表单'!$C:$BJ,36,FALSE)</f>
        <v>18459</v>
      </c>
      <c r="AH71" s="121">
        <f>AG71-AI71</f>
        <v>18459</v>
      </c>
      <c r="AI71" s="121">
        <f>SUM(AI72:AI76)</f>
        <v>0</v>
      </c>
      <c r="AJ71" s="121">
        <f>VLOOKUP($C71,'1 预算编制表单'!$C:$BJ,39,FALSE)</f>
        <v>18459</v>
      </c>
      <c r="AK71" s="121">
        <f>AJ71-AL71</f>
        <v>18459</v>
      </c>
      <c r="AL71" s="121">
        <f>SUM(AL72:AL76)</f>
        <v>0</v>
      </c>
      <c r="AM71" s="121">
        <f>VLOOKUP($C71,'1 预算编制表单'!$C:$BJ,42,FALSE)</f>
        <v>18459</v>
      </c>
      <c r="AN71" s="121">
        <f>AM71-AO71</f>
        <v>18459</v>
      </c>
      <c r="AO71" s="121">
        <f>SUM(AO72:AO76)</f>
        <v>0</v>
      </c>
      <c r="AP71" s="121">
        <f>VLOOKUP($C71,'1 预算编制表单'!$C:$BJ,45,FALSE)</f>
        <v>18459</v>
      </c>
      <c r="AQ71" s="121">
        <f>AP71-AR71</f>
        <v>18459</v>
      </c>
      <c r="AR71" s="121">
        <f>SUM(AR72:AR76)</f>
        <v>0</v>
      </c>
      <c r="AS71" s="121">
        <f>VLOOKUP($C71,'1 预算编制表单'!$C:$BJ,48,FALSE)</f>
        <v>18459</v>
      </c>
      <c r="AT71" s="121">
        <f>AS71-AU71</f>
        <v>18459</v>
      </c>
      <c r="AU71" s="121">
        <f>SUM(AU72:AU76)</f>
        <v>0</v>
      </c>
      <c r="AV71" s="121">
        <f>VLOOKUP($C71,'1 预算编制表单'!$C:$BJ,51,FALSE)</f>
        <v>18459</v>
      </c>
      <c r="AW71" s="121">
        <f>AV71-AX71</f>
        <v>18459</v>
      </c>
      <c r="AX71" s="121">
        <f>SUM(AX72:AX76)</f>
        <v>0</v>
      </c>
      <c r="AY71" s="121">
        <f>VLOOKUP($C71,'1 预算编制表单'!$C:$BJ,54,FALSE)</f>
        <v>18459</v>
      </c>
      <c r="AZ71" s="121">
        <f>AY71-BA71</f>
        <v>18459</v>
      </c>
      <c r="BA71" s="121">
        <f>SUM(BA72:BA76)</f>
        <v>0</v>
      </c>
      <c r="BB71" s="121">
        <f>VLOOKUP($C71,'1 预算编制表单'!$C:$BJ,57,FALSE)</f>
        <v>18459</v>
      </c>
      <c r="BC71" s="121">
        <f>BB71-BD71</f>
        <v>18459</v>
      </c>
      <c r="BD71" s="121">
        <f>SUM(BD72:BD76)</f>
        <v>0</v>
      </c>
      <c r="BE71" s="121">
        <f>VLOOKUP($C71,'1 预算编制表单'!$C:$BJ,60,FALSE)</f>
        <v>18459</v>
      </c>
      <c r="BF71" s="121">
        <f>BE71-BG71</f>
        <v>18459</v>
      </c>
      <c r="BG71" s="121">
        <f>SUM(BG72:BG76)</f>
        <v>0</v>
      </c>
      <c r="BH71" s="121">
        <f>VLOOKUP($C71,'1 预算编制表单'!$C:$BJ,27,FALSE)</f>
        <v>18459</v>
      </c>
      <c r="BI71" s="121">
        <f>BH71-BJ71</f>
        <v>18459</v>
      </c>
      <c r="BJ71" s="121">
        <f>SUM(BJ72:BJ76)</f>
        <v>0</v>
      </c>
      <c r="BK71" s="121">
        <f>VLOOKUP($C71,'1 预算编制表单'!$C:$BJ,30,FALSE)</f>
        <v>18459</v>
      </c>
      <c r="BL71" s="121">
        <f>BK71-BM71</f>
        <v>18459</v>
      </c>
      <c r="BM71" s="121">
        <f>SUM(BM72:BM76)</f>
        <v>0</v>
      </c>
      <c r="BN71" s="121">
        <f>VLOOKUP($C71,'1 预算编制表单'!$C:$BJ,33,FALSE)</f>
        <v>18459</v>
      </c>
      <c r="BO71" s="121">
        <f>BN71-BP71</f>
        <v>18459</v>
      </c>
      <c r="BP71" s="121">
        <f>SUM(BP72:BP76)</f>
        <v>0</v>
      </c>
      <c r="BQ71" s="121">
        <f>VLOOKUP($C71,'1 预算编制表单'!$C:$BJ,36,FALSE)</f>
        <v>18459</v>
      </c>
      <c r="BR71" s="121">
        <f>BQ71-BS71</f>
        <v>18459</v>
      </c>
      <c r="BS71" s="121">
        <f>SUM(BS72:BS76)</f>
        <v>0</v>
      </c>
      <c r="BT71" s="121">
        <f>VLOOKUP($C71,'1 预算编制表单'!$C:$BJ,39,FALSE)</f>
        <v>18459</v>
      </c>
      <c r="BU71" s="121">
        <f>BT71-BV71</f>
        <v>18459</v>
      </c>
      <c r="BV71" s="121">
        <f>SUM(BV72:BV76)</f>
        <v>0</v>
      </c>
      <c r="BW71" s="121">
        <f>VLOOKUP($C71,'1 预算编制表单'!$C:$BJ,42,FALSE)</f>
        <v>18459</v>
      </c>
      <c r="BX71" s="121">
        <f>BW71-BY71</f>
        <v>18459</v>
      </c>
      <c r="BY71" s="121">
        <f>SUM(BY72:BY76)</f>
        <v>0</v>
      </c>
      <c r="BZ71" s="121">
        <f>VLOOKUP($C71,'1 预算编制表单'!$C:$BJ,45,FALSE)</f>
        <v>18459</v>
      </c>
      <c r="CA71" s="121">
        <f>BZ71-CB71</f>
        <v>18459</v>
      </c>
      <c r="CB71" s="121">
        <f>SUM(CB72:CB76)</f>
        <v>0</v>
      </c>
      <c r="CC71" s="121">
        <f>VLOOKUP($C71,'1 预算编制表单'!$C:$BJ,48,FALSE)</f>
        <v>18459</v>
      </c>
      <c r="CD71" s="121">
        <f>CC71-CE71</f>
        <v>18459</v>
      </c>
      <c r="CE71" s="121">
        <f>SUM(CE72:CE76)</f>
        <v>0</v>
      </c>
      <c r="CF71" s="121">
        <f>VLOOKUP($C71,'1 预算编制表单'!$C:$BJ,51,FALSE)</f>
        <v>18459</v>
      </c>
      <c r="CG71" s="121">
        <f>CF71-CH71</f>
        <v>18459</v>
      </c>
      <c r="CH71" s="121">
        <f>SUM(CH72:CH76)</f>
        <v>0</v>
      </c>
      <c r="CI71" s="121">
        <f>VLOOKUP($C71,'1 预算编制表单'!$C:$BJ,54,FALSE)</f>
        <v>18459</v>
      </c>
      <c r="CJ71" s="121">
        <f>CI71-CK71</f>
        <v>18459</v>
      </c>
      <c r="CK71" s="121">
        <f>SUM(CK72:CK76)</f>
        <v>0</v>
      </c>
      <c r="CL71" s="121">
        <f>VLOOKUP($C71,'1 预算编制表单'!$C:$BJ,57,FALSE)</f>
        <v>18459</v>
      </c>
      <c r="CM71" s="121">
        <f>CL71-CN71</f>
        <v>18459</v>
      </c>
      <c r="CN71" s="121">
        <f>SUM(CN72:CN76)</f>
        <v>0</v>
      </c>
      <c r="CO71" s="121">
        <f>VLOOKUP($C71,'1 预算编制表单'!$C:$BJ,60,FALSE)</f>
        <v>18459</v>
      </c>
      <c r="CP71" s="121">
        <f>CO71-CQ71</f>
        <v>18459</v>
      </c>
      <c r="CQ71" s="121">
        <f>SUM(CQ72:CQ76)</f>
        <v>0</v>
      </c>
    </row>
    <row r="72" s="83" customFormat="1" ht="24" hidden="1" customHeight="1" outlineLevel="4" spans="1:95">
      <c r="A72" s="122"/>
      <c r="B72" s="123"/>
      <c r="C72" s="124"/>
      <c r="D72" s="122"/>
      <c r="E72" s="123"/>
      <c r="F72" s="123"/>
      <c r="G72" s="123"/>
      <c r="H72" s="125"/>
      <c r="I72" s="125"/>
      <c r="J72" s="125">
        <f t="shared" si="814"/>
        <v>0</v>
      </c>
      <c r="K72" s="125">
        <v>1</v>
      </c>
      <c r="L72" s="150"/>
      <c r="M72" s="151">
        <f>IFERROR(VLOOKUP($L72,'2-2 引出数据_合同数据仓库'!$B$5:$BP$20,3,FALSE),0)</f>
        <v>0</v>
      </c>
      <c r="N72" s="125"/>
      <c r="O72" s="151">
        <f>IFERROR(VLOOKUP((LEFT(VLOOKUP($L72,'2-2 引出数据_合同数据仓库'!$B$5:$BP$20,64,FALSE),15)&amp;(RIGHT(VLOOKUP($L72,'2-2 引出数据_合同数据仓库'!$B$5:$BP$20,64,FALSE),4)+1)),'2-2 引出数据_合同数据仓库'!$B$5:$BP$20,3,FALSE),0)</f>
        <v>0</v>
      </c>
      <c r="P72" s="125"/>
      <c r="Q72" s="125">
        <f>IFERROR(VLOOKUP($L72,'2-2 引出数据_合同数据仓库'!$B$5:$BP$20,28,FALSE),0)</f>
        <v>0</v>
      </c>
      <c r="R72" s="125">
        <f>IFERROR(VLOOKUP($L72,'2-2 引出数据_合同数据仓库'!$B$5:$BP$20,29,FALSE),0)</f>
        <v>0</v>
      </c>
      <c r="S72" s="125">
        <f>IFERROR(VLOOKUP($L72,'2-2 引出数据_合同数据仓库'!$B$5:$BP$20,4,FALSE),0)</f>
        <v>0</v>
      </c>
      <c r="T72" s="125"/>
      <c r="U72" s="125">
        <f>IFERROR(VLOOKUP($L72,'2-2 引出数据_合同数据仓库'!$B$5:$BP$20,15,FALSE),0)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hidden="1"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引出数据_合同数据仓库'!$B$5:$BP$20,3,FALSE),0)</f>
        <v>0</v>
      </c>
      <c r="N73" s="125"/>
      <c r="O73" s="151">
        <f>IFERROR(VLOOKUP((LEFT(VLOOKUP($L73,'2-2 引出数据_合同数据仓库'!$B$5:$BP$20,64,FALSE),15)&amp;(RIGHT(VLOOKUP($L73,'2-2 引出数据_合同数据仓库'!$B$5:$BP$20,64,FALSE),4)+1)),'2-2 引出数据_合同数据仓库'!$B$5:$BP$20,3,FALSE),0)</f>
        <v>0</v>
      </c>
      <c r="P73" s="125"/>
      <c r="Q73" s="125">
        <f>IFERROR(VLOOKUP($L73,'2-2 引出数据_合同数据仓库'!$B$5:$BP$20,28,FALSE),0)</f>
        <v>0</v>
      </c>
      <c r="R73" s="125">
        <f>IFERROR(VLOOKUP($L73,'2-2 引出数据_合同数据仓库'!$B$5:$BP$20,29,FALSE),0)</f>
        <v>0</v>
      </c>
      <c r="S73" s="125">
        <f>IFERROR(VLOOKUP($L73,'2-2 引出数据_合同数据仓库'!$B$5:$BP$20,4,FALSE),0)</f>
        <v>0</v>
      </c>
      <c r="T73" s="125"/>
      <c r="U73" s="125">
        <f>IFERROR(VLOOKUP($L73,'2-2 引出数据_合同数据仓库'!$B$5:$BP$20,15,FALSE),0)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hidden="1"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引出数据_合同数据仓库'!$B$5:$BP$20,3,FALSE),0)</f>
        <v>0</v>
      </c>
      <c r="N74" s="125"/>
      <c r="O74" s="151">
        <f>IFERROR(VLOOKUP((LEFT(VLOOKUP($L74,'2-2 引出数据_合同数据仓库'!$B$5:$BP$20,64,FALSE),15)&amp;(RIGHT(VLOOKUP($L74,'2-2 引出数据_合同数据仓库'!$B$5:$BP$20,64,FALSE),4)+1)),'2-2 引出数据_合同数据仓库'!$B$5:$BP$20,3,FALSE),0)</f>
        <v>0</v>
      </c>
      <c r="P74" s="125"/>
      <c r="Q74" s="125">
        <f>IFERROR(VLOOKUP($L74,'2-2 引出数据_合同数据仓库'!$B$5:$BP$20,28,FALSE),0)</f>
        <v>0</v>
      </c>
      <c r="R74" s="125">
        <f>IFERROR(VLOOKUP($L74,'2-2 引出数据_合同数据仓库'!$B$5:$BP$20,29,FALSE),0)</f>
        <v>0</v>
      </c>
      <c r="S74" s="125">
        <f>IFERROR(VLOOKUP($L74,'2-2 引出数据_合同数据仓库'!$B$5:$BP$20,4,FALSE),0)</f>
        <v>0</v>
      </c>
      <c r="T74" s="125"/>
      <c r="U74" s="125">
        <f>IFERROR(VLOOKUP($L74,'2-2 引出数据_合同数据仓库'!$B$5:$BP$20,15,FALSE),0)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hidden="1"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引出数据_合同数据仓库'!$B$5:$BP$20,3,FALSE),0)</f>
        <v>0</v>
      </c>
      <c r="N75" s="125"/>
      <c r="O75" s="151">
        <f>IFERROR(VLOOKUP((LEFT(VLOOKUP($L75,'2-2 引出数据_合同数据仓库'!$B$5:$BP$20,64,FALSE),15)&amp;(RIGHT(VLOOKUP($L75,'2-2 引出数据_合同数据仓库'!$B$5:$BP$20,64,FALSE),4)+1)),'2-2 引出数据_合同数据仓库'!$B$5:$BP$20,3,FALSE),0)</f>
        <v>0</v>
      </c>
      <c r="P75" s="125"/>
      <c r="Q75" s="125">
        <f>IFERROR(VLOOKUP($L75,'2-2 引出数据_合同数据仓库'!$B$5:$BP$20,28,FALSE),0)</f>
        <v>0</v>
      </c>
      <c r="R75" s="125">
        <f>IFERROR(VLOOKUP($L75,'2-2 引出数据_合同数据仓库'!$B$5:$BP$20,29,FALSE),0)</f>
        <v>0</v>
      </c>
      <c r="S75" s="125">
        <f>IFERROR(VLOOKUP($L75,'2-2 引出数据_合同数据仓库'!$B$5:$BP$20,4,FALSE),0)</f>
        <v>0</v>
      </c>
      <c r="T75" s="125"/>
      <c r="U75" s="125">
        <f>IFERROR(VLOOKUP($L75,'2-2 引出数据_合同数据仓库'!$B$5:$BP$20,15,FALSE),0)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hidden="1" customHeight="1" outlineLevel="4" spans="1:95">
      <c r="A76" s="126" t="s">
        <v>2770</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hidden="1" customHeight="1" outlineLevel="3" collapsed="1" spans="1:95">
      <c r="A77" s="118"/>
      <c r="B77" s="119" t="s">
        <v>747</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hidden="1" customHeight="1" outlineLevel="4" spans="1:95">
      <c r="A78" s="122"/>
      <c r="B78" s="123"/>
      <c r="C78" s="124" t="s">
        <v>956</v>
      </c>
      <c r="D78" s="131" t="s">
        <v>2771</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hidden="1"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引出数据_合同数据仓库'!$B$5:$BP$20,3,FALSE),0)</f>
        <v>0</v>
      </c>
      <c r="N79" s="125"/>
      <c r="O79" s="151">
        <f>IFERROR(VLOOKUP((LEFT(VLOOKUP($L79,'2-2 引出数据_合同数据仓库'!$B$5:$BP$20,64,FALSE),15)&amp;(RIGHT(VLOOKUP($L79,'2-2 引出数据_合同数据仓库'!$B$5:$BP$20,64,FALSE),4)+1)),'2-2 引出数据_合同数据仓库'!$B$5:$BP$20,3,FALSE),0)</f>
        <v>0</v>
      </c>
      <c r="P79" s="125"/>
      <c r="Q79" s="125">
        <f>IFERROR(VLOOKUP($L79,'2-2 引出数据_合同数据仓库'!$B$5:$BP$20,28,FALSE),0)</f>
        <v>0</v>
      </c>
      <c r="R79" s="125">
        <f>IFERROR(VLOOKUP($L79,'2-2 引出数据_合同数据仓库'!$B$5:$BP$20,29,FALSE),0)</f>
        <v>0</v>
      </c>
      <c r="S79" s="125">
        <f>IFERROR(VLOOKUP($L79,'2-2 引出数据_合同数据仓库'!$B$5:$BP$20,4,FALSE),0)</f>
        <v>0</v>
      </c>
      <c r="T79" s="125"/>
      <c r="U79" s="125">
        <f>IFERROR(VLOOKUP($L79,'2-2 引出数据_合同数据仓库'!$B$5:$BP$20,15,FALSE),0)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hidden="1"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引出数据_合同数据仓库'!$B$5:$BP$20,3,FALSE),0)</f>
        <v>0</v>
      </c>
      <c r="N80" s="125"/>
      <c r="O80" s="151">
        <f>IFERROR(VLOOKUP((LEFT(VLOOKUP($L80,'2-2 引出数据_合同数据仓库'!$B$5:$BP$20,64,FALSE),15)&amp;(RIGHT(VLOOKUP($L80,'2-2 引出数据_合同数据仓库'!$B$5:$BP$20,64,FALSE),4)+1)),'2-2 引出数据_合同数据仓库'!$B$5:$BP$20,3,FALSE),0)</f>
        <v>0</v>
      </c>
      <c r="P80" s="125"/>
      <c r="Q80" s="125">
        <f>IFERROR(VLOOKUP($L80,'2-2 引出数据_合同数据仓库'!$B$5:$BP$20,28,FALSE),0)</f>
        <v>0</v>
      </c>
      <c r="R80" s="125">
        <f>IFERROR(VLOOKUP($L80,'2-2 引出数据_合同数据仓库'!$B$5:$BP$20,29,FALSE),0)</f>
        <v>0</v>
      </c>
      <c r="S80" s="125">
        <f>IFERROR(VLOOKUP($L80,'2-2 引出数据_合同数据仓库'!$B$5:$BP$20,4,FALSE),0)</f>
        <v>0</v>
      </c>
      <c r="T80" s="125"/>
      <c r="U80" s="125">
        <f>IFERROR(VLOOKUP($L80,'2-2 引出数据_合同数据仓库'!$B$5:$BP$20,15,FALSE),0)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hidden="1"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引出数据_合同数据仓库'!$B$5:$BP$20,3,FALSE),0)</f>
        <v>0</v>
      </c>
      <c r="N81" s="125"/>
      <c r="O81" s="151">
        <f>IFERROR(VLOOKUP((LEFT(VLOOKUP($L81,'2-2 引出数据_合同数据仓库'!$B$5:$BP$20,64,FALSE),15)&amp;(RIGHT(VLOOKUP($L81,'2-2 引出数据_合同数据仓库'!$B$5:$BP$20,64,FALSE),4)+1)),'2-2 引出数据_合同数据仓库'!$B$5:$BP$20,3,FALSE),0)</f>
        <v>0</v>
      </c>
      <c r="P81" s="125"/>
      <c r="Q81" s="125">
        <f>IFERROR(VLOOKUP($L81,'2-2 引出数据_合同数据仓库'!$B$5:$BP$20,28,FALSE),0)</f>
        <v>0</v>
      </c>
      <c r="R81" s="125">
        <f>IFERROR(VLOOKUP($L81,'2-2 引出数据_合同数据仓库'!$B$5:$BP$20,29,FALSE),0)</f>
        <v>0</v>
      </c>
      <c r="S81" s="125">
        <f>IFERROR(VLOOKUP($L81,'2-2 引出数据_合同数据仓库'!$B$5:$BP$20,4,FALSE),0)</f>
        <v>0</v>
      </c>
      <c r="T81" s="125"/>
      <c r="U81" s="125">
        <f>IFERROR(VLOOKUP($L81,'2-2 引出数据_合同数据仓库'!$B$5:$BP$20,15,FALSE),0)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hidden="1" customHeight="1" outlineLevel="4" spans="1:95">
      <c r="A82" s="126" t="s">
        <v>2770</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hidden="1" customHeight="1" outlineLevel="3" collapsed="1" spans="1:95">
      <c r="A83" s="118"/>
      <c r="B83" s="119" t="s">
        <v>747</v>
      </c>
      <c r="C83" s="120" t="s">
        <v>967</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hidden="1" customHeight="1" outlineLevel="4" spans="1:95">
      <c r="A84" s="122"/>
      <c r="B84" s="123"/>
      <c r="C84" s="124"/>
      <c r="D84" s="122"/>
      <c r="E84" s="123"/>
      <c r="F84" s="123"/>
      <c r="G84" s="123"/>
      <c r="H84" s="125"/>
      <c r="I84" s="125"/>
      <c r="J84" s="125">
        <f t="shared" si="814"/>
        <v>0</v>
      </c>
      <c r="K84" s="125">
        <v>1</v>
      </c>
      <c r="L84" s="150"/>
      <c r="M84" s="151">
        <f>IFERROR(VLOOKUP($L84,'2-2 引出数据_合同数据仓库'!$B$5:$BP$20,3,FALSE),0)</f>
        <v>0</v>
      </c>
      <c r="N84" s="125"/>
      <c r="O84" s="151">
        <f>IFERROR(VLOOKUP((LEFT(VLOOKUP($L84,'2-2 引出数据_合同数据仓库'!$B$5:$BP$20,64,FALSE),15)&amp;(RIGHT(VLOOKUP($L84,'2-2 引出数据_合同数据仓库'!$B$5:$BP$20,64,FALSE),4)+1)),'2-2 引出数据_合同数据仓库'!$B$5:$BP$20,3,FALSE),0)</f>
        <v>0</v>
      </c>
      <c r="P84" s="125"/>
      <c r="Q84" s="125">
        <f>IFERROR(VLOOKUP($L84,'2-2 引出数据_合同数据仓库'!$B$5:$BP$20,28,FALSE),0)</f>
        <v>0</v>
      </c>
      <c r="R84" s="125">
        <f>IFERROR(VLOOKUP($L84,'2-2 引出数据_合同数据仓库'!$B$5:$BP$20,29,FALSE),0)</f>
        <v>0</v>
      </c>
      <c r="S84" s="125">
        <f>IFERROR(VLOOKUP($L84,'2-2 引出数据_合同数据仓库'!$B$5:$BP$20,4,FALSE),0)</f>
        <v>0</v>
      </c>
      <c r="T84" s="125"/>
      <c r="U84" s="125">
        <f>IFERROR(VLOOKUP($L84,'2-2 引出数据_合同数据仓库'!$B$5:$BP$20,15,FALSE),0)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hidden="1"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引出数据_合同数据仓库'!$B$5:$BP$20,3,FALSE),0)</f>
        <v>0</v>
      </c>
      <c r="N85" s="125"/>
      <c r="O85" s="151">
        <f>IFERROR(VLOOKUP((LEFT(VLOOKUP($L85,'2-2 引出数据_合同数据仓库'!$B$5:$BP$20,64,FALSE),15)&amp;(RIGHT(VLOOKUP($L85,'2-2 引出数据_合同数据仓库'!$B$5:$BP$20,64,FALSE),4)+1)),'2-2 引出数据_合同数据仓库'!$B$5:$BP$20,3,FALSE),0)</f>
        <v>0</v>
      </c>
      <c r="P85" s="125"/>
      <c r="Q85" s="125">
        <f>IFERROR(VLOOKUP($L85,'2-2 引出数据_合同数据仓库'!$B$5:$BP$20,28,FALSE),0)</f>
        <v>0</v>
      </c>
      <c r="R85" s="125">
        <f>IFERROR(VLOOKUP($L85,'2-2 引出数据_合同数据仓库'!$B$5:$BP$20,29,FALSE),0)</f>
        <v>0</v>
      </c>
      <c r="S85" s="125">
        <f>IFERROR(VLOOKUP($L85,'2-2 引出数据_合同数据仓库'!$B$5:$BP$20,4,FALSE),0)</f>
        <v>0</v>
      </c>
      <c r="T85" s="125"/>
      <c r="U85" s="125">
        <f>IFERROR(VLOOKUP($L85,'2-2 引出数据_合同数据仓库'!$B$5:$BP$20,15,FALSE),0)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hidden="1"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引出数据_合同数据仓库'!$B$5:$BP$20,3,FALSE),0)</f>
        <v>0</v>
      </c>
      <c r="N86" s="125"/>
      <c r="O86" s="151">
        <f>IFERROR(VLOOKUP((LEFT(VLOOKUP($L86,'2-2 引出数据_合同数据仓库'!$B$5:$BP$20,64,FALSE),15)&amp;(RIGHT(VLOOKUP($L86,'2-2 引出数据_合同数据仓库'!$B$5:$BP$20,64,FALSE),4)+1)),'2-2 引出数据_合同数据仓库'!$B$5:$BP$20,3,FALSE),0)</f>
        <v>0</v>
      </c>
      <c r="P86" s="125"/>
      <c r="Q86" s="125">
        <f>IFERROR(VLOOKUP($L86,'2-2 引出数据_合同数据仓库'!$B$5:$BP$20,28,FALSE),0)</f>
        <v>0</v>
      </c>
      <c r="R86" s="125">
        <f>IFERROR(VLOOKUP($L86,'2-2 引出数据_合同数据仓库'!$B$5:$BP$20,29,FALSE),0)</f>
        <v>0</v>
      </c>
      <c r="S86" s="125">
        <f>IFERROR(VLOOKUP($L86,'2-2 引出数据_合同数据仓库'!$B$5:$BP$20,4,FALSE),0)</f>
        <v>0</v>
      </c>
      <c r="T86" s="125"/>
      <c r="U86" s="125">
        <f>IFERROR(VLOOKUP($L86,'2-2 引出数据_合同数据仓库'!$B$5:$BP$20,15,FALSE),0)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hidden="1"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引出数据_合同数据仓库'!$B$5:$BP$20,3,FALSE),0)</f>
        <v>0</v>
      </c>
      <c r="N87" s="125"/>
      <c r="O87" s="151">
        <f>IFERROR(VLOOKUP((LEFT(VLOOKUP($L87,'2-2 引出数据_合同数据仓库'!$B$5:$BP$20,64,FALSE),15)&amp;(RIGHT(VLOOKUP($L87,'2-2 引出数据_合同数据仓库'!$B$5:$BP$20,64,FALSE),4)+1)),'2-2 引出数据_合同数据仓库'!$B$5:$BP$20,3,FALSE),0)</f>
        <v>0</v>
      </c>
      <c r="P87" s="125"/>
      <c r="Q87" s="125">
        <f>IFERROR(VLOOKUP($L87,'2-2 引出数据_合同数据仓库'!$B$5:$BP$20,28,FALSE),0)</f>
        <v>0</v>
      </c>
      <c r="R87" s="125">
        <f>IFERROR(VLOOKUP($L87,'2-2 引出数据_合同数据仓库'!$B$5:$BP$20,29,FALSE),0)</f>
        <v>0</v>
      </c>
      <c r="S87" s="125">
        <f>IFERROR(VLOOKUP($L87,'2-2 引出数据_合同数据仓库'!$B$5:$BP$20,4,FALSE),0)</f>
        <v>0</v>
      </c>
      <c r="T87" s="125"/>
      <c r="U87" s="125">
        <f>IFERROR(VLOOKUP($L87,'2-2 引出数据_合同数据仓库'!$B$5:$BP$20,15,FALSE),0)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hidden="1" customHeight="1" outlineLevel="4" spans="1:95">
      <c r="A88" s="126" t="s">
        <v>2770</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hidden="1" customHeight="1" outlineLevel="3" collapsed="1" spans="1:95">
      <c r="A89" s="118"/>
      <c r="B89" s="119" t="s">
        <v>747</v>
      </c>
      <c r="C89" s="120" t="s">
        <v>979</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hidden="1" customHeight="1" outlineLevel="4" spans="1:95">
      <c r="A90" s="122"/>
      <c r="B90" s="123"/>
      <c r="C90" s="124"/>
      <c r="D90" s="122"/>
      <c r="E90" s="123"/>
      <c r="F90" s="123"/>
      <c r="G90" s="123"/>
      <c r="H90" s="125"/>
      <c r="I90" s="125"/>
      <c r="J90" s="125">
        <f t="shared" si="814"/>
        <v>0</v>
      </c>
      <c r="K90" s="125">
        <v>1</v>
      </c>
      <c r="L90" s="150"/>
      <c r="M90" s="151">
        <f>IFERROR(VLOOKUP($L90,'2-2 引出数据_合同数据仓库'!$B$5:$BP$20,3,FALSE),0)</f>
        <v>0</v>
      </c>
      <c r="N90" s="125"/>
      <c r="O90" s="151">
        <f>IFERROR(VLOOKUP((LEFT(VLOOKUP($L90,'2-2 引出数据_合同数据仓库'!$B$5:$BP$20,64,FALSE),15)&amp;(RIGHT(VLOOKUP($L90,'2-2 引出数据_合同数据仓库'!$B$5:$BP$20,64,FALSE),4)+1)),'2-2 引出数据_合同数据仓库'!$B$5:$BP$20,3,FALSE),0)</f>
        <v>0</v>
      </c>
      <c r="P90" s="125"/>
      <c r="Q90" s="125">
        <f>IFERROR(VLOOKUP($L90,'2-2 引出数据_合同数据仓库'!$B$5:$BP$20,28,FALSE),0)</f>
        <v>0</v>
      </c>
      <c r="R90" s="125">
        <f>IFERROR(VLOOKUP($L90,'2-2 引出数据_合同数据仓库'!$B$5:$BP$20,29,FALSE),0)</f>
        <v>0</v>
      </c>
      <c r="S90" s="125">
        <f>IFERROR(VLOOKUP($L90,'2-2 引出数据_合同数据仓库'!$B$5:$BP$20,4,FALSE),0)</f>
        <v>0</v>
      </c>
      <c r="T90" s="125"/>
      <c r="U90" s="125">
        <f>IFERROR(VLOOKUP($L90,'2-2 引出数据_合同数据仓库'!$B$5:$BP$20,15,FALSE),0)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hidden="1"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引出数据_合同数据仓库'!$B$5:$BP$20,3,FALSE),0)</f>
        <v>0</v>
      </c>
      <c r="N91" s="125"/>
      <c r="O91" s="151">
        <f>IFERROR(VLOOKUP((LEFT(VLOOKUP($L91,'2-2 引出数据_合同数据仓库'!$B$5:$BP$20,64,FALSE),15)&amp;(RIGHT(VLOOKUP($L91,'2-2 引出数据_合同数据仓库'!$B$5:$BP$20,64,FALSE),4)+1)),'2-2 引出数据_合同数据仓库'!$B$5:$BP$20,3,FALSE),0)</f>
        <v>0</v>
      </c>
      <c r="P91" s="125"/>
      <c r="Q91" s="125">
        <f>IFERROR(VLOOKUP($L91,'2-2 引出数据_合同数据仓库'!$B$5:$BP$20,28,FALSE),0)</f>
        <v>0</v>
      </c>
      <c r="R91" s="125">
        <f>IFERROR(VLOOKUP($L91,'2-2 引出数据_合同数据仓库'!$B$5:$BP$20,29,FALSE),0)</f>
        <v>0</v>
      </c>
      <c r="S91" s="125">
        <f>IFERROR(VLOOKUP($L91,'2-2 引出数据_合同数据仓库'!$B$5:$BP$20,4,FALSE),0)</f>
        <v>0</v>
      </c>
      <c r="T91" s="125"/>
      <c r="U91" s="125">
        <f>IFERROR(VLOOKUP($L91,'2-2 引出数据_合同数据仓库'!$B$5:$BP$20,15,FALSE),0)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hidden="1"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引出数据_合同数据仓库'!$B$5:$BP$20,3,FALSE),0)</f>
        <v>0</v>
      </c>
      <c r="N92" s="125"/>
      <c r="O92" s="151">
        <f>IFERROR(VLOOKUP((LEFT(VLOOKUP($L92,'2-2 引出数据_合同数据仓库'!$B$5:$BP$20,64,FALSE),15)&amp;(RIGHT(VLOOKUP($L92,'2-2 引出数据_合同数据仓库'!$B$5:$BP$20,64,FALSE),4)+1)),'2-2 引出数据_合同数据仓库'!$B$5:$BP$20,3,FALSE),0)</f>
        <v>0</v>
      </c>
      <c r="P92" s="125"/>
      <c r="Q92" s="125">
        <f>IFERROR(VLOOKUP($L92,'2-2 引出数据_合同数据仓库'!$B$5:$BP$20,28,FALSE),0)</f>
        <v>0</v>
      </c>
      <c r="R92" s="125">
        <f>IFERROR(VLOOKUP($L92,'2-2 引出数据_合同数据仓库'!$B$5:$BP$20,29,FALSE),0)</f>
        <v>0</v>
      </c>
      <c r="S92" s="125">
        <f>IFERROR(VLOOKUP($L92,'2-2 引出数据_合同数据仓库'!$B$5:$BP$20,4,FALSE),0)</f>
        <v>0</v>
      </c>
      <c r="T92" s="125"/>
      <c r="U92" s="125">
        <f>IFERROR(VLOOKUP($L92,'2-2 引出数据_合同数据仓库'!$B$5:$BP$20,15,FALSE),0)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hidden="1"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引出数据_合同数据仓库'!$B$5:$BP$20,3,FALSE),0)</f>
        <v>0</v>
      </c>
      <c r="N93" s="125"/>
      <c r="O93" s="151">
        <f>IFERROR(VLOOKUP((LEFT(VLOOKUP($L93,'2-2 引出数据_合同数据仓库'!$B$5:$BP$20,64,FALSE),15)&amp;(RIGHT(VLOOKUP($L93,'2-2 引出数据_合同数据仓库'!$B$5:$BP$20,64,FALSE),4)+1)),'2-2 引出数据_合同数据仓库'!$B$5:$BP$20,3,FALSE),0)</f>
        <v>0</v>
      </c>
      <c r="P93" s="125"/>
      <c r="Q93" s="125">
        <f>IFERROR(VLOOKUP($L93,'2-2 引出数据_合同数据仓库'!$B$5:$BP$20,28,FALSE),0)</f>
        <v>0</v>
      </c>
      <c r="R93" s="125">
        <f>IFERROR(VLOOKUP($L93,'2-2 引出数据_合同数据仓库'!$B$5:$BP$20,29,FALSE),0)</f>
        <v>0</v>
      </c>
      <c r="S93" s="125">
        <f>IFERROR(VLOOKUP($L93,'2-2 引出数据_合同数据仓库'!$B$5:$BP$20,4,FALSE),0)</f>
        <v>0</v>
      </c>
      <c r="T93" s="125"/>
      <c r="U93" s="125">
        <f>IFERROR(VLOOKUP($L93,'2-2 引出数据_合同数据仓库'!$B$5:$BP$20,15,FALSE),0)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hidden="1" customHeight="1" outlineLevel="4" spans="1:95">
      <c r="A94" s="126" t="s">
        <v>2770</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hidden="1" customHeight="1" outlineLevel="2" collapsed="1" spans="1:95">
      <c r="A95" s="48"/>
      <c r="B95" s="115" t="s">
        <v>742</v>
      </c>
      <c r="C95" s="116" t="s">
        <v>982</v>
      </c>
      <c r="D95" s="48" t="s">
        <v>983</v>
      </c>
      <c r="E95" s="115"/>
      <c r="F95" s="115"/>
      <c r="G95" s="115"/>
      <c r="H95" s="117">
        <f>X95+AA95+AD95+AG95+AJ95+AM95+AP95+AS95+AV95+AY95+BB95+BE95</f>
        <v>41519.999976</v>
      </c>
      <c r="I95" s="117">
        <f>Y95+AB95+AE95+AH95+AK95+AN95+AQ95+AT95+AW95+AZ95+BC95+BF95</f>
        <v>41519.999976</v>
      </c>
      <c r="J95" s="117">
        <f t="shared" si="814"/>
        <v>0</v>
      </c>
      <c r="K95" s="117"/>
      <c r="L95" s="148"/>
      <c r="M95" s="148"/>
      <c r="N95" s="117"/>
      <c r="O95" s="117"/>
      <c r="P95" s="117"/>
      <c r="Q95" s="117"/>
      <c r="R95" s="117"/>
      <c r="S95" s="117"/>
      <c r="T95" s="117"/>
      <c r="U95" s="117"/>
      <c r="V95" s="117"/>
      <c r="W95" s="117"/>
      <c r="X95" s="117">
        <f>VLOOKUP($C95,'1 预算编制表单'!$C:$BJ,27,FALSE)</f>
        <v>3459.999998</v>
      </c>
      <c r="Y95" s="117">
        <f>X95-Z95</f>
        <v>3459.999998</v>
      </c>
      <c r="Z95" s="117">
        <f>Z96+Z102+Z108</f>
        <v>0</v>
      </c>
      <c r="AA95" s="117">
        <f>VLOOKUP($C95,'1 预算编制表单'!$C:$BJ,30,FALSE)</f>
        <v>3459.999998</v>
      </c>
      <c r="AB95" s="117">
        <f>AA95-AC95</f>
        <v>3459.999998</v>
      </c>
      <c r="AC95" s="117">
        <f>AC96+AC102+AC108</f>
        <v>0</v>
      </c>
      <c r="AD95" s="117">
        <f>VLOOKUP($C95,'1 预算编制表单'!$C:$BJ,33,FALSE)</f>
        <v>3459.999998</v>
      </c>
      <c r="AE95" s="117">
        <f>AD95-AF95</f>
        <v>3459.999998</v>
      </c>
      <c r="AF95" s="117">
        <f>AF96+AF102+AF108</f>
        <v>0</v>
      </c>
      <c r="AG95" s="117">
        <f>VLOOKUP($C95,'1 预算编制表单'!$C:$BJ,36,FALSE)</f>
        <v>3459.999998</v>
      </c>
      <c r="AH95" s="117">
        <f>AG95-AI95</f>
        <v>3459.999998</v>
      </c>
      <c r="AI95" s="117">
        <f>AI96+AI102+AI108</f>
        <v>0</v>
      </c>
      <c r="AJ95" s="117">
        <f>VLOOKUP($C95,'1 预算编制表单'!$C:$BJ,39,FALSE)</f>
        <v>3459.999998</v>
      </c>
      <c r="AK95" s="117">
        <f>AJ95-AL95</f>
        <v>3459.999998</v>
      </c>
      <c r="AL95" s="117">
        <f>AL96+AL102+AL108</f>
        <v>0</v>
      </c>
      <c r="AM95" s="117">
        <f>VLOOKUP($C95,'1 预算编制表单'!$C:$BJ,42,FALSE)</f>
        <v>3459.999998</v>
      </c>
      <c r="AN95" s="117">
        <f>AM95-AO95</f>
        <v>3459.999998</v>
      </c>
      <c r="AO95" s="117">
        <f>AO96+AO102+AO108</f>
        <v>0</v>
      </c>
      <c r="AP95" s="117">
        <f>VLOOKUP($C95,'1 预算编制表单'!$C:$BJ,45,FALSE)</f>
        <v>3459.999998</v>
      </c>
      <c r="AQ95" s="117">
        <f>AP95-AR95</f>
        <v>3459.999998</v>
      </c>
      <c r="AR95" s="117">
        <f>AR96+AR102+AR108</f>
        <v>0</v>
      </c>
      <c r="AS95" s="117">
        <f>VLOOKUP($C95,'1 预算编制表单'!$C:$BJ,48,FALSE)</f>
        <v>3459.999998</v>
      </c>
      <c r="AT95" s="117">
        <f>AS95-AU95</f>
        <v>3459.999998</v>
      </c>
      <c r="AU95" s="117">
        <f>AU96+AU102+AU108</f>
        <v>0</v>
      </c>
      <c r="AV95" s="117">
        <f>VLOOKUP($C95,'1 预算编制表单'!$C:$BJ,51,FALSE)</f>
        <v>3459.999998</v>
      </c>
      <c r="AW95" s="117">
        <f>AV95-AX95</f>
        <v>3459.999998</v>
      </c>
      <c r="AX95" s="117">
        <f>AX96+AX102+AX108</f>
        <v>0</v>
      </c>
      <c r="AY95" s="117">
        <f>VLOOKUP($C95,'1 预算编制表单'!$C:$BJ,54,FALSE)</f>
        <v>3459.999998</v>
      </c>
      <c r="AZ95" s="117">
        <f>AY95-BA95</f>
        <v>3459.999998</v>
      </c>
      <c r="BA95" s="117">
        <f>BA96+BA102+BA108</f>
        <v>0</v>
      </c>
      <c r="BB95" s="117">
        <f>VLOOKUP($C95,'1 预算编制表单'!$C:$BJ,57,FALSE)</f>
        <v>3459.999998</v>
      </c>
      <c r="BC95" s="117">
        <f>BB95-BD95</f>
        <v>3459.999998</v>
      </c>
      <c r="BD95" s="117">
        <f>BD96+BD102+BD108</f>
        <v>0</v>
      </c>
      <c r="BE95" s="117">
        <f>VLOOKUP($C95,'1 预算编制表单'!$C:$BJ,60,FALSE)</f>
        <v>3459.999998</v>
      </c>
      <c r="BF95" s="117">
        <f>BE95-BG95</f>
        <v>3459.999998</v>
      </c>
      <c r="BG95" s="117">
        <f>BG96+BG102+BG108</f>
        <v>0</v>
      </c>
      <c r="BH95" s="117">
        <f>VLOOKUP($C95,'1 预算编制表单'!$C:$BJ,27,FALSE)</f>
        <v>3459.999998</v>
      </c>
      <c r="BI95" s="117">
        <f>BH95-BJ95</f>
        <v>3459.999998</v>
      </c>
      <c r="BJ95" s="117">
        <f>BJ96+BJ102+BJ108</f>
        <v>0</v>
      </c>
      <c r="BK95" s="117">
        <f>VLOOKUP($C95,'1 预算编制表单'!$C:$BJ,30,FALSE)</f>
        <v>3459.999998</v>
      </c>
      <c r="BL95" s="117">
        <f>BK95-BM95</f>
        <v>3459.999998</v>
      </c>
      <c r="BM95" s="117">
        <f>BM96+BM102+BM108</f>
        <v>0</v>
      </c>
      <c r="BN95" s="117">
        <f>VLOOKUP($C95,'1 预算编制表单'!$C:$BJ,33,FALSE)</f>
        <v>3459.999998</v>
      </c>
      <c r="BO95" s="117">
        <f>BN95-BP95</f>
        <v>3459.999998</v>
      </c>
      <c r="BP95" s="117">
        <f>BP96+BP102+BP108</f>
        <v>0</v>
      </c>
      <c r="BQ95" s="117">
        <f>VLOOKUP($C95,'1 预算编制表单'!$C:$BJ,36,FALSE)</f>
        <v>3459.999998</v>
      </c>
      <c r="BR95" s="117">
        <f>BQ95-BS95</f>
        <v>3459.999998</v>
      </c>
      <c r="BS95" s="117">
        <f>BS96+BS102+BS108</f>
        <v>0</v>
      </c>
      <c r="BT95" s="117">
        <f>VLOOKUP($C95,'1 预算编制表单'!$C:$BJ,39,FALSE)</f>
        <v>3459.999998</v>
      </c>
      <c r="BU95" s="117">
        <f>BT95-BV95</f>
        <v>3459.999998</v>
      </c>
      <c r="BV95" s="117">
        <f>BV96+BV102+BV108</f>
        <v>0</v>
      </c>
      <c r="BW95" s="117">
        <f>VLOOKUP($C95,'1 预算编制表单'!$C:$BJ,42,FALSE)</f>
        <v>3459.999998</v>
      </c>
      <c r="BX95" s="117">
        <f>BW95-BY95</f>
        <v>3459.999998</v>
      </c>
      <c r="BY95" s="117">
        <f>BY96+BY102+BY108</f>
        <v>0</v>
      </c>
      <c r="BZ95" s="117">
        <f>VLOOKUP($C95,'1 预算编制表单'!$C:$BJ,45,FALSE)</f>
        <v>3459.999998</v>
      </c>
      <c r="CA95" s="117">
        <f>BZ95-CB95</f>
        <v>3459.999998</v>
      </c>
      <c r="CB95" s="117">
        <f>CB96+CB102+CB108</f>
        <v>0</v>
      </c>
      <c r="CC95" s="117">
        <f>VLOOKUP($C95,'1 预算编制表单'!$C:$BJ,48,FALSE)</f>
        <v>3459.999998</v>
      </c>
      <c r="CD95" s="117">
        <f>CC95-CE95</f>
        <v>3459.999998</v>
      </c>
      <c r="CE95" s="117">
        <f>CE96+CE102+CE108</f>
        <v>0</v>
      </c>
      <c r="CF95" s="117">
        <f>VLOOKUP($C95,'1 预算编制表单'!$C:$BJ,51,FALSE)</f>
        <v>3459.999998</v>
      </c>
      <c r="CG95" s="117">
        <f>CF95-CH95</f>
        <v>3459.999998</v>
      </c>
      <c r="CH95" s="117">
        <f>CH96+CH102+CH108</f>
        <v>0</v>
      </c>
      <c r="CI95" s="117">
        <f>VLOOKUP($C95,'1 预算编制表单'!$C:$BJ,54,FALSE)</f>
        <v>3459.999998</v>
      </c>
      <c r="CJ95" s="117">
        <f>CI95-CK95</f>
        <v>3459.999998</v>
      </c>
      <c r="CK95" s="117">
        <f>CK96+CK102+CK108</f>
        <v>0</v>
      </c>
      <c r="CL95" s="117">
        <f>VLOOKUP($C95,'1 预算编制表单'!$C:$BJ,57,FALSE)</f>
        <v>3459.999998</v>
      </c>
      <c r="CM95" s="117">
        <f>CL95-CN95</f>
        <v>3459.999998</v>
      </c>
      <c r="CN95" s="117">
        <f>CN96+CN102+CN108</f>
        <v>0</v>
      </c>
      <c r="CO95" s="117">
        <f>VLOOKUP($C95,'1 预算编制表单'!$C:$BJ,60,FALSE)</f>
        <v>3459.999998</v>
      </c>
      <c r="CP95" s="117">
        <f>CO95-CQ95</f>
        <v>3459.999998</v>
      </c>
      <c r="CQ95" s="117">
        <f>CQ96+CQ102+CQ108</f>
        <v>0</v>
      </c>
    </row>
    <row r="96" ht="24" hidden="1" customHeight="1" outlineLevel="3" collapsed="1" spans="1:95">
      <c r="A96" s="118"/>
      <c r="B96" s="119" t="s">
        <v>747</v>
      </c>
      <c r="C96" s="120" t="s">
        <v>121</v>
      </c>
      <c r="D96" s="118" t="s">
        <v>109</v>
      </c>
      <c r="E96" s="119"/>
      <c r="F96" s="119"/>
      <c r="G96" s="119"/>
      <c r="H96" s="121">
        <f>X96+AA96+AD96+AG96+AJ96+AM96+AP96+AS96+AV96+AY96+BB96+BE96</f>
        <v>41519.999976</v>
      </c>
      <c r="I96" s="121">
        <f>Y96+AB96+AE96+AH96+AK96+AN96+AQ96+AT96+AW96+AZ96+BC96+BF96</f>
        <v>41519.999976</v>
      </c>
      <c r="J96" s="121">
        <f t="shared" si="814"/>
        <v>0</v>
      </c>
      <c r="K96" s="121"/>
      <c r="L96" s="149"/>
      <c r="M96" s="149"/>
      <c r="N96" s="121"/>
      <c r="O96" s="121"/>
      <c r="P96" s="121"/>
      <c r="Q96" s="121"/>
      <c r="R96" s="121"/>
      <c r="S96" s="121"/>
      <c r="T96" s="121"/>
      <c r="U96" s="121"/>
      <c r="V96" s="121"/>
      <c r="W96" s="121"/>
      <c r="X96" s="121">
        <f>VLOOKUP($C96,'1 预算编制表单'!$C:$BJ,27,FALSE)</f>
        <v>3459.999998</v>
      </c>
      <c r="Y96" s="121">
        <f>X96-Z96</f>
        <v>3459.999998</v>
      </c>
      <c r="Z96" s="121">
        <f>SUM(Z97:Z101)</f>
        <v>0</v>
      </c>
      <c r="AA96" s="121">
        <f>VLOOKUP($C96,'1 预算编制表单'!$C:$BJ,30,FALSE)</f>
        <v>3459.999998</v>
      </c>
      <c r="AB96" s="121">
        <f>AA96-AC96</f>
        <v>3459.999998</v>
      </c>
      <c r="AC96" s="121">
        <f>SUM(AC97:AC101)</f>
        <v>0</v>
      </c>
      <c r="AD96" s="121">
        <f>VLOOKUP($C96,'1 预算编制表单'!$C:$BJ,33,FALSE)</f>
        <v>3459.999998</v>
      </c>
      <c r="AE96" s="121">
        <f>AD96-AF96</f>
        <v>3459.999998</v>
      </c>
      <c r="AF96" s="121">
        <f>SUM(AF97:AF101)</f>
        <v>0</v>
      </c>
      <c r="AG96" s="121">
        <f>VLOOKUP($C96,'1 预算编制表单'!$C:$BJ,36,FALSE)</f>
        <v>3459.999998</v>
      </c>
      <c r="AH96" s="121">
        <f>AG96-AI96</f>
        <v>3459.999998</v>
      </c>
      <c r="AI96" s="121">
        <f>SUM(AI97:AI101)</f>
        <v>0</v>
      </c>
      <c r="AJ96" s="121">
        <f>VLOOKUP($C96,'1 预算编制表单'!$C:$BJ,39,FALSE)</f>
        <v>3459.999998</v>
      </c>
      <c r="AK96" s="121">
        <f>AJ96-AL96</f>
        <v>3459.999998</v>
      </c>
      <c r="AL96" s="121">
        <f>SUM(AL97:AL101)</f>
        <v>0</v>
      </c>
      <c r="AM96" s="121">
        <f>VLOOKUP($C96,'1 预算编制表单'!$C:$BJ,42,FALSE)</f>
        <v>3459.999998</v>
      </c>
      <c r="AN96" s="121">
        <f>AM96-AO96</f>
        <v>3459.999998</v>
      </c>
      <c r="AO96" s="121">
        <f>SUM(AO97:AO101)</f>
        <v>0</v>
      </c>
      <c r="AP96" s="121">
        <f>VLOOKUP($C96,'1 预算编制表单'!$C:$BJ,45,FALSE)</f>
        <v>3459.999998</v>
      </c>
      <c r="AQ96" s="121">
        <f>AP96-AR96</f>
        <v>3459.999998</v>
      </c>
      <c r="AR96" s="121">
        <f>SUM(AR97:AR101)</f>
        <v>0</v>
      </c>
      <c r="AS96" s="121">
        <f>VLOOKUP($C96,'1 预算编制表单'!$C:$BJ,48,FALSE)</f>
        <v>3459.999998</v>
      </c>
      <c r="AT96" s="121">
        <f>AS96-AU96</f>
        <v>3459.999998</v>
      </c>
      <c r="AU96" s="121">
        <f>SUM(AU97:AU101)</f>
        <v>0</v>
      </c>
      <c r="AV96" s="121">
        <f>VLOOKUP($C96,'1 预算编制表单'!$C:$BJ,51,FALSE)</f>
        <v>3459.999998</v>
      </c>
      <c r="AW96" s="121">
        <f>AV96-AX96</f>
        <v>3459.999998</v>
      </c>
      <c r="AX96" s="121">
        <f>SUM(AX97:AX101)</f>
        <v>0</v>
      </c>
      <c r="AY96" s="121">
        <f>VLOOKUP($C96,'1 预算编制表单'!$C:$BJ,54,FALSE)</f>
        <v>3459.999998</v>
      </c>
      <c r="AZ96" s="121">
        <f>AY96-BA96</f>
        <v>3459.999998</v>
      </c>
      <c r="BA96" s="121">
        <f>SUM(BA97:BA101)</f>
        <v>0</v>
      </c>
      <c r="BB96" s="121">
        <f>VLOOKUP($C96,'1 预算编制表单'!$C:$BJ,57,FALSE)</f>
        <v>3459.999998</v>
      </c>
      <c r="BC96" s="121">
        <f>BB96-BD96</f>
        <v>3459.999998</v>
      </c>
      <c r="BD96" s="121">
        <f>SUM(BD97:BD101)</f>
        <v>0</v>
      </c>
      <c r="BE96" s="121">
        <f>VLOOKUP($C96,'1 预算编制表单'!$C:$BJ,60,FALSE)</f>
        <v>3459.999998</v>
      </c>
      <c r="BF96" s="121">
        <f>BE96-BG96</f>
        <v>3459.999998</v>
      </c>
      <c r="BG96" s="121">
        <f>SUM(BG97:BG101)</f>
        <v>0</v>
      </c>
      <c r="BH96" s="121">
        <f>VLOOKUP($C96,'1 预算编制表单'!$C:$BJ,27,FALSE)</f>
        <v>3459.999998</v>
      </c>
      <c r="BI96" s="121">
        <f>BH96-BJ96</f>
        <v>3459.999998</v>
      </c>
      <c r="BJ96" s="121">
        <f>SUM(BJ97:BJ101)</f>
        <v>0</v>
      </c>
      <c r="BK96" s="121">
        <f>VLOOKUP($C96,'1 预算编制表单'!$C:$BJ,30,FALSE)</f>
        <v>3459.999998</v>
      </c>
      <c r="BL96" s="121">
        <f>BK96-BM96</f>
        <v>3459.999998</v>
      </c>
      <c r="BM96" s="121">
        <f>SUM(BM97:BM101)</f>
        <v>0</v>
      </c>
      <c r="BN96" s="121">
        <f>VLOOKUP($C96,'1 预算编制表单'!$C:$BJ,33,FALSE)</f>
        <v>3459.999998</v>
      </c>
      <c r="BO96" s="121">
        <f>BN96-BP96</f>
        <v>3459.999998</v>
      </c>
      <c r="BP96" s="121">
        <f>SUM(BP97:BP101)</f>
        <v>0</v>
      </c>
      <c r="BQ96" s="121">
        <f>VLOOKUP($C96,'1 预算编制表单'!$C:$BJ,36,FALSE)</f>
        <v>3459.999998</v>
      </c>
      <c r="BR96" s="121">
        <f>BQ96-BS96</f>
        <v>3459.999998</v>
      </c>
      <c r="BS96" s="121">
        <f>SUM(BS97:BS101)</f>
        <v>0</v>
      </c>
      <c r="BT96" s="121">
        <f>VLOOKUP($C96,'1 预算编制表单'!$C:$BJ,39,FALSE)</f>
        <v>3459.999998</v>
      </c>
      <c r="BU96" s="121">
        <f>BT96-BV96</f>
        <v>3459.999998</v>
      </c>
      <c r="BV96" s="121">
        <f>SUM(BV97:BV101)</f>
        <v>0</v>
      </c>
      <c r="BW96" s="121">
        <f>VLOOKUP($C96,'1 预算编制表单'!$C:$BJ,42,FALSE)</f>
        <v>3459.999998</v>
      </c>
      <c r="BX96" s="121">
        <f>BW96-BY96</f>
        <v>3459.999998</v>
      </c>
      <c r="BY96" s="121">
        <f>SUM(BY97:BY101)</f>
        <v>0</v>
      </c>
      <c r="BZ96" s="121">
        <f>VLOOKUP($C96,'1 预算编制表单'!$C:$BJ,45,FALSE)</f>
        <v>3459.999998</v>
      </c>
      <c r="CA96" s="121">
        <f>BZ96-CB96</f>
        <v>3459.999998</v>
      </c>
      <c r="CB96" s="121">
        <f>SUM(CB97:CB101)</f>
        <v>0</v>
      </c>
      <c r="CC96" s="121">
        <f>VLOOKUP($C96,'1 预算编制表单'!$C:$BJ,48,FALSE)</f>
        <v>3459.999998</v>
      </c>
      <c r="CD96" s="121">
        <f>CC96-CE96</f>
        <v>3459.999998</v>
      </c>
      <c r="CE96" s="121">
        <f>SUM(CE97:CE101)</f>
        <v>0</v>
      </c>
      <c r="CF96" s="121">
        <f>VLOOKUP($C96,'1 预算编制表单'!$C:$BJ,51,FALSE)</f>
        <v>3459.999998</v>
      </c>
      <c r="CG96" s="121">
        <f>CF96-CH96</f>
        <v>3459.999998</v>
      </c>
      <c r="CH96" s="121">
        <f>SUM(CH97:CH101)</f>
        <v>0</v>
      </c>
      <c r="CI96" s="121">
        <f>VLOOKUP($C96,'1 预算编制表单'!$C:$BJ,54,FALSE)</f>
        <v>3459.999998</v>
      </c>
      <c r="CJ96" s="121">
        <f>CI96-CK96</f>
        <v>3459.999998</v>
      </c>
      <c r="CK96" s="121">
        <f>SUM(CK97:CK101)</f>
        <v>0</v>
      </c>
      <c r="CL96" s="121">
        <f>VLOOKUP($C96,'1 预算编制表单'!$C:$BJ,57,FALSE)</f>
        <v>3459.999998</v>
      </c>
      <c r="CM96" s="121">
        <f>CL96-CN96</f>
        <v>3459.999998</v>
      </c>
      <c r="CN96" s="121">
        <f>SUM(CN97:CN101)</f>
        <v>0</v>
      </c>
      <c r="CO96" s="121">
        <f>VLOOKUP($C96,'1 预算编制表单'!$C:$BJ,60,FALSE)</f>
        <v>3459.999998</v>
      </c>
      <c r="CP96" s="121">
        <f>CO96-CQ96</f>
        <v>3459.999998</v>
      </c>
      <c r="CQ96" s="121">
        <f>SUM(CQ97:CQ101)</f>
        <v>0</v>
      </c>
    </row>
    <row r="97" s="83" customFormat="1" ht="24" hidden="1" customHeight="1" outlineLevel="4" spans="1:95">
      <c r="A97" s="122"/>
      <c r="B97" s="123"/>
      <c r="C97" s="124"/>
      <c r="D97" s="122"/>
      <c r="E97" s="123"/>
      <c r="F97" s="123"/>
      <c r="G97" s="123"/>
      <c r="H97" s="125"/>
      <c r="I97" s="125"/>
      <c r="J97" s="125">
        <f t="shared" si="814"/>
        <v>0</v>
      </c>
      <c r="K97" s="125">
        <v>1</v>
      </c>
      <c r="L97" s="150"/>
      <c r="M97" s="151">
        <f>IFERROR(VLOOKUP($L97,'2-2 引出数据_合同数据仓库'!$B$5:$BP$20,3,FALSE),0)</f>
        <v>0</v>
      </c>
      <c r="N97" s="125"/>
      <c r="O97" s="151">
        <f>IFERROR(VLOOKUP((LEFT(VLOOKUP($L97,'2-2 引出数据_合同数据仓库'!$B$5:$BP$20,64,FALSE),15)&amp;(RIGHT(VLOOKUP($L97,'2-2 引出数据_合同数据仓库'!$B$5:$BP$20,64,FALSE),4)+1)),'2-2 引出数据_合同数据仓库'!$B$5:$BP$20,3,FALSE),0)</f>
        <v>0</v>
      </c>
      <c r="P97" s="125"/>
      <c r="Q97" s="125">
        <f>IFERROR(VLOOKUP($L97,'2-2 引出数据_合同数据仓库'!$B$5:$BP$20,28,FALSE),0)</f>
        <v>0</v>
      </c>
      <c r="R97" s="125">
        <f>IFERROR(VLOOKUP($L97,'2-2 引出数据_合同数据仓库'!$B$5:$BP$20,29,FALSE),0)</f>
        <v>0</v>
      </c>
      <c r="S97" s="125">
        <f>IFERROR(VLOOKUP($L97,'2-2 引出数据_合同数据仓库'!$B$5:$BP$20,4,FALSE),0)</f>
        <v>0</v>
      </c>
      <c r="T97" s="125"/>
      <c r="U97" s="125">
        <f>IFERROR(VLOOKUP($L97,'2-2 引出数据_合同数据仓库'!$B$5:$BP$20,15,FALSE),0)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hidden="1"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引出数据_合同数据仓库'!$B$5:$BP$20,3,FALSE),0)</f>
        <v>0</v>
      </c>
      <c r="N98" s="125"/>
      <c r="O98" s="151">
        <f>IFERROR(VLOOKUP((LEFT(VLOOKUP($L98,'2-2 引出数据_合同数据仓库'!$B$5:$BP$20,64,FALSE),15)&amp;(RIGHT(VLOOKUP($L98,'2-2 引出数据_合同数据仓库'!$B$5:$BP$20,64,FALSE),4)+1)),'2-2 引出数据_合同数据仓库'!$B$5:$BP$20,3,FALSE),0)</f>
        <v>0</v>
      </c>
      <c r="P98" s="125"/>
      <c r="Q98" s="125">
        <f>IFERROR(VLOOKUP($L98,'2-2 引出数据_合同数据仓库'!$B$5:$BP$20,28,FALSE),0)</f>
        <v>0</v>
      </c>
      <c r="R98" s="125">
        <f>IFERROR(VLOOKUP($L98,'2-2 引出数据_合同数据仓库'!$B$5:$BP$20,29,FALSE),0)</f>
        <v>0</v>
      </c>
      <c r="S98" s="125">
        <f>IFERROR(VLOOKUP($L98,'2-2 引出数据_合同数据仓库'!$B$5:$BP$20,4,FALSE),0)</f>
        <v>0</v>
      </c>
      <c r="T98" s="125"/>
      <c r="U98" s="125">
        <f>IFERROR(VLOOKUP($L98,'2-2 引出数据_合同数据仓库'!$B$5:$BP$20,15,FALSE),0)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hidden="1"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引出数据_合同数据仓库'!$B$5:$BP$20,3,FALSE),0)</f>
        <v>0</v>
      </c>
      <c r="N99" s="125"/>
      <c r="O99" s="151">
        <f>IFERROR(VLOOKUP((LEFT(VLOOKUP($L99,'2-2 引出数据_合同数据仓库'!$B$5:$BP$20,64,FALSE),15)&amp;(RIGHT(VLOOKUP($L99,'2-2 引出数据_合同数据仓库'!$B$5:$BP$20,64,FALSE),4)+1)),'2-2 引出数据_合同数据仓库'!$B$5:$BP$20,3,FALSE),0)</f>
        <v>0</v>
      </c>
      <c r="P99" s="125"/>
      <c r="Q99" s="125">
        <f>IFERROR(VLOOKUP($L99,'2-2 引出数据_合同数据仓库'!$B$5:$BP$20,28,FALSE),0)</f>
        <v>0</v>
      </c>
      <c r="R99" s="125">
        <f>IFERROR(VLOOKUP($L99,'2-2 引出数据_合同数据仓库'!$B$5:$BP$20,29,FALSE),0)</f>
        <v>0</v>
      </c>
      <c r="S99" s="125">
        <f>IFERROR(VLOOKUP($L99,'2-2 引出数据_合同数据仓库'!$B$5:$BP$20,4,FALSE),0)</f>
        <v>0</v>
      </c>
      <c r="T99" s="125"/>
      <c r="U99" s="125">
        <f>IFERROR(VLOOKUP($L99,'2-2 引出数据_合同数据仓库'!$B$5:$BP$20,15,FALSE),0)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hidden="1"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引出数据_合同数据仓库'!$B$5:$BP$20,3,FALSE),0)</f>
        <v>0</v>
      </c>
      <c r="N100" s="125"/>
      <c r="O100" s="151">
        <f>IFERROR(VLOOKUP((LEFT(VLOOKUP($L100,'2-2 引出数据_合同数据仓库'!$B$5:$BP$20,64,FALSE),15)&amp;(RIGHT(VLOOKUP($L100,'2-2 引出数据_合同数据仓库'!$B$5:$BP$20,64,FALSE),4)+1)),'2-2 引出数据_合同数据仓库'!$B$5:$BP$20,3,FALSE),0)</f>
        <v>0</v>
      </c>
      <c r="P100" s="125"/>
      <c r="Q100" s="125">
        <f>IFERROR(VLOOKUP($L100,'2-2 引出数据_合同数据仓库'!$B$5:$BP$20,28,FALSE),0)</f>
        <v>0</v>
      </c>
      <c r="R100" s="125">
        <f>IFERROR(VLOOKUP($L100,'2-2 引出数据_合同数据仓库'!$B$5:$BP$20,29,FALSE),0)</f>
        <v>0</v>
      </c>
      <c r="S100" s="125">
        <f>IFERROR(VLOOKUP($L100,'2-2 引出数据_合同数据仓库'!$B$5:$BP$20,4,FALSE),0)</f>
        <v>0</v>
      </c>
      <c r="T100" s="125"/>
      <c r="U100" s="125">
        <f>IFERROR(VLOOKUP($L100,'2-2 引出数据_合同数据仓库'!$B$5:$BP$20,15,FALSE),0)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hidden="1" customHeight="1" outlineLevel="4" spans="1:95">
      <c r="A101" s="126" t="s">
        <v>2770</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hidden="1" customHeight="1" outlineLevel="3" collapsed="1" spans="1:95">
      <c r="A102" s="118"/>
      <c r="B102" s="119" t="s">
        <v>747</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hidden="1"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引出数据_合同数据仓库'!$B$5:$BP$20,3,FALSE),0)</f>
        <v>0</v>
      </c>
      <c r="N103" s="125"/>
      <c r="O103" s="151">
        <f>IFERROR(VLOOKUP((LEFT(VLOOKUP($L103,'2-2 引出数据_合同数据仓库'!$B$5:$BP$20,64,FALSE),15)&amp;(RIGHT(VLOOKUP($L103,'2-2 引出数据_合同数据仓库'!$B$5:$BP$20,64,FALSE),4)+1)),'2-2 引出数据_合同数据仓库'!$B$5:$BP$20,3,FALSE),0)</f>
        <v>0</v>
      </c>
      <c r="P103" s="125"/>
      <c r="Q103" s="125">
        <f>IFERROR(VLOOKUP($L103,'2-2 引出数据_合同数据仓库'!$B$5:$BP$20,28,FALSE),0)</f>
        <v>0</v>
      </c>
      <c r="R103" s="125">
        <f>IFERROR(VLOOKUP($L103,'2-2 引出数据_合同数据仓库'!$B$5:$BP$20,29,FALSE),0)</f>
        <v>0</v>
      </c>
      <c r="S103" s="125">
        <f>IFERROR(VLOOKUP($L103,'2-2 引出数据_合同数据仓库'!$B$5:$BP$20,4,FALSE),0)</f>
        <v>0</v>
      </c>
      <c r="T103" s="125"/>
      <c r="U103" s="125">
        <f>IFERROR(VLOOKUP($L103,'2-2 引出数据_合同数据仓库'!$B$5:$BP$20,15,FALSE),0)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hidden="1"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引出数据_合同数据仓库'!$B$5:$BP$20,3,FALSE),0)</f>
        <v>0</v>
      </c>
      <c r="N104" s="125"/>
      <c r="O104" s="151">
        <f>IFERROR(VLOOKUP((LEFT(VLOOKUP($L104,'2-2 引出数据_合同数据仓库'!$B$5:$BP$20,64,FALSE),15)&amp;(RIGHT(VLOOKUP($L104,'2-2 引出数据_合同数据仓库'!$B$5:$BP$20,64,FALSE),4)+1)),'2-2 引出数据_合同数据仓库'!$B$5:$BP$20,3,FALSE),0)</f>
        <v>0</v>
      </c>
      <c r="P104" s="125"/>
      <c r="Q104" s="125">
        <f>IFERROR(VLOOKUP($L104,'2-2 引出数据_合同数据仓库'!$B$5:$BP$20,28,FALSE),0)</f>
        <v>0</v>
      </c>
      <c r="R104" s="125">
        <f>IFERROR(VLOOKUP($L104,'2-2 引出数据_合同数据仓库'!$B$5:$BP$20,29,FALSE),0)</f>
        <v>0</v>
      </c>
      <c r="S104" s="125">
        <f>IFERROR(VLOOKUP($L104,'2-2 引出数据_合同数据仓库'!$B$5:$BP$20,4,FALSE),0)</f>
        <v>0</v>
      </c>
      <c r="T104" s="125"/>
      <c r="U104" s="125">
        <f>IFERROR(VLOOKUP($L104,'2-2 引出数据_合同数据仓库'!$B$5:$BP$20,15,FALSE),0)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hidden="1"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引出数据_合同数据仓库'!$B$5:$BP$20,3,FALSE),0)</f>
        <v>0</v>
      </c>
      <c r="N105" s="125"/>
      <c r="O105" s="151">
        <f>IFERROR(VLOOKUP((LEFT(VLOOKUP($L105,'2-2 引出数据_合同数据仓库'!$B$5:$BP$20,64,FALSE),15)&amp;(RIGHT(VLOOKUP($L105,'2-2 引出数据_合同数据仓库'!$B$5:$BP$20,64,FALSE),4)+1)),'2-2 引出数据_合同数据仓库'!$B$5:$BP$20,3,FALSE),0)</f>
        <v>0</v>
      </c>
      <c r="P105" s="125"/>
      <c r="Q105" s="125">
        <f>IFERROR(VLOOKUP($L105,'2-2 引出数据_合同数据仓库'!$B$5:$BP$20,28,FALSE),0)</f>
        <v>0</v>
      </c>
      <c r="R105" s="125">
        <f>IFERROR(VLOOKUP($L105,'2-2 引出数据_合同数据仓库'!$B$5:$BP$20,29,FALSE),0)</f>
        <v>0</v>
      </c>
      <c r="S105" s="125">
        <f>IFERROR(VLOOKUP($L105,'2-2 引出数据_合同数据仓库'!$B$5:$BP$20,4,FALSE),0)</f>
        <v>0</v>
      </c>
      <c r="T105" s="125"/>
      <c r="U105" s="125">
        <f>IFERROR(VLOOKUP($L105,'2-2 引出数据_合同数据仓库'!$B$5:$BP$20,15,FALSE),0)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hidden="1"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引出数据_合同数据仓库'!$B$5:$BP$20,3,FALSE),0)</f>
        <v>0</v>
      </c>
      <c r="N106" s="125"/>
      <c r="O106" s="151">
        <f>IFERROR(VLOOKUP((LEFT(VLOOKUP($L106,'2-2 引出数据_合同数据仓库'!$B$5:$BP$20,64,FALSE),15)&amp;(RIGHT(VLOOKUP($L106,'2-2 引出数据_合同数据仓库'!$B$5:$BP$20,64,FALSE),4)+1)),'2-2 引出数据_合同数据仓库'!$B$5:$BP$20,3,FALSE),0)</f>
        <v>0</v>
      </c>
      <c r="P106" s="125"/>
      <c r="Q106" s="125">
        <f>IFERROR(VLOOKUP($L106,'2-2 引出数据_合同数据仓库'!$B$5:$BP$20,28,FALSE),0)</f>
        <v>0</v>
      </c>
      <c r="R106" s="125">
        <f>IFERROR(VLOOKUP($L106,'2-2 引出数据_合同数据仓库'!$B$5:$BP$20,29,FALSE),0)</f>
        <v>0</v>
      </c>
      <c r="S106" s="125">
        <f>IFERROR(VLOOKUP($L106,'2-2 引出数据_合同数据仓库'!$B$5:$BP$20,4,FALSE),0)</f>
        <v>0</v>
      </c>
      <c r="T106" s="125"/>
      <c r="U106" s="125">
        <f>IFERROR(VLOOKUP($L106,'2-2 引出数据_合同数据仓库'!$B$5:$BP$20,15,FALSE),0)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hidden="1" customHeight="1" outlineLevel="4" spans="1:95">
      <c r="A107" s="126" t="s">
        <v>2770</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hidden="1" customHeight="1" outlineLevel="3" collapsed="1" spans="1:95">
      <c r="A108" s="118"/>
      <c r="B108" s="119" t="s">
        <v>747</v>
      </c>
      <c r="C108" s="120" t="s">
        <v>1004</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hidden="1"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引出数据_合同数据仓库'!$B$5:$BP$20,3,FALSE),0)</f>
        <v>0</v>
      </c>
      <c r="N109" s="125"/>
      <c r="O109" s="151">
        <f>IFERROR(VLOOKUP((LEFT(VLOOKUP($L109,'2-2 引出数据_合同数据仓库'!$B$5:$BP$20,64,FALSE),15)&amp;(RIGHT(VLOOKUP($L109,'2-2 引出数据_合同数据仓库'!$B$5:$BP$20,64,FALSE),4)+1)),'2-2 引出数据_合同数据仓库'!$B$5:$BP$20,3,FALSE),0)</f>
        <v>0</v>
      </c>
      <c r="P109" s="125"/>
      <c r="Q109" s="125">
        <f>IFERROR(VLOOKUP($L109,'2-2 引出数据_合同数据仓库'!$B$5:$BP$20,28,FALSE),0)</f>
        <v>0</v>
      </c>
      <c r="R109" s="125">
        <f>IFERROR(VLOOKUP($L109,'2-2 引出数据_合同数据仓库'!$B$5:$BP$20,29,FALSE),0)</f>
        <v>0</v>
      </c>
      <c r="S109" s="125">
        <f>IFERROR(VLOOKUP($L109,'2-2 引出数据_合同数据仓库'!$B$5:$BP$20,4,FALSE),0)</f>
        <v>0</v>
      </c>
      <c r="T109" s="125"/>
      <c r="U109" s="125">
        <f>IFERROR(VLOOKUP($L109,'2-2 引出数据_合同数据仓库'!$B$5:$BP$20,15,FALSE),0)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hidden="1"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引出数据_合同数据仓库'!$B$5:$BP$20,3,FALSE),0)</f>
        <v>0</v>
      </c>
      <c r="N110" s="125"/>
      <c r="O110" s="151">
        <f>IFERROR(VLOOKUP((LEFT(VLOOKUP($L110,'2-2 引出数据_合同数据仓库'!$B$5:$BP$20,64,FALSE),15)&amp;(RIGHT(VLOOKUP($L110,'2-2 引出数据_合同数据仓库'!$B$5:$BP$20,64,FALSE),4)+1)),'2-2 引出数据_合同数据仓库'!$B$5:$BP$20,3,FALSE),0)</f>
        <v>0</v>
      </c>
      <c r="P110" s="125"/>
      <c r="Q110" s="125">
        <f>IFERROR(VLOOKUP($L110,'2-2 引出数据_合同数据仓库'!$B$5:$BP$20,28,FALSE),0)</f>
        <v>0</v>
      </c>
      <c r="R110" s="125">
        <f>IFERROR(VLOOKUP($L110,'2-2 引出数据_合同数据仓库'!$B$5:$BP$20,29,FALSE),0)</f>
        <v>0</v>
      </c>
      <c r="S110" s="125">
        <f>IFERROR(VLOOKUP($L110,'2-2 引出数据_合同数据仓库'!$B$5:$BP$20,4,FALSE),0)</f>
        <v>0</v>
      </c>
      <c r="T110" s="125"/>
      <c r="U110" s="125">
        <f>IFERROR(VLOOKUP($L110,'2-2 引出数据_合同数据仓库'!$B$5:$BP$20,15,FALSE),0)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hidden="1"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引出数据_合同数据仓库'!$B$5:$BP$20,3,FALSE),0)</f>
        <v>0</v>
      </c>
      <c r="N111" s="125"/>
      <c r="O111" s="151">
        <f>IFERROR(VLOOKUP((LEFT(VLOOKUP($L111,'2-2 引出数据_合同数据仓库'!$B$5:$BP$20,64,FALSE),15)&amp;(RIGHT(VLOOKUP($L111,'2-2 引出数据_合同数据仓库'!$B$5:$BP$20,64,FALSE),4)+1)),'2-2 引出数据_合同数据仓库'!$B$5:$BP$20,3,FALSE),0)</f>
        <v>0</v>
      </c>
      <c r="P111" s="125"/>
      <c r="Q111" s="125">
        <f>IFERROR(VLOOKUP($L111,'2-2 引出数据_合同数据仓库'!$B$5:$BP$20,28,FALSE),0)</f>
        <v>0</v>
      </c>
      <c r="R111" s="125">
        <f>IFERROR(VLOOKUP($L111,'2-2 引出数据_合同数据仓库'!$B$5:$BP$20,29,FALSE),0)</f>
        <v>0</v>
      </c>
      <c r="S111" s="125">
        <f>IFERROR(VLOOKUP($L111,'2-2 引出数据_合同数据仓库'!$B$5:$BP$20,4,FALSE),0)</f>
        <v>0</v>
      </c>
      <c r="T111" s="125"/>
      <c r="U111" s="125">
        <f>IFERROR(VLOOKUP($L111,'2-2 引出数据_合同数据仓库'!$B$5:$BP$20,15,FALSE),0)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hidden="1"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引出数据_合同数据仓库'!$B$5:$BP$20,3,FALSE),0)</f>
        <v>0</v>
      </c>
      <c r="N112" s="125"/>
      <c r="O112" s="151">
        <f>IFERROR(VLOOKUP((LEFT(VLOOKUP($L112,'2-2 引出数据_合同数据仓库'!$B$5:$BP$20,64,FALSE),15)&amp;(RIGHT(VLOOKUP($L112,'2-2 引出数据_合同数据仓库'!$B$5:$BP$20,64,FALSE),4)+1)),'2-2 引出数据_合同数据仓库'!$B$5:$BP$20,3,FALSE),0)</f>
        <v>0</v>
      </c>
      <c r="P112" s="125"/>
      <c r="Q112" s="125">
        <f>IFERROR(VLOOKUP($L112,'2-2 引出数据_合同数据仓库'!$B$5:$BP$20,28,FALSE),0)</f>
        <v>0</v>
      </c>
      <c r="R112" s="125">
        <f>IFERROR(VLOOKUP($L112,'2-2 引出数据_合同数据仓库'!$B$5:$BP$20,29,FALSE),0)</f>
        <v>0</v>
      </c>
      <c r="S112" s="125">
        <f>IFERROR(VLOOKUP($L112,'2-2 引出数据_合同数据仓库'!$B$5:$BP$20,4,FALSE),0)</f>
        <v>0</v>
      </c>
      <c r="T112" s="125"/>
      <c r="U112" s="125">
        <f>IFERROR(VLOOKUP($L112,'2-2 引出数据_合同数据仓库'!$B$5:$BP$20,15,FALSE),0)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hidden="1" customHeight="1" outlineLevel="4" spans="1:95">
      <c r="A113" s="126" t="s">
        <v>2770</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hidden="1" customHeight="1" outlineLevel="2" collapsed="1" spans="1:95">
      <c r="A114" s="48"/>
      <c r="B114" s="115" t="s">
        <v>742</v>
      </c>
      <c r="C114" s="116" t="s">
        <v>1014</v>
      </c>
      <c r="D114" s="48" t="s">
        <v>1015</v>
      </c>
      <c r="E114" s="115"/>
      <c r="F114" s="115"/>
      <c r="G114" s="115"/>
      <c r="H114" s="117">
        <f>X114+AA114+AD114+AG114+AJ114+AM114+AP114+AS114+AV114+AY114+BB114+BE114</f>
        <v>0</v>
      </c>
      <c r="I114" s="117">
        <f>Y114+AB114+AE114+AH114+AK114+AN114+AQ114+AT114+AW114+AZ114+BC114+BF114</f>
        <v>0</v>
      </c>
      <c r="J114" s="117">
        <f t="shared" si="814"/>
        <v>0</v>
      </c>
      <c r="K114" s="117"/>
      <c r="L114" s="148"/>
      <c r="M114" s="148"/>
      <c r="N114" s="117"/>
      <c r="O114" s="117"/>
      <c r="P114" s="117"/>
      <c r="Q114" s="117"/>
      <c r="R114" s="117"/>
      <c r="S114" s="117"/>
      <c r="T114" s="117"/>
      <c r="U114" s="117"/>
      <c r="V114" s="117"/>
      <c r="W114" s="117"/>
      <c r="X114" s="117">
        <f>VLOOKUP($C114,'1 预算编制表单'!$C:$BJ,27,FALSE)</f>
        <v>0</v>
      </c>
      <c r="Y114" s="117">
        <f>X114-Z114</f>
        <v>0</v>
      </c>
      <c r="Z114" s="117">
        <f>Z115+Z121+Z127+Z133</f>
        <v>0</v>
      </c>
      <c r="AA114" s="117">
        <f>VLOOKUP($C114,'1 预算编制表单'!$C:$BJ,30,FALSE)</f>
        <v>0</v>
      </c>
      <c r="AB114" s="117">
        <f>AA114-AC114</f>
        <v>0</v>
      </c>
      <c r="AC114" s="117">
        <f>AC115+AC121+AC127+AC133</f>
        <v>0</v>
      </c>
      <c r="AD114" s="117">
        <f>VLOOKUP($C114,'1 预算编制表单'!$C:$BJ,33,FALSE)</f>
        <v>0</v>
      </c>
      <c r="AE114" s="117">
        <f>AD114-AF114</f>
        <v>0</v>
      </c>
      <c r="AF114" s="117">
        <f>AF115+AF121+AF127+AF133</f>
        <v>0</v>
      </c>
      <c r="AG114" s="117">
        <f>VLOOKUP($C114,'1 预算编制表单'!$C:$BJ,36,FALSE)</f>
        <v>0</v>
      </c>
      <c r="AH114" s="117">
        <f>AG114-AI114</f>
        <v>0</v>
      </c>
      <c r="AI114" s="117">
        <f>AI115+AI121+AI127+AI133</f>
        <v>0</v>
      </c>
      <c r="AJ114" s="117">
        <f>VLOOKUP($C114,'1 预算编制表单'!$C:$BJ,39,FALSE)</f>
        <v>0</v>
      </c>
      <c r="AK114" s="117">
        <f>AJ114-AL114</f>
        <v>0</v>
      </c>
      <c r="AL114" s="117">
        <f>AL115+AL121+AL127+AL133</f>
        <v>0</v>
      </c>
      <c r="AM114" s="117">
        <f>VLOOKUP($C114,'1 预算编制表单'!$C:$BJ,42,FALSE)</f>
        <v>0</v>
      </c>
      <c r="AN114" s="117">
        <f>AM114-AO114</f>
        <v>0</v>
      </c>
      <c r="AO114" s="117">
        <f>AO115+AO121+AO127+AO133</f>
        <v>0</v>
      </c>
      <c r="AP114" s="117">
        <f>VLOOKUP($C114,'1 预算编制表单'!$C:$BJ,45,FALSE)</f>
        <v>0</v>
      </c>
      <c r="AQ114" s="117">
        <f>AP114-AR114</f>
        <v>0</v>
      </c>
      <c r="AR114" s="117">
        <f>AR115+AR121+AR127+AR133</f>
        <v>0</v>
      </c>
      <c r="AS114" s="117">
        <f>VLOOKUP($C114,'1 预算编制表单'!$C:$BJ,48,FALSE)</f>
        <v>0</v>
      </c>
      <c r="AT114" s="117">
        <f>AS114-AU114</f>
        <v>0</v>
      </c>
      <c r="AU114" s="117">
        <f>AU115+AU121+AU127+AU133</f>
        <v>0</v>
      </c>
      <c r="AV114" s="117">
        <f>VLOOKUP($C114,'1 预算编制表单'!$C:$BJ,51,FALSE)</f>
        <v>0</v>
      </c>
      <c r="AW114" s="117">
        <f>AV114-AX114</f>
        <v>0</v>
      </c>
      <c r="AX114" s="117">
        <f>AX115+AX121+AX127+AX133</f>
        <v>0</v>
      </c>
      <c r="AY114" s="117">
        <f>VLOOKUP($C114,'1 预算编制表单'!$C:$BJ,54,FALSE)</f>
        <v>0</v>
      </c>
      <c r="AZ114" s="117">
        <f>AY114-BA114</f>
        <v>0</v>
      </c>
      <c r="BA114" s="117">
        <f>BA115+BA121+BA127+BA133</f>
        <v>0</v>
      </c>
      <c r="BB114" s="117">
        <f>VLOOKUP($C114,'1 预算编制表单'!$C:$BJ,57,FALSE)</f>
        <v>0</v>
      </c>
      <c r="BC114" s="117">
        <f>BB114-BD114</f>
        <v>0</v>
      </c>
      <c r="BD114" s="117">
        <f>BD115+BD121+BD127+BD133</f>
        <v>0</v>
      </c>
      <c r="BE114" s="117">
        <f>VLOOKUP($C114,'1 预算编制表单'!$C:$BJ,60,FALSE)</f>
        <v>0</v>
      </c>
      <c r="BF114" s="117">
        <f>BE114-BG114</f>
        <v>0</v>
      </c>
      <c r="BG114" s="117">
        <f>BG115+BG121+BG127+BG133</f>
        <v>0</v>
      </c>
      <c r="BH114" s="117">
        <f>VLOOKUP($C114,'1 预算编制表单'!$C:$BJ,27,FALSE)</f>
        <v>0</v>
      </c>
      <c r="BI114" s="117">
        <f>BH114-BJ114</f>
        <v>0</v>
      </c>
      <c r="BJ114" s="117">
        <f>BJ115+BJ121+BJ127+BJ133</f>
        <v>0</v>
      </c>
      <c r="BK114" s="117">
        <f>VLOOKUP($C114,'1 预算编制表单'!$C:$BJ,30,FALSE)</f>
        <v>0</v>
      </c>
      <c r="BL114" s="117">
        <f>BK114-BM114</f>
        <v>0</v>
      </c>
      <c r="BM114" s="117">
        <f>BM115+BM121+BM127+BM133</f>
        <v>0</v>
      </c>
      <c r="BN114" s="117">
        <f>VLOOKUP($C114,'1 预算编制表单'!$C:$BJ,33,FALSE)</f>
        <v>0</v>
      </c>
      <c r="BO114" s="117">
        <f>BN114-BP114</f>
        <v>0</v>
      </c>
      <c r="BP114" s="117">
        <f>BP115+BP121+BP127+BP133</f>
        <v>0</v>
      </c>
      <c r="BQ114" s="117">
        <f>VLOOKUP($C114,'1 预算编制表单'!$C:$BJ,36,FALSE)</f>
        <v>0</v>
      </c>
      <c r="BR114" s="117">
        <f>BQ114-BS114</f>
        <v>0</v>
      </c>
      <c r="BS114" s="117">
        <f>BS115+BS121+BS127+BS133</f>
        <v>0</v>
      </c>
      <c r="BT114" s="117">
        <f>VLOOKUP($C114,'1 预算编制表单'!$C:$BJ,39,FALSE)</f>
        <v>0</v>
      </c>
      <c r="BU114" s="117">
        <f>BT114-BV114</f>
        <v>0</v>
      </c>
      <c r="BV114" s="117">
        <f>BV115+BV121+BV127+BV133</f>
        <v>0</v>
      </c>
      <c r="BW114" s="117">
        <f>VLOOKUP($C114,'1 预算编制表单'!$C:$BJ,42,FALSE)</f>
        <v>0</v>
      </c>
      <c r="BX114" s="117">
        <f>BW114-BY114</f>
        <v>0</v>
      </c>
      <c r="BY114" s="117">
        <f>BY115+BY121+BY127+BY133</f>
        <v>0</v>
      </c>
      <c r="BZ114" s="117">
        <f>VLOOKUP($C114,'1 预算编制表单'!$C:$BJ,45,FALSE)</f>
        <v>0</v>
      </c>
      <c r="CA114" s="117">
        <f>BZ114-CB114</f>
        <v>0</v>
      </c>
      <c r="CB114" s="117">
        <f>CB115+CB121+CB127+CB133</f>
        <v>0</v>
      </c>
      <c r="CC114" s="117">
        <f>VLOOKUP($C114,'1 预算编制表单'!$C:$BJ,48,FALSE)</f>
        <v>0</v>
      </c>
      <c r="CD114" s="117">
        <f>CC114-CE114</f>
        <v>0</v>
      </c>
      <c r="CE114" s="117">
        <f>CE115+CE121+CE127+CE133</f>
        <v>0</v>
      </c>
      <c r="CF114" s="117">
        <f>VLOOKUP($C114,'1 预算编制表单'!$C:$BJ,51,FALSE)</f>
        <v>0</v>
      </c>
      <c r="CG114" s="117">
        <f>CF114-CH114</f>
        <v>0</v>
      </c>
      <c r="CH114" s="117">
        <f>CH115+CH121+CH127+CH133</f>
        <v>0</v>
      </c>
      <c r="CI114" s="117">
        <f>VLOOKUP($C114,'1 预算编制表单'!$C:$BJ,54,FALSE)</f>
        <v>0</v>
      </c>
      <c r="CJ114" s="117">
        <f>CI114-CK114</f>
        <v>0</v>
      </c>
      <c r="CK114" s="117">
        <f>CK115+CK121+CK127+CK133</f>
        <v>0</v>
      </c>
      <c r="CL114" s="117">
        <f>VLOOKUP($C114,'1 预算编制表单'!$C:$BJ,57,FALSE)</f>
        <v>0</v>
      </c>
      <c r="CM114" s="117">
        <f>CL114-CN114</f>
        <v>0</v>
      </c>
      <c r="CN114" s="117">
        <f>CN115+CN121+CN127+CN133</f>
        <v>0</v>
      </c>
      <c r="CO114" s="117">
        <f>VLOOKUP($C114,'1 预算编制表单'!$C:$BJ,60,FALSE)</f>
        <v>0</v>
      </c>
      <c r="CP114" s="117">
        <f>CO114-CQ114</f>
        <v>0</v>
      </c>
      <c r="CQ114" s="117">
        <f>CQ115+CQ121+CQ127+CQ133</f>
        <v>0</v>
      </c>
    </row>
    <row r="115" ht="24" hidden="1" customHeight="1" outlineLevel="3" collapsed="1" spans="1:95">
      <c r="A115" s="118"/>
      <c r="B115" s="119" t="s">
        <v>747</v>
      </c>
      <c r="C115" s="120" t="s">
        <v>124</v>
      </c>
      <c r="D115" s="118" t="s">
        <v>109</v>
      </c>
      <c r="E115" s="119"/>
      <c r="F115" s="119"/>
      <c r="G115" s="119"/>
      <c r="H115" s="121">
        <f>X115+AA115+AD115+AG115+AJ115+AM115+AP115+AS115+AV115+AY115+BB115+BE115</f>
        <v>0</v>
      </c>
      <c r="I115" s="121">
        <f>Y115+AB115+AE115+AH115+AK115+AN115+AQ115+AT115+AW115+AZ115+BC115+BF115</f>
        <v>0</v>
      </c>
      <c r="J115" s="121">
        <f t="shared" si="814"/>
        <v>0</v>
      </c>
      <c r="K115" s="121"/>
      <c r="L115" s="149"/>
      <c r="M115" s="149"/>
      <c r="N115" s="121"/>
      <c r="O115" s="121"/>
      <c r="P115" s="121"/>
      <c r="Q115" s="121"/>
      <c r="R115" s="121"/>
      <c r="S115" s="121"/>
      <c r="T115" s="121"/>
      <c r="U115" s="121"/>
      <c r="V115" s="121"/>
      <c r="W115" s="121"/>
      <c r="X115" s="121">
        <f>VLOOKUP($C115,'1 预算编制表单'!$C:$BJ,27,FALSE)</f>
        <v>0</v>
      </c>
      <c r="Y115" s="121">
        <f>X115-Z115</f>
        <v>0</v>
      </c>
      <c r="Z115" s="121">
        <f>SUM(Z116:Z120)</f>
        <v>0</v>
      </c>
      <c r="AA115" s="121">
        <f>VLOOKUP($C115,'1 预算编制表单'!$C:$BJ,30,FALSE)</f>
        <v>0</v>
      </c>
      <c r="AB115" s="121">
        <f>AA115-AC115</f>
        <v>0</v>
      </c>
      <c r="AC115" s="121">
        <f>SUM(AC116:AC120)</f>
        <v>0</v>
      </c>
      <c r="AD115" s="121">
        <f>VLOOKUP($C115,'1 预算编制表单'!$C:$BJ,33,FALSE)</f>
        <v>0</v>
      </c>
      <c r="AE115" s="121">
        <f>AD115-AF115</f>
        <v>0</v>
      </c>
      <c r="AF115" s="121">
        <f>SUM(AF116:AF120)</f>
        <v>0</v>
      </c>
      <c r="AG115" s="121">
        <f>VLOOKUP($C115,'1 预算编制表单'!$C:$BJ,36,FALSE)</f>
        <v>0</v>
      </c>
      <c r="AH115" s="121">
        <f>AG115-AI115</f>
        <v>0</v>
      </c>
      <c r="AI115" s="121">
        <f>SUM(AI116:AI120)</f>
        <v>0</v>
      </c>
      <c r="AJ115" s="121">
        <f>VLOOKUP($C115,'1 预算编制表单'!$C:$BJ,39,FALSE)</f>
        <v>0</v>
      </c>
      <c r="AK115" s="121">
        <f>AJ115-AL115</f>
        <v>0</v>
      </c>
      <c r="AL115" s="121">
        <f>SUM(AL116:AL120)</f>
        <v>0</v>
      </c>
      <c r="AM115" s="121">
        <f>VLOOKUP($C115,'1 预算编制表单'!$C:$BJ,42,FALSE)</f>
        <v>0</v>
      </c>
      <c r="AN115" s="121">
        <f>AM115-AO115</f>
        <v>0</v>
      </c>
      <c r="AO115" s="121">
        <f>SUM(AO116:AO120)</f>
        <v>0</v>
      </c>
      <c r="AP115" s="121">
        <f>VLOOKUP($C115,'1 预算编制表单'!$C:$BJ,45,FALSE)</f>
        <v>0</v>
      </c>
      <c r="AQ115" s="121">
        <f>AP115-AR115</f>
        <v>0</v>
      </c>
      <c r="AR115" s="121">
        <f>SUM(AR116:AR120)</f>
        <v>0</v>
      </c>
      <c r="AS115" s="121">
        <f>VLOOKUP($C115,'1 预算编制表单'!$C:$BJ,48,FALSE)</f>
        <v>0</v>
      </c>
      <c r="AT115" s="121">
        <f>AS115-AU115</f>
        <v>0</v>
      </c>
      <c r="AU115" s="121">
        <f>SUM(AU116:AU120)</f>
        <v>0</v>
      </c>
      <c r="AV115" s="121">
        <f>VLOOKUP($C115,'1 预算编制表单'!$C:$BJ,51,FALSE)</f>
        <v>0</v>
      </c>
      <c r="AW115" s="121">
        <f>AV115-AX115</f>
        <v>0</v>
      </c>
      <c r="AX115" s="121">
        <f>SUM(AX116:AX120)</f>
        <v>0</v>
      </c>
      <c r="AY115" s="121">
        <f>VLOOKUP($C115,'1 预算编制表单'!$C:$BJ,54,FALSE)</f>
        <v>0</v>
      </c>
      <c r="AZ115" s="121">
        <f>AY115-BA115</f>
        <v>0</v>
      </c>
      <c r="BA115" s="121">
        <f>SUM(BA116:BA120)</f>
        <v>0</v>
      </c>
      <c r="BB115" s="121">
        <f>VLOOKUP($C115,'1 预算编制表单'!$C:$BJ,57,FALSE)</f>
        <v>0</v>
      </c>
      <c r="BC115" s="121">
        <f>BB115-BD115</f>
        <v>0</v>
      </c>
      <c r="BD115" s="121">
        <f>SUM(BD116:BD120)</f>
        <v>0</v>
      </c>
      <c r="BE115" s="121">
        <f>VLOOKUP($C115,'1 预算编制表单'!$C:$BJ,60,FALSE)</f>
        <v>0</v>
      </c>
      <c r="BF115" s="121">
        <f>BE115-BG115</f>
        <v>0</v>
      </c>
      <c r="BG115" s="121">
        <f>SUM(BG116:BG120)</f>
        <v>0</v>
      </c>
      <c r="BH115" s="121">
        <f>VLOOKUP($C115,'1 预算编制表单'!$C:$BJ,27,FALSE)</f>
        <v>0</v>
      </c>
      <c r="BI115" s="121">
        <f>BH115-BJ115</f>
        <v>0</v>
      </c>
      <c r="BJ115" s="121">
        <f>SUM(BJ116:BJ120)</f>
        <v>0</v>
      </c>
      <c r="BK115" s="121">
        <f>VLOOKUP($C115,'1 预算编制表单'!$C:$BJ,30,FALSE)</f>
        <v>0</v>
      </c>
      <c r="BL115" s="121">
        <f>BK115-BM115</f>
        <v>0</v>
      </c>
      <c r="BM115" s="121">
        <f>SUM(BM116:BM120)</f>
        <v>0</v>
      </c>
      <c r="BN115" s="121">
        <f>VLOOKUP($C115,'1 预算编制表单'!$C:$BJ,33,FALSE)</f>
        <v>0</v>
      </c>
      <c r="BO115" s="121">
        <f>BN115-BP115</f>
        <v>0</v>
      </c>
      <c r="BP115" s="121">
        <f>SUM(BP116:BP120)</f>
        <v>0</v>
      </c>
      <c r="BQ115" s="121">
        <f>VLOOKUP($C115,'1 预算编制表单'!$C:$BJ,36,FALSE)</f>
        <v>0</v>
      </c>
      <c r="BR115" s="121">
        <f>BQ115-BS115</f>
        <v>0</v>
      </c>
      <c r="BS115" s="121">
        <f>SUM(BS116:BS120)</f>
        <v>0</v>
      </c>
      <c r="BT115" s="121">
        <f>VLOOKUP($C115,'1 预算编制表单'!$C:$BJ,39,FALSE)</f>
        <v>0</v>
      </c>
      <c r="BU115" s="121">
        <f>BT115-BV115</f>
        <v>0</v>
      </c>
      <c r="BV115" s="121">
        <f>SUM(BV116:BV120)</f>
        <v>0</v>
      </c>
      <c r="BW115" s="121">
        <f>VLOOKUP($C115,'1 预算编制表单'!$C:$BJ,42,FALSE)</f>
        <v>0</v>
      </c>
      <c r="BX115" s="121">
        <f>BW115-BY115</f>
        <v>0</v>
      </c>
      <c r="BY115" s="121">
        <f>SUM(BY116:BY120)</f>
        <v>0</v>
      </c>
      <c r="BZ115" s="121">
        <f>VLOOKUP($C115,'1 预算编制表单'!$C:$BJ,45,FALSE)</f>
        <v>0</v>
      </c>
      <c r="CA115" s="121">
        <f>BZ115-CB115</f>
        <v>0</v>
      </c>
      <c r="CB115" s="121">
        <f>SUM(CB116:CB120)</f>
        <v>0</v>
      </c>
      <c r="CC115" s="121">
        <f>VLOOKUP($C115,'1 预算编制表单'!$C:$BJ,48,FALSE)</f>
        <v>0</v>
      </c>
      <c r="CD115" s="121">
        <f>CC115-CE115</f>
        <v>0</v>
      </c>
      <c r="CE115" s="121">
        <f>SUM(CE116:CE120)</f>
        <v>0</v>
      </c>
      <c r="CF115" s="121">
        <f>VLOOKUP($C115,'1 预算编制表单'!$C:$BJ,51,FALSE)</f>
        <v>0</v>
      </c>
      <c r="CG115" s="121">
        <f>CF115-CH115</f>
        <v>0</v>
      </c>
      <c r="CH115" s="121">
        <f>SUM(CH116:CH120)</f>
        <v>0</v>
      </c>
      <c r="CI115" s="121">
        <f>VLOOKUP($C115,'1 预算编制表单'!$C:$BJ,54,FALSE)</f>
        <v>0</v>
      </c>
      <c r="CJ115" s="121">
        <f>CI115-CK115</f>
        <v>0</v>
      </c>
      <c r="CK115" s="121">
        <f>SUM(CK116:CK120)</f>
        <v>0</v>
      </c>
      <c r="CL115" s="121">
        <f>VLOOKUP($C115,'1 预算编制表单'!$C:$BJ,57,FALSE)</f>
        <v>0</v>
      </c>
      <c r="CM115" s="121">
        <f>CL115-CN115</f>
        <v>0</v>
      </c>
      <c r="CN115" s="121">
        <f>SUM(CN116:CN120)</f>
        <v>0</v>
      </c>
      <c r="CO115" s="121">
        <f>VLOOKUP($C115,'1 预算编制表单'!$C:$BJ,60,FALSE)</f>
        <v>0</v>
      </c>
      <c r="CP115" s="121">
        <f>CO115-CQ115</f>
        <v>0</v>
      </c>
      <c r="CQ115" s="121">
        <f>SUM(CQ116:CQ120)</f>
        <v>0</v>
      </c>
    </row>
    <row r="116" s="83" customFormat="1" ht="24" hidden="1" customHeight="1" outlineLevel="4" spans="1:95">
      <c r="A116" s="122"/>
      <c r="B116" s="123"/>
      <c r="C116" s="124"/>
      <c r="D116" s="122"/>
      <c r="E116" s="123"/>
      <c r="F116" s="123"/>
      <c r="G116" s="123"/>
      <c r="H116" s="125"/>
      <c r="I116" s="125"/>
      <c r="J116" s="125">
        <f t="shared" si="814"/>
        <v>0</v>
      </c>
      <c r="K116" s="125">
        <v>1</v>
      </c>
      <c r="L116" s="150"/>
      <c r="M116" s="151">
        <f>IFERROR(VLOOKUP($L116,'2-2 引出数据_合同数据仓库'!$B$5:$BP$20,3,FALSE),0)</f>
        <v>0</v>
      </c>
      <c r="N116" s="125"/>
      <c r="O116" s="151">
        <f>IFERROR(VLOOKUP((LEFT(VLOOKUP($L116,'2-2 引出数据_合同数据仓库'!$B$5:$BP$20,64,FALSE),15)&amp;(RIGHT(VLOOKUP($L116,'2-2 引出数据_合同数据仓库'!$B$5:$BP$20,64,FALSE),4)+1)),'2-2 引出数据_合同数据仓库'!$B$5:$BP$20,3,FALSE),0)</f>
        <v>0</v>
      </c>
      <c r="P116" s="125"/>
      <c r="Q116" s="125">
        <f>IFERROR(VLOOKUP($L116,'2-2 引出数据_合同数据仓库'!$B$5:$BP$20,28,FALSE),0)</f>
        <v>0</v>
      </c>
      <c r="R116" s="125">
        <f>IFERROR(VLOOKUP($L116,'2-2 引出数据_合同数据仓库'!$B$5:$BP$20,29,FALSE),0)</f>
        <v>0</v>
      </c>
      <c r="S116" s="125">
        <f>IFERROR(VLOOKUP($L116,'2-2 引出数据_合同数据仓库'!$B$5:$BP$20,4,FALSE),0)</f>
        <v>0</v>
      </c>
      <c r="T116" s="125"/>
      <c r="U116" s="125">
        <f>IFERROR(VLOOKUP($L116,'2-2 引出数据_合同数据仓库'!$B$5:$BP$20,15,FALSE),0)</f>
        <v>0</v>
      </c>
      <c r="V116" s="125">
        <f t="shared" ref="V116:V119" si="1354">U116/(S116-R116+1)*365</f>
        <v>0</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0</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0</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0</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0</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0</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0</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hidden="1"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引出数据_合同数据仓库'!$B$5:$BP$20,3,FALSE),0)</f>
        <v>0</v>
      </c>
      <c r="N117" s="125"/>
      <c r="O117" s="151">
        <f>IFERROR(VLOOKUP((LEFT(VLOOKUP($L117,'2-2 引出数据_合同数据仓库'!$B$5:$BP$20,64,FALSE),15)&amp;(RIGHT(VLOOKUP($L117,'2-2 引出数据_合同数据仓库'!$B$5:$BP$20,64,FALSE),4)+1)),'2-2 引出数据_合同数据仓库'!$B$5:$BP$20,3,FALSE),0)</f>
        <v>0</v>
      </c>
      <c r="P117" s="125"/>
      <c r="Q117" s="125">
        <f>IFERROR(VLOOKUP($L117,'2-2 引出数据_合同数据仓库'!$B$5:$BP$20,28,FALSE),0)</f>
        <v>0</v>
      </c>
      <c r="R117" s="125">
        <f>IFERROR(VLOOKUP($L117,'2-2 引出数据_合同数据仓库'!$B$5:$BP$20,29,FALSE),0)</f>
        <v>0</v>
      </c>
      <c r="S117" s="125">
        <f>IFERROR(VLOOKUP($L117,'2-2 引出数据_合同数据仓库'!$B$5:$BP$20,4,FALSE),0)</f>
        <v>0</v>
      </c>
      <c r="T117" s="125"/>
      <c r="U117" s="125">
        <f>IFERROR(VLOOKUP($L117,'2-2 引出数据_合同数据仓库'!$B$5:$BP$20,15,FALSE),0)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hidden="1"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引出数据_合同数据仓库'!$B$5:$BP$20,3,FALSE),0)</f>
        <v>0</v>
      </c>
      <c r="N118" s="125"/>
      <c r="O118" s="151">
        <f>IFERROR(VLOOKUP((LEFT(VLOOKUP($L118,'2-2 引出数据_合同数据仓库'!$B$5:$BP$20,64,FALSE),15)&amp;(RIGHT(VLOOKUP($L118,'2-2 引出数据_合同数据仓库'!$B$5:$BP$20,64,FALSE),4)+1)),'2-2 引出数据_合同数据仓库'!$B$5:$BP$20,3,FALSE),0)</f>
        <v>0</v>
      </c>
      <c r="P118" s="125"/>
      <c r="Q118" s="125">
        <f>IFERROR(VLOOKUP($L118,'2-2 引出数据_合同数据仓库'!$B$5:$BP$20,28,FALSE),0)</f>
        <v>0</v>
      </c>
      <c r="R118" s="125">
        <f>IFERROR(VLOOKUP($L118,'2-2 引出数据_合同数据仓库'!$B$5:$BP$20,29,FALSE),0)</f>
        <v>0</v>
      </c>
      <c r="S118" s="125">
        <f>IFERROR(VLOOKUP($L118,'2-2 引出数据_合同数据仓库'!$B$5:$BP$20,4,FALSE),0)</f>
        <v>0</v>
      </c>
      <c r="T118" s="125"/>
      <c r="U118" s="125">
        <f>IFERROR(VLOOKUP($L118,'2-2 引出数据_合同数据仓库'!$B$5:$BP$20,15,FALSE),0)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hidden="1"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引出数据_合同数据仓库'!$B$5:$BP$20,3,FALSE),0)</f>
        <v>0</v>
      </c>
      <c r="N119" s="125"/>
      <c r="O119" s="151">
        <f>IFERROR(VLOOKUP((LEFT(VLOOKUP($L119,'2-2 引出数据_合同数据仓库'!$B$5:$BP$20,64,FALSE),15)&amp;(RIGHT(VLOOKUP($L119,'2-2 引出数据_合同数据仓库'!$B$5:$BP$20,64,FALSE),4)+1)),'2-2 引出数据_合同数据仓库'!$B$5:$BP$20,3,FALSE),0)</f>
        <v>0</v>
      </c>
      <c r="P119" s="125"/>
      <c r="Q119" s="125">
        <f>IFERROR(VLOOKUP($L119,'2-2 引出数据_合同数据仓库'!$B$5:$BP$20,28,FALSE),0)</f>
        <v>0</v>
      </c>
      <c r="R119" s="125">
        <f>IFERROR(VLOOKUP($L119,'2-2 引出数据_合同数据仓库'!$B$5:$BP$20,29,FALSE),0)</f>
        <v>0</v>
      </c>
      <c r="S119" s="125">
        <f>IFERROR(VLOOKUP($L119,'2-2 引出数据_合同数据仓库'!$B$5:$BP$20,4,FALSE),0)</f>
        <v>0</v>
      </c>
      <c r="T119" s="125"/>
      <c r="U119" s="125">
        <f>IFERROR(VLOOKUP($L119,'2-2 引出数据_合同数据仓库'!$B$5:$BP$20,15,FALSE),0)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hidden="1" customHeight="1" outlineLevel="4" spans="1:95">
      <c r="A120" s="126" t="s">
        <v>2770</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hidden="1" customHeight="1" outlineLevel="3" spans="1:95">
      <c r="A121" s="118"/>
      <c r="B121" s="119" t="s">
        <v>747</v>
      </c>
      <c r="C121" s="120" t="s">
        <v>73</v>
      </c>
      <c r="D121" s="118" t="s">
        <v>68</v>
      </c>
      <c r="E121" s="119"/>
      <c r="F121" s="119"/>
      <c r="G121" s="119"/>
      <c r="H121" s="121">
        <f>X121+AA121+AD121+AG121+AJ121+AM121+AP121+AS121+AV121+AY121+BB121+BE121</f>
        <v>0</v>
      </c>
      <c r="I121" s="121">
        <f>Y121+AB121+AE121+AH121+AK121+AN121+AQ121+AT121+AW121+AZ121+BC121+BF121</f>
        <v>0</v>
      </c>
      <c r="J121" s="121">
        <f t="shared" si="814"/>
        <v>0</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0</v>
      </c>
      <c r="AI121" s="121">
        <f>SUM(AI122:AI126)</f>
        <v>0</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hidden="1" customHeight="1" outlineLevel="3" collapsed="1" spans="1:95">
      <c r="A122" s="133"/>
      <c r="B122" s="133"/>
      <c r="C122" s="133" t="s">
        <v>1028</v>
      </c>
      <c r="D122" s="131" t="s">
        <v>2771</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0</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hidden="1"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引出数据_合同数据仓库'!$B$5:$BP$20,3,FALSE),0)</f>
        <v>0</v>
      </c>
      <c r="N123" s="125"/>
      <c r="O123" s="151">
        <f>IFERROR(VLOOKUP((LEFT(VLOOKUP($L123,'2-2 引出数据_合同数据仓库'!$B$5:$BP$20,64,FALSE),15)&amp;(RIGHT(VLOOKUP($L123,'2-2 引出数据_合同数据仓库'!$B$5:$BP$20,64,FALSE),4)+1)),'2-2 引出数据_合同数据仓库'!$B$5:$BP$20,3,FALSE),0)</f>
        <v>0</v>
      </c>
      <c r="P123" s="125"/>
      <c r="Q123" s="125">
        <f>IFERROR(VLOOKUP($L123,'2-2 引出数据_合同数据仓库'!$B$5:$BP$20,28,FALSE),0)</f>
        <v>0</v>
      </c>
      <c r="R123" s="125">
        <f>IFERROR(VLOOKUP($L123,'2-2 引出数据_合同数据仓库'!$B$5:$BP$20,29,FALSE),0)</f>
        <v>0</v>
      </c>
      <c r="S123" s="125">
        <f>IFERROR(VLOOKUP($L123,'2-2 引出数据_合同数据仓库'!$B$5:$BP$20,4,FALSE),0)</f>
        <v>0</v>
      </c>
      <c r="T123" s="125"/>
      <c r="U123" s="125">
        <f>IFERROR(VLOOKUP($L123,'2-2 引出数据_合同数据仓库'!$B$5:$BP$20,15,FALSE),0)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hidden="1"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引出数据_合同数据仓库'!$B$5:$BP$20,3,FALSE),0)</f>
        <v>0</v>
      </c>
      <c r="N124" s="125"/>
      <c r="O124" s="151">
        <f>IFERROR(VLOOKUP((LEFT(VLOOKUP($L124,'2-2 引出数据_合同数据仓库'!$B$5:$BP$20,64,FALSE),15)&amp;(RIGHT(VLOOKUP($L124,'2-2 引出数据_合同数据仓库'!$B$5:$BP$20,64,FALSE),4)+1)),'2-2 引出数据_合同数据仓库'!$B$5:$BP$20,3,FALSE),0)</f>
        <v>0</v>
      </c>
      <c r="P124" s="125"/>
      <c r="Q124" s="125">
        <f>IFERROR(VLOOKUP($L124,'2-2 引出数据_合同数据仓库'!$B$5:$BP$20,28,FALSE),0)</f>
        <v>0</v>
      </c>
      <c r="R124" s="125">
        <f>IFERROR(VLOOKUP($L124,'2-2 引出数据_合同数据仓库'!$B$5:$BP$20,29,FALSE),0)</f>
        <v>0</v>
      </c>
      <c r="S124" s="125">
        <f>IFERROR(VLOOKUP($L124,'2-2 引出数据_合同数据仓库'!$B$5:$BP$20,4,FALSE),0)</f>
        <v>0</v>
      </c>
      <c r="T124" s="125"/>
      <c r="U124" s="125">
        <f>IFERROR(VLOOKUP($L124,'2-2 引出数据_合同数据仓库'!$B$5:$BP$20,15,FALSE),0)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hidden="1"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引出数据_合同数据仓库'!$B$5:$BP$20,3,FALSE),0)</f>
        <v>0</v>
      </c>
      <c r="N125" s="125"/>
      <c r="O125" s="151">
        <f>IFERROR(VLOOKUP((LEFT(VLOOKUP($L125,'2-2 引出数据_合同数据仓库'!$B$5:$BP$20,64,FALSE),15)&amp;(RIGHT(VLOOKUP($L125,'2-2 引出数据_合同数据仓库'!$B$5:$BP$20,64,FALSE),4)+1)),'2-2 引出数据_合同数据仓库'!$B$5:$BP$20,3,FALSE),0)</f>
        <v>0</v>
      </c>
      <c r="P125" s="125"/>
      <c r="Q125" s="125">
        <f>IFERROR(VLOOKUP($L125,'2-2 引出数据_合同数据仓库'!$B$5:$BP$20,28,FALSE),0)</f>
        <v>0</v>
      </c>
      <c r="R125" s="125">
        <f>IFERROR(VLOOKUP($L125,'2-2 引出数据_合同数据仓库'!$B$5:$BP$20,29,FALSE),0)</f>
        <v>0</v>
      </c>
      <c r="S125" s="125">
        <f>IFERROR(VLOOKUP($L125,'2-2 引出数据_合同数据仓库'!$B$5:$BP$20,4,FALSE),0)</f>
        <v>0</v>
      </c>
      <c r="T125" s="125"/>
      <c r="U125" s="125">
        <f>IFERROR(VLOOKUP($L125,'2-2 引出数据_合同数据仓库'!$B$5:$BP$20,15,FALSE),0)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hidden="1" customHeight="1" outlineLevel="4" spans="1:95">
      <c r="A126" s="126" t="s">
        <v>2770</v>
      </c>
      <c r="B126" s="127"/>
      <c r="C126" s="127"/>
      <c r="D126" s="127"/>
      <c r="E126" s="127"/>
      <c r="F126" s="127"/>
      <c r="G126" s="128"/>
      <c r="H126" s="129"/>
      <c r="I126" s="129"/>
      <c r="J126" s="129"/>
      <c r="K126" s="129"/>
      <c r="L126" s="152"/>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hidden="1" customHeight="1" outlineLevel="3" collapsed="1" spans="1:95">
      <c r="A127" s="118"/>
      <c r="B127" s="119" t="s">
        <v>747</v>
      </c>
      <c r="C127" s="120" t="s">
        <v>22</v>
      </c>
      <c r="D127" s="118" t="s">
        <v>23</v>
      </c>
      <c r="E127" s="119"/>
      <c r="F127" s="119"/>
      <c r="G127" s="119"/>
      <c r="H127" s="121">
        <f>X127+AA127+AD127+AG127+AJ127+AM127+AP127+AS127+AV127+AY127+BB127+BE127</f>
        <v>0</v>
      </c>
      <c r="I127" s="121">
        <f>Y127+AB127+AE127+AH127+AK127+AN127+AQ127+AT127+AW127+AZ127+BC127+BF127</f>
        <v>0</v>
      </c>
      <c r="J127" s="121">
        <f t="shared" si="814"/>
        <v>0</v>
      </c>
      <c r="K127" s="121"/>
      <c r="L127" s="149"/>
      <c r="M127" s="149"/>
      <c r="N127" s="121"/>
      <c r="O127" s="121"/>
      <c r="P127" s="121"/>
      <c r="Q127" s="121"/>
      <c r="R127" s="121"/>
      <c r="S127" s="121"/>
      <c r="T127" s="121"/>
      <c r="U127" s="121"/>
      <c r="V127" s="121"/>
      <c r="W127" s="121"/>
      <c r="X127" s="121">
        <f>VLOOKUP($C127,'1 预算编制表单'!$C:$BJ,27,FALSE)</f>
        <v>0</v>
      </c>
      <c r="Y127" s="121">
        <f>X127-Z127</f>
        <v>0</v>
      </c>
      <c r="Z127" s="121">
        <f>SUM(Z128:Z132)</f>
        <v>0</v>
      </c>
      <c r="AA127" s="121">
        <f>VLOOKUP($C127,'1 预算编制表单'!$C:$BJ,30,FALSE)</f>
        <v>0</v>
      </c>
      <c r="AB127" s="121">
        <f>AA127-AC127</f>
        <v>0</v>
      </c>
      <c r="AC127" s="121">
        <f>SUM(AC128:AC132)</f>
        <v>0</v>
      </c>
      <c r="AD127" s="121">
        <f>VLOOKUP($C127,'1 预算编制表单'!$C:$BJ,33,FALSE)</f>
        <v>0</v>
      </c>
      <c r="AE127" s="121">
        <f>AD127-AF127</f>
        <v>0</v>
      </c>
      <c r="AF127" s="121">
        <f>SUM(AF128:AF132)</f>
        <v>0</v>
      </c>
      <c r="AG127" s="121">
        <f>VLOOKUP($C127,'1 预算编制表单'!$C:$BJ,36,FALSE)</f>
        <v>0</v>
      </c>
      <c r="AH127" s="121">
        <f>AG127-AI127</f>
        <v>0</v>
      </c>
      <c r="AI127" s="121">
        <f>SUM(AI128:AI132)</f>
        <v>0</v>
      </c>
      <c r="AJ127" s="121">
        <f>VLOOKUP($C127,'1 预算编制表单'!$C:$BJ,39,FALSE)</f>
        <v>0</v>
      </c>
      <c r="AK127" s="121">
        <f>AJ127-AL127</f>
        <v>0</v>
      </c>
      <c r="AL127" s="121">
        <f>SUM(AL128:AL132)</f>
        <v>0</v>
      </c>
      <c r="AM127" s="121">
        <f>VLOOKUP($C127,'1 预算编制表单'!$C:$BJ,42,FALSE)</f>
        <v>0</v>
      </c>
      <c r="AN127" s="121">
        <f>AM127-AO127</f>
        <v>0</v>
      </c>
      <c r="AO127" s="121">
        <f>SUM(AO128:AO132)</f>
        <v>0</v>
      </c>
      <c r="AP127" s="121">
        <f>VLOOKUP($C127,'1 预算编制表单'!$C:$BJ,45,FALSE)</f>
        <v>0</v>
      </c>
      <c r="AQ127" s="121">
        <f>AP127-AR127</f>
        <v>0</v>
      </c>
      <c r="AR127" s="121">
        <f>SUM(AR128:AR132)</f>
        <v>0</v>
      </c>
      <c r="AS127" s="121">
        <f>VLOOKUP($C127,'1 预算编制表单'!$C:$BJ,48,FALSE)</f>
        <v>0</v>
      </c>
      <c r="AT127" s="121">
        <f>AS127-AU127</f>
        <v>0</v>
      </c>
      <c r="AU127" s="121">
        <f>SUM(AU128:AU132)</f>
        <v>0</v>
      </c>
      <c r="AV127" s="121">
        <f>VLOOKUP($C127,'1 预算编制表单'!$C:$BJ,51,FALSE)</f>
        <v>0</v>
      </c>
      <c r="AW127" s="121">
        <f>AV127-AX127</f>
        <v>0</v>
      </c>
      <c r="AX127" s="121">
        <f>SUM(AX128:AX132)</f>
        <v>0</v>
      </c>
      <c r="AY127" s="121">
        <f>VLOOKUP($C127,'1 预算编制表单'!$C:$BJ,54,FALSE)</f>
        <v>0</v>
      </c>
      <c r="AZ127" s="121">
        <f>AY127-BA127</f>
        <v>0</v>
      </c>
      <c r="BA127" s="121">
        <f>SUM(BA128:BA132)</f>
        <v>0</v>
      </c>
      <c r="BB127" s="121">
        <f>VLOOKUP($C127,'1 预算编制表单'!$C:$BJ,57,FALSE)</f>
        <v>0</v>
      </c>
      <c r="BC127" s="121">
        <f>BB127-BD127</f>
        <v>0</v>
      </c>
      <c r="BD127" s="121">
        <f>SUM(BD128:BD132)</f>
        <v>0</v>
      </c>
      <c r="BE127" s="121">
        <f>VLOOKUP($C127,'1 预算编制表单'!$C:$BJ,60,FALSE)</f>
        <v>0</v>
      </c>
      <c r="BF127" s="121">
        <f>BE127-BG127</f>
        <v>0</v>
      </c>
      <c r="BG127" s="121">
        <f>SUM(BG128:BG132)</f>
        <v>0</v>
      </c>
      <c r="BH127" s="121">
        <f>VLOOKUP($C127,'1 预算编制表单'!$C:$BJ,27,FALSE)</f>
        <v>0</v>
      </c>
      <c r="BI127" s="121">
        <f>BH127-BJ127</f>
        <v>0</v>
      </c>
      <c r="BJ127" s="121">
        <f>SUM(BJ128:BJ132)</f>
        <v>0</v>
      </c>
      <c r="BK127" s="121">
        <f>VLOOKUP($C127,'1 预算编制表单'!$C:$BJ,30,FALSE)</f>
        <v>0</v>
      </c>
      <c r="BL127" s="121">
        <f>BK127-BM127</f>
        <v>0</v>
      </c>
      <c r="BM127" s="121">
        <f>SUM(BM128:BM132)</f>
        <v>0</v>
      </c>
      <c r="BN127" s="121">
        <f>VLOOKUP($C127,'1 预算编制表单'!$C:$BJ,33,FALSE)</f>
        <v>0</v>
      </c>
      <c r="BO127" s="121">
        <f>BN127-BP127</f>
        <v>0</v>
      </c>
      <c r="BP127" s="121">
        <f>SUM(BP128:BP132)</f>
        <v>0</v>
      </c>
      <c r="BQ127" s="121">
        <f>VLOOKUP($C127,'1 预算编制表单'!$C:$BJ,36,FALSE)</f>
        <v>0</v>
      </c>
      <c r="BR127" s="121">
        <f>BQ127-BS127</f>
        <v>0</v>
      </c>
      <c r="BS127" s="121">
        <f>SUM(BS128:BS132)</f>
        <v>0</v>
      </c>
      <c r="BT127" s="121">
        <f>VLOOKUP($C127,'1 预算编制表单'!$C:$BJ,39,FALSE)</f>
        <v>0</v>
      </c>
      <c r="BU127" s="121">
        <f>BT127-BV127</f>
        <v>0</v>
      </c>
      <c r="BV127" s="121">
        <f>SUM(BV128:BV132)</f>
        <v>0</v>
      </c>
      <c r="BW127" s="121">
        <f>VLOOKUP($C127,'1 预算编制表单'!$C:$BJ,42,FALSE)</f>
        <v>0</v>
      </c>
      <c r="BX127" s="121">
        <f>BW127-BY127</f>
        <v>0</v>
      </c>
      <c r="BY127" s="121">
        <f>SUM(BY128:BY132)</f>
        <v>0</v>
      </c>
      <c r="BZ127" s="121">
        <f>VLOOKUP($C127,'1 预算编制表单'!$C:$BJ,45,FALSE)</f>
        <v>0</v>
      </c>
      <c r="CA127" s="121">
        <f>BZ127-CB127</f>
        <v>0</v>
      </c>
      <c r="CB127" s="121">
        <f>SUM(CB128:CB132)</f>
        <v>0</v>
      </c>
      <c r="CC127" s="121">
        <f>VLOOKUP($C127,'1 预算编制表单'!$C:$BJ,48,FALSE)</f>
        <v>0</v>
      </c>
      <c r="CD127" s="121">
        <f>CC127-CE127</f>
        <v>0</v>
      </c>
      <c r="CE127" s="121">
        <f>SUM(CE128:CE132)</f>
        <v>0</v>
      </c>
      <c r="CF127" s="121">
        <f>VLOOKUP($C127,'1 预算编制表单'!$C:$BJ,51,FALSE)</f>
        <v>0</v>
      </c>
      <c r="CG127" s="121">
        <f>CF127-CH127</f>
        <v>0</v>
      </c>
      <c r="CH127" s="121">
        <f>SUM(CH128:CH132)</f>
        <v>0</v>
      </c>
      <c r="CI127" s="121">
        <f>VLOOKUP($C127,'1 预算编制表单'!$C:$BJ,54,FALSE)</f>
        <v>0</v>
      </c>
      <c r="CJ127" s="121">
        <f>CI127-CK127</f>
        <v>0</v>
      </c>
      <c r="CK127" s="121">
        <f>SUM(CK128:CK132)</f>
        <v>0</v>
      </c>
      <c r="CL127" s="121">
        <f>VLOOKUP($C127,'1 预算编制表单'!$C:$BJ,57,FALSE)</f>
        <v>0</v>
      </c>
      <c r="CM127" s="121">
        <f>CL127-CN127</f>
        <v>0</v>
      </c>
      <c r="CN127" s="121">
        <f>SUM(CN128:CN132)</f>
        <v>0</v>
      </c>
      <c r="CO127" s="121">
        <f>VLOOKUP($C127,'1 预算编制表单'!$C:$BJ,60,FALSE)</f>
        <v>0</v>
      </c>
      <c r="CP127" s="121">
        <f>CO127-CQ127</f>
        <v>0</v>
      </c>
      <c r="CQ127" s="121">
        <f>SUM(CQ128:CQ132)</f>
        <v>0</v>
      </c>
    </row>
    <row r="128" s="83" customFormat="1" ht="24" hidden="1" customHeight="1" outlineLevel="4" spans="1:95">
      <c r="A128" s="122"/>
      <c r="B128" s="123"/>
      <c r="C128" s="124"/>
      <c r="D128" s="122"/>
      <c r="E128" s="123"/>
      <c r="F128" s="123"/>
      <c r="G128" s="123"/>
      <c r="H128" s="125"/>
      <c r="I128" s="125"/>
      <c r="J128" s="125">
        <f t="shared" si="814"/>
        <v>0</v>
      </c>
      <c r="K128" s="125">
        <v>1</v>
      </c>
      <c r="L128" s="150"/>
      <c r="M128" s="151">
        <f>IFERROR(VLOOKUP($L128,'2-2 引出数据_合同数据仓库'!$B$5:$BP$20,3,FALSE),0)</f>
        <v>0</v>
      </c>
      <c r="N128" s="125"/>
      <c r="O128" s="151">
        <f>IFERROR(VLOOKUP((LEFT(VLOOKUP($L128,'2-2 引出数据_合同数据仓库'!$B$5:$BP$20,64,FALSE),15)&amp;(RIGHT(VLOOKUP($L128,'2-2 引出数据_合同数据仓库'!$B$5:$BP$20,64,FALSE),4)+1)),'2-2 引出数据_合同数据仓库'!$B$5:$BP$20,3,FALSE),0)</f>
        <v>0</v>
      </c>
      <c r="P128" s="125"/>
      <c r="Q128" s="125">
        <f>IFERROR(VLOOKUP($L128,'2-2 引出数据_合同数据仓库'!$B$5:$BP$20,28,FALSE),0)</f>
        <v>0</v>
      </c>
      <c r="R128" s="125">
        <f>IFERROR(VLOOKUP($L128,'2-2 引出数据_合同数据仓库'!$B$5:$BP$20,29,FALSE),0)</f>
        <v>0</v>
      </c>
      <c r="S128" s="125">
        <f>IFERROR(VLOOKUP($L128,'2-2 引出数据_合同数据仓库'!$B$5:$BP$20,4,FALSE),0)</f>
        <v>0</v>
      </c>
      <c r="T128" s="125"/>
      <c r="U128" s="125">
        <f>IFERROR(VLOOKUP($L128,'2-2 引出数据_合同数据仓库'!$B$5:$BP$20,15,FALSE),0)</f>
        <v>0</v>
      </c>
      <c r="V128" s="125">
        <f t="shared" ref="V128:V131" si="1498">U128/(S128-R128+1)*365</f>
        <v>0</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0</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0</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0</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0</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0</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0</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hidden="1"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引出数据_合同数据仓库'!$B$5:$BP$20,3,FALSE),0)</f>
        <v>0</v>
      </c>
      <c r="N129" s="125"/>
      <c r="O129" s="151">
        <f>IFERROR(VLOOKUP((LEFT(VLOOKUP($L129,'2-2 引出数据_合同数据仓库'!$B$5:$BP$20,64,FALSE),15)&amp;(RIGHT(VLOOKUP($L129,'2-2 引出数据_合同数据仓库'!$B$5:$BP$20,64,FALSE),4)+1)),'2-2 引出数据_合同数据仓库'!$B$5:$BP$20,3,FALSE),0)</f>
        <v>0</v>
      </c>
      <c r="P129" s="125"/>
      <c r="Q129" s="125">
        <f>IFERROR(VLOOKUP($L129,'2-2 引出数据_合同数据仓库'!$B$5:$BP$20,28,FALSE),0)</f>
        <v>0</v>
      </c>
      <c r="R129" s="125">
        <f>IFERROR(VLOOKUP($L129,'2-2 引出数据_合同数据仓库'!$B$5:$BP$20,29,FALSE),0)</f>
        <v>0</v>
      </c>
      <c r="S129" s="125">
        <f>IFERROR(VLOOKUP($L129,'2-2 引出数据_合同数据仓库'!$B$5:$BP$20,4,FALSE),0)</f>
        <v>0</v>
      </c>
      <c r="T129" s="125"/>
      <c r="U129" s="125">
        <f>IFERROR(VLOOKUP($L129,'2-2 引出数据_合同数据仓库'!$B$5:$BP$20,15,FALSE),0)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hidden="1"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引出数据_合同数据仓库'!$B$5:$BP$20,3,FALSE),0)</f>
        <v>0</v>
      </c>
      <c r="N130" s="125"/>
      <c r="O130" s="151">
        <f>IFERROR(VLOOKUP((LEFT(VLOOKUP($L130,'2-2 引出数据_合同数据仓库'!$B$5:$BP$20,64,FALSE),15)&amp;(RIGHT(VLOOKUP($L130,'2-2 引出数据_合同数据仓库'!$B$5:$BP$20,64,FALSE),4)+1)),'2-2 引出数据_合同数据仓库'!$B$5:$BP$20,3,FALSE),0)</f>
        <v>0</v>
      </c>
      <c r="P130" s="125"/>
      <c r="Q130" s="125">
        <f>IFERROR(VLOOKUP($L130,'2-2 引出数据_合同数据仓库'!$B$5:$BP$20,28,FALSE),0)</f>
        <v>0</v>
      </c>
      <c r="R130" s="125">
        <f>IFERROR(VLOOKUP($L130,'2-2 引出数据_合同数据仓库'!$B$5:$BP$20,29,FALSE),0)</f>
        <v>0</v>
      </c>
      <c r="S130" s="125">
        <f>IFERROR(VLOOKUP($L130,'2-2 引出数据_合同数据仓库'!$B$5:$BP$20,4,FALSE),0)</f>
        <v>0</v>
      </c>
      <c r="T130" s="125"/>
      <c r="U130" s="125">
        <f>IFERROR(VLOOKUP($L130,'2-2 引出数据_合同数据仓库'!$B$5:$BP$20,15,FALSE),0)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hidden="1"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引出数据_合同数据仓库'!$B$5:$BP$20,3,FALSE),0)</f>
        <v>0</v>
      </c>
      <c r="N131" s="125"/>
      <c r="O131" s="151">
        <f>IFERROR(VLOOKUP((LEFT(VLOOKUP($L131,'2-2 引出数据_合同数据仓库'!$B$5:$BP$20,64,FALSE),15)&amp;(RIGHT(VLOOKUP($L131,'2-2 引出数据_合同数据仓库'!$B$5:$BP$20,64,FALSE),4)+1)),'2-2 引出数据_合同数据仓库'!$B$5:$BP$20,3,FALSE),0)</f>
        <v>0</v>
      </c>
      <c r="P131" s="125"/>
      <c r="Q131" s="125">
        <f>IFERROR(VLOOKUP($L131,'2-2 引出数据_合同数据仓库'!$B$5:$BP$20,28,FALSE),0)</f>
        <v>0</v>
      </c>
      <c r="R131" s="125">
        <f>IFERROR(VLOOKUP($L131,'2-2 引出数据_合同数据仓库'!$B$5:$BP$20,29,FALSE),0)</f>
        <v>0</v>
      </c>
      <c r="S131" s="125">
        <f>IFERROR(VLOOKUP($L131,'2-2 引出数据_合同数据仓库'!$B$5:$BP$20,4,FALSE),0)</f>
        <v>0</v>
      </c>
      <c r="T131" s="125"/>
      <c r="U131" s="125">
        <f>IFERROR(VLOOKUP($L131,'2-2 引出数据_合同数据仓库'!$B$5:$BP$20,15,FALSE),0)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hidden="1" customHeight="1" outlineLevel="4" spans="1:95">
      <c r="A132" s="126" t="s">
        <v>2770</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hidden="1" customHeight="1" outlineLevel="3" collapsed="1" spans="1:95">
      <c r="A133" s="118"/>
      <c r="B133" s="119" t="s">
        <v>747</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hidden="1"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引出数据_合同数据仓库'!$B$5:$BP$20,3,FALSE),0)</f>
        <v>0</v>
      </c>
      <c r="N134" s="125"/>
      <c r="O134" s="151">
        <f>IFERROR(VLOOKUP((LEFT(VLOOKUP($L134,'2-2 引出数据_合同数据仓库'!$B$5:$BP$20,64,FALSE),15)&amp;(RIGHT(VLOOKUP($L134,'2-2 引出数据_合同数据仓库'!$B$5:$BP$20,64,FALSE),4)+1)),'2-2 引出数据_合同数据仓库'!$B$5:$BP$20,3,FALSE),0)</f>
        <v>0</v>
      </c>
      <c r="P134" s="125"/>
      <c r="Q134" s="125">
        <f>IFERROR(VLOOKUP($L134,'2-2 引出数据_合同数据仓库'!$B$5:$BP$20,28,FALSE),0)</f>
        <v>0</v>
      </c>
      <c r="R134" s="125">
        <f>IFERROR(VLOOKUP($L134,'2-2 引出数据_合同数据仓库'!$B$5:$BP$20,29,FALSE),0)</f>
        <v>0</v>
      </c>
      <c r="S134" s="125">
        <f>IFERROR(VLOOKUP($L134,'2-2 引出数据_合同数据仓库'!$B$5:$BP$20,4,FALSE),0)</f>
        <v>0</v>
      </c>
      <c r="T134" s="125"/>
      <c r="U134" s="125">
        <f>IFERROR(VLOOKUP($L134,'2-2 引出数据_合同数据仓库'!$B$5:$BP$20,15,FALSE),0)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hidden="1"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引出数据_合同数据仓库'!$B$5:$BP$20,3,FALSE),0)</f>
        <v>0</v>
      </c>
      <c r="N135" s="125"/>
      <c r="O135" s="151">
        <f>IFERROR(VLOOKUP((LEFT(VLOOKUP($L135,'2-2 引出数据_合同数据仓库'!$B$5:$BP$20,64,FALSE),15)&amp;(RIGHT(VLOOKUP($L135,'2-2 引出数据_合同数据仓库'!$B$5:$BP$20,64,FALSE),4)+1)),'2-2 引出数据_合同数据仓库'!$B$5:$BP$20,3,FALSE),0)</f>
        <v>0</v>
      </c>
      <c r="P135" s="125"/>
      <c r="Q135" s="125">
        <f>IFERROR(VLOOKUP($L135,'2-2 引出数据_合同数据仓库'!$B$5:$BP$20,28,FALSE),0)</f>
        <v>0</v>
      </c>
      <c r="R135" s="125">
        <f>IFERROR(VLOOKUP($L135,'2-2 引出数据_合同数据仓库'!$B$5:$BP$20,29,FALSE),0)</f>
        <v>0</v>
      </c>
      <c r="S135" s="125">
        <f>IFERROR(VLOOKUP($L135,'2-2 引出数据_合同数据仓库'!$B$5:$BP$20,4,FALSE),0)</f>
        <v>0</v>
      </c>
      <c r="T135" s="125"/>
      <c r="U135" s="125">
        <f>IFERROR(VLOOKUP($L135,'2-2 引出数据_合同数据仓库'!$B$5:$BP$20,15,FALSE),0)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hidden="1"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引出数据_合同数据仓库'!$B$5:$BP$20,3,FALSE),0)</f>
        <v>0</v>
      </c>
      <c r="N136" s="125"/>
      <c r="O136" s="151">
        <f>IFERROR(VLOOKUP((LEFT(VLOOKUP($L136,'2-2 引出数据_合同数据仓库'!$B$5:$BP$20,64,FALSE),15)&amp;(RIGHT(VLOOKUP($L136,'2-2 引出数据_合同数据仓库'!$B$5:$BP$20,64,FALSE),4)+1)),'2-2 引出数据_合同数据仓库'!$B$5:$BP$20,3,FALSE),0)</f>
        <v>0</v>
      </c>
      <c r="P136" s="125"/>
      <c r="Q136" s="125">
        <f>IFERROR(VLOOKUP($L136,'2-2 引出数据_合同数据仓库'!$B$5:$BP$20,28,FALSE),0)</f>
        <v>0</v>
      </c>
      <c r="R136" s="125">
        <f>IFERROR(VLOOKUP($L136,'2-2 引出数据_合同数据仓库'!$B$5:$BP$20,29,FALSE),0)</f>
        <v>0</v>
      </c>
      <c r="S136" s="125">
        <f>IFERROR(VLOOKUP($L136,'2-2 引出数据_合同数据仓库'!$B$5:$BP$20,4,FALSE),0)</f>
        <v>0</v>
      </c>
      <c r="T136" s="125"/>
      <c r="U136" s="125">
        <f>IFERROR(VLOOKUP($L136,'2-2 引出数据_合同数据仓库'!$B$5:$BP$20,15,FALSE),0)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hidden="1"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引出数据_合同数据仓库'!$B$5:$BP$20,3,FALSE),0)</f>
        <v>0</v>
      </c>
      <c r="N137" s="125"/>
      <c r="O137" s="151">
        <f>IFERROR(VLOOKUP((LEFT(VLOOKUP($L137,'2-2 引出数据_合同数据仓库'!$B$5:$BP$20,64,FALSE),15)&amp;(RIGHT(VLOOKUP($L137,'2-2 引出数据_合同数据仓库'!$B$5:$BP$20,64,FALSE),4)+1)),'2-2 引出数据_合同数据仓库'!$B$5:$BP$20,3,FALSE),0)</f>
        <v>0</v>
      </c>
      <c r="P137" s="125"/>
      <c r="Q137" s="125">
        <f>IFERROR(VLOOKUP($L137,'2-2 引出数据_合同数据仓库'!$B$5:$BP$20,28,FALSE),0)</f>
        <v>0</v>
      </c>
      <c r="R137" s="125">
        <f>IFERROR(VLOOKUP($L137,'2-2 引出数据_合同数据仓库'!$B$5:$BP$20,29,FALSE),0)</f>
        <v>0</v>
      </c>
      <c r="S137" s="125">
        <f>IFERROR(VLOOKUP($L137,'2-2 引出数据_合同数据仓库'!$B$5:$BP$20,4,FALSE),0)</f>
        <v>0</v>
      </c>
      <c r="T137" s="125"/>
      <c r="U137" s="125">
        <f>IFERROR(VLOOKUP($L137,'2-2 引出数据_合同数据仓库'!$B$5:$BP$20,15,FALSE),0)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hidden="1" customHeight="1" outlineLevel="4" spans="1:95">
      <c r="A138" s="126" t="s">
        <v>2770</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hidden="1" customHeight="1" outlineLevel="2" collapsed="1" spans="1:95">
      <c r="A139" s="48"/>
      <c r="B139" s="115" t="s">
        <v>742</v>
      </c>
      <c r="C139" s="116" t="s">
        <v>1045</v>
      </c>
      <c r="D139" s="48" t="s">
        <v>1046</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hidden="1" customHeight="1" outlineLevel="3" collapsed="1" spans="1:95">
      <c r="A140" s="118"/>
      <c r="B140" s="119" t="s">
        <v>747</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hidden="1"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引出数据_合同数据仓库'!$B$5:$BP$20,3,FALSE),0)</f>
        <v>0</v>
      </c>
      <c r="N141" s="125"/>
      <c r="O141" s="151">
        <f>IFERROR(VLOOKUP((LEFT(VLOOKUP($L141,'2-2 引出数据_合同数据仓库'!$B$5:$BP$20,64,FALSE),15)&amp;(RIGHT(VLOOKUP($L141,'2-2 引出数据_合同数据仓库'!$B$5:$BP$20,64,FALSE),4)+1)),'2-2 引出数据_合同数据仓库'!$B$5:$BP$20,3,FALSE),0)</f>
        <v>0</v>
      </c>
      <c r="P141" s="125"/>
      <c r="Q141" s="125">
        <f>IFERROR(VLOOKUP($L141,'2-2 引出数据_合同数据仓库'!$B$5:$BP$20,28,FALSE),0)</f>
        <v>0</v>
      </c>
      <c r="R141" s="125">
        <f>IFERROR(VLOOKUP($L141,'2-2 引出数据_合同数据仓库'!$B$5:$BP$20,29,FALSE),0)</f>
        <v>0</v>
      </c>
      <c r="S141" s="125">
        <f>IFERROR(VLOOKUP($L141,'2-2 引出数据_合同数据仓库'!$B$5:$BP$20,4,FALSE),0)</f>
        <v>0</v>
      </c>
      <c r="T141" s="125"/>
      <c r="U141" s="125">
        <f>IFERROR(VLOOKUP($L141,'2-2 引出数据_合同数据仓库'!$B$5:$BP$20,15,FALSE),0)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hidden="1"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引出数据_合同数据仓库'!$B$5:$BP$20,3,FALSE),0)</f>
        <v>0</v>
      </c>
      <c r="N142" s="125"/>
      <c r="O142" s="151">
        <f>IFERROR(VLOOKUP((LEFT(VLOOKUP($L142,'2-2 引出数据_合同数据仓库'!$B$5:$BP$20,64,FALSE),15)&amp;(RIGHT(VLOOKUP($L142,'2-2 引出数据_合同数据仓库'!$B$5:$BP$20,64,FALSE),4)+1)),'2-2 引出数据_合同数据仓库'!$B$5:$BP$20,3,FALSE),0)</f>
        <v>0</v>
      </c>
      <c r="P142" s="125"/>
      <c r="Q142" s="125">
        <f>IFERROR(VLOOKUP($L142,'2-2 引出数据_合同数据仓库'!$B$5:$BP$20,28,FALSE),0)</f>
        <v>0</v>
      </c>
      <c r="R142" s="125">
        <f>IFERROR(VLOOKUP($L142,'2-2 引出数据_合同数据仓库'!$B$5:$BP$20,29,FALSE),0)</f>
        <v>0</v>
      </c>
      <c r="S142" s="125">
        <f>IFERROR(VLOOKUP($L142,'2-2 引出数据_合同数据仓库'!$B$5:$BP$20,4,FALSE),0)</f>
        <v>0</v>
      </c>
      <c r="T142" s="125"/>
      <c r="U142" s="125">
        <f>IFERROR(VLOOKUP($L142,'2-2 引出数据_合同数据仓库'!$B$5:$BP$20,15,FALSE),0)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hidden="1"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引出数据_合同数据仓库'!$B$5:$BP$20,3,FALSE),0)</f>
        <v>0</v>
      </c>
      <c r="N143" s="125"/>
      <c r="O143" s="151">
        <f>IFERROR(VLOOKUP((LEFT(VLOOKUP($L143,'2-2 引出数据_合同数据仓库'!$B$5:$BP$20,64,FALSE),15)&amp;(RIGHT(VLOOKUP($L143,'2-2 引出数据_合同数据仓库'!$B$5:$BP$20,64,FALSE),4)+1)),'2-2 引出数据_合同数据仓库'!$B$5:$BP$20,3,FALSE),0)</f>
        <v>0</v>
      </c>
      <c r="P143" s="125"/>
      <c r="Q143" s="125">
        <f>IFERROR(VLOOKUP($L143,'2-2 引出数据_合同数据仓库'!$B$5:$BP$20,28,FALSE),0)</f>
        <v>0</v>
      </c>
      <c r="R143" s="125">
        <f>IFERROR(VLOOKUP($L143,'2-2 引出数据_合同数据仓库'!$B$5:$BP$20,29,FALSE),0)</f>
        <v>0</v>
      </c>
      <c r="S143" s="125">
        <f>IFERROR(VLOOKUP($L143,'2-2 引出数据_合同数据仓库'!$B$5:$BP$20,4,FALSE),0)</f>
        <v>0</v>
      </c>
      <c r="T143" s="125"/>
      <c r="U143" s="125">
        <f>IFERROR(VLOOKUP($L143,'2-2 引出数据_合同数据仓库'!$B$5:$BP$20,15,FALSE),0)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hidden="1"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引出数据_合同数据仓库'!$B$5:$BP$20,3,FALSE),0)</f>
        <v>0</v>
      </c>
      <c r="N144" s="125"/>
      <c r="O144" s="151">
        <f>IFERROR(VLOOKUP((LEFT(VLOOKUP($L144,'2-2 引出数据_合同数据仓库'!$B$5:$BP$20,64,FALSE),15)&amp;(RIGHT(VLOOKUP($L144,'2-2 引出数据_合同数据仓库'!$B$5:$BP$20,64,FALSE),4)+1)),'2-2 引出数据_合同数据仓库'!$B$5:$BP$20,3,FALSE),0)</f>
        <v>0</v>
      </c>
      <c r="P144" s="125"/>
      <c r="Q144" s="125">
        <f>IFERROR(VLOOKUP($L144,'2-2 引出数据_合同数据仓库'!$B$5:$BP$20,28,FALSE),0)</f>
        <v>0</v>
      </c>
      <c r="R144" s="125">
        <f>IFERROR(VLOOKUP($L144,'2-2 引出数据_合同数据仓库'!$B$5:$BP$20,29,FALSE),0)</f>
        <v>0</v>
      </c>
      <c r="S144" s="125">
        <f>IFERROR(VLOOKUP($L144,'2-2 引出数据_合同数据仓库'!$B$5:$BP$20,4,FALSE),0)</f>
        <v>0</v>
      </c>
      <c r="T144" s="125"/>
      <c r="U144" s="125">
        <f>IFERROR(VLOOKUP($L144,'2-2 引出数据_合同数据仓库'!$B$5:$BP$20,15,FALSE),0)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hidden="1" customHeight="1" outlineLevel="4" spans="1:95">
      <c r="A145" s="126" t="s">
        <v>2770</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hidden="1" customHeight="1" outlineLevel="3" collapsed="1" spans="1:95">
      <c r="A146" s="118"/>
      <c r="B146" s="119" t="s">
        <v>747</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hidden="1" customHeight="1" outlineLevel="4" spans="1:95">
      <c r="A147" s="122"/>
      <c r="B147" s="123"/>
      <c r="C147" s="124" t="s">
        <v>1055</v>
      </c>
      <c r="D147" s="131" t="s">
        <v>2771</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hidden="1"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引出数据_合同数据仓库'!$B$5:$BP$20,3,FALSE),0)</f>
        <v>0</v>
      </c>
      <c r="N148" s="125"/>
      <c r="O148" s="151">
        <f>IFERROR(VLOOKUP((LEFT(VLOOKUP($L148,'2-2 引出数据_合同数据仓库'!$B$5:$BP$20,64,FALSE),15)&amp;(RIGHT(VLOOKUP($L148,'2-2 引出数据_合同数据仓库'!$B$5:$BP$20,64,FALSE),4)+1)),'2-2 引出数据_合同数据仓库'!$B$5:$BP$20,3,FALSE),0)</f>
        <v>0</v>
      </c>
      <c r="P148" s="125"/>
      <c r="Q148" s="125">
        <f>IFERROR(VLOOKUP($L148,'2-2 引出数据_合同数据仓库'!$B$5:$BP$20,28,FALSE),0)</f>
        <v>0</v>
      </c>
      <c r="R148" s="125">
        <f>IFERROR(VLOOKUP($L148,'2-2 引出数据_合同数据仓库'!$B$5:$BP$20,29,FALSE),0)</f>
        <v>0</v>
      </c>
      <c r="S148" s="125">
        <f>IFERROR(VLOOKUP($L148,'2-2 引出数据_合同数据仓库'!$B$5:$BP$20,4,FALSE),0)</f>
        <v>0</v>
      </c>
      <c r="T148" s="125"/>
      <c r="U148" s="125">
        <f>IFERROR(VLOOKUP($L148,'2-2 引出数据_合同数据仓库'!$B$5:$BP$20,15,FALSE),0)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hidden="1"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引出数据_合同数据仓库'!$B$5:$BP$20,3,FALSE),0)</f>
        <v>0</v>
      </c>
      <c r="N149" s="125"/>
      <c r="O149" s="151">
        <f>IFERROR(VLOOKUP((LEFT(VLOOKUP($L149,'2-2 引出数据_合同数据仓库'!$B$5:$BP$20,64,FALSE),15)&amp;(RIGHT(VLOOKUP($L149,'2-2 引出数据_合同数据仓库'!$B$5:$BP$20,64,FALSE),4)+1)),'2-2 引出数据_合同数据仓库'!$B$5:$BP$20,3,FALSE),0)</f>
        <v>0</v>
      </c>
      <c r="P149" s="125"/>
      <c r="Q149" s="125">
        <f>IFERROR(VLOOKUP($L149,'2-2 引出数据_合同数据仓库'!$B$5:$BP$20,28,FALSE),0)</f>
        <v>0</v>
      </c>
      <c r="R149" s="125">
        <f>IFERROR(VLOOKUP($L149,'2-2 引出数据_合同数据仓库'!$B$5:$BP$20,29,FALSE),0)</f>
        <v>0</v>
      </c>
      <c r="S149" s="125">
        <f>IFERROR(VLOOKUP($L149,'2-2 引出数据_合同数据仓库'!$B$5:$BP$20,4,FALSE),0)</f>
        <v>0</v>
      </c>
      <c r="T149" s="125"/>
      <c r="U149" s="125">
        <f>IFERROR(VLOOKUP($L149,'2-2 引出数据_合同数据仓库'!$B$5:$BP$20,15,FALSE),0)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hidden="1"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引出数据_合同数据仓库'!$B$5:$BP$20,3,FALSE),0)</f>
        <v>0</v>
      </c>
      <c r="N150" s="125"/>
      <c r="O150" s="151">
        <f>IFERROR(VLOOKUP((LEFT(VLOOKUP($L150,'2-2 引出数据_合同数据仓库'!$B$5:$BP$20,64,FALSE),15)&amp;(RIGHT(VLOOKUP($L150,'2-2 引出数据_合同数据仓库'!$B$5:$BP$20,64,FALSE),4)+1)),'2-2 引出数据_合同数据仓库'!$B$5:$BP$20,3,FALSE),0)</f>
        <v>0</v>
      </c>
      <c r="P150" s="125"/>
      <c r="Q150" s="125">
        <f>IFERROR(VLOOKUP($L150,'2-2 引出数据_合同数据仓库'!$B$5:$BP$20,28,FALSE),0)</f>
        <v>0</v>
      </c>
      <c r="R150" s="125">
        <f>IFERROR(VLOOKUP($L150,'2-2 引出数据_合同数据仓库'!$B$5:$BP$20,29,FALSE),0)</f>
        <v>0</v>
      </c>
      <c r="S150" s="125">
        <f>IFERROR(VLOOKUP($L150,'2-2 引出数据_合同数据仓库'!$B$5:$BP$20,4,FALSE),0)</f>
        <v>0</v>
      </c>
      <c r="T150" s="125"/>
      <c r="U150" s="125">
        <f>IFERROR(VLOOKUP($L150,'2-2 引出数据_合同数据仓库'!$B$5:$BP$20,15,FALSE),0)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hidden="1" customHeight="1" outlineLevel="4" spans="1:95">
      <c r="A151" s="126" t="s">
        <v>2770</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hidden="1" customHeight="1" outlineLevel="3" collapsed="1" spans="1:95">
      <c r="A152" s="118"/>
      <c r="B152" s="119" t="s">
        <v>747</v>
      </c>
      <c r="C152" s="120" t="s">
        <v>1061</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hidden="1"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引出数据_合同数据仓库'!$B$5:$BP$20,3,FALSE),0)</f>
        <v>0</v>
      </c>
      <c r="N153" s="125"/>
      <c r="O153" s="151">
        <f>IFERROR(VLOOKUP((LEFT(VLOOKUP($L153,'2-2 引出数据_合同数据仓库'!$B$5:$BP$20,64,FALSE),15)&amp;(RIGHT(VLOOKUP($L153,'2-2 引出数据_合同数据仓库'!$B$5:$BP$20,64,FALSE),4)+1)),'2-2 引出数据_合同数据仓库'!$B$5:$BP$20,3,FALSE),0)</f>
        <v>0</v>
      </c>
      <c r="P153" s="125"/>
      <c r="Q153" s="125">
        <f>IFERROR(VLOOKUP($L153,'2-2 引出数据_合同数据仓库'!$B$5:$BP$20,28,FALSE),0)</f>
        <v>0</v>
      </c>
      <c r="R153" s="125">
        <f>IFERROR(VLOOKUP($L153,'2-2 引出数据_合同数据仓库'!$B$5:$BP$20,29,FALSE),0)</f>
        <v>0</v>
      </c>
      <c r="S153" s="125">
        <f>IFERROR(VLOOKUP($L153,'2-2 引出数据_合同数据仓库'!$B$5:$BP$20,4,FALSE),0)</f>
        <v>0</v>
      </c>
      <c r="T153" s="125"/>
      <c r="U153" s="125">
        <f>IFERROR(VLOOKUP($L153,'2-2 引出数据_合同数据仓库'!$B$5:$BP$20,15,FALSE),0)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hidden="1"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引出数据_合同数据仓库'!$B$5:$BP$20,3,FALSE),0)</f>
        <v>0</v>
      </c>
      <c r="N154" s="125"/>
      <c r="O154" s="151">
        <f>IFERROR(VLOOKUP((LEFT(VLOOKUP($L154,'2-2 引出数据_合同数据仓库'!$B$5:$BP$20,64,FALSE),15)&amp;(RIGHT(VLOOKUP($L154,'2-2 引出数据_合同数据仓库'!$B$5:$BP$20,64,FALSE),4)+1)),'2-2 引出数据_合同数据仓库'!$B$5:$BP$20,3,FALSE),0)</f>
        <v>0</v>
      </c>
      <c r="P154" s="125"/>
      <c r="Q154" s="125">
        <f>IFERROR(VLOOKUP($L154,'2-2 引出数据_合同数据仓库'!$B$5:$BP$20,28,FALSE),0)</f>
        <v>0</v>
      </c>
      <c r="R154" s="125">
        <f>IFERROR(VLOOKUP($L154,'2-2 引出数据_合同数据仓库'!$B$5:$BP$20,29,FALSE),0)</f>
        <v>0</v>
      </c>
      <c r="S154" s="125">
        <f>IFERROR(VLOOKUP($L154,'2-2 引出数据_合同数据仓库'!$B$5:$BP$20,4,FALSE),0)</f>
        <v>0</v>
      </c>
      <c r="T154" s="125"/>
      <c r="U154" s="125">
        <f>IFERROR(VLOOKUP($L154,'2-2 引出数据_合同数据仓库'!$B$5:$BP$20,15,FALSE),0)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hidden="1"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引出数据_合同数据仓库'!$B$5:$BP$20,3,FALSE),0)</f>
        <v>0</v>
      </c>
      <c r="N155" s="125"/>
      <c r="O155" s="151">
        <f>IFERROR(VLOOKUP((LEFT(VLOOKUP($L155,'2-2 引出数据_合同数据仓库'!$B$5:$BP$20,64,FALSE),15)&amp;(RIGHT(VLOOKUP($L155,'2-2 引出数据_合同数据仓库'!$B$5:$BP$20,64,FALSE),4)+1)),'2-2 引出数据_合同数据仓库'!$B$5:$BP$20,3,FALSE),0)</f>
        <v>0</v>
      </c>
      <c r="P155" s="125"/>
      <c r="Q155" s="125">
        <f>IFERROR(VLOOKUP($L155,'2-2 引出数据_合同数据仓库'!$B$5:$BP$20,28,FALSE),0)</f>
        <v>0</v>
      </c>
      <c r="R155" s="125">
        <f>IFERROR(VLOOKUP($L155,'2-2 引出数据_合同数据仓库'!$B$5:$BP$20,29,FALSE),0)</f>
        <v>0</v>
      </c>
      <c r="S155" s="125">
        <f>IFERROR(VLOOKUP($L155,'2-2 引出数据_合同数据仓库'!$B$5:$BP$20,4,FALSE),0)</f>
        <v>0</v>
      </c>
      <c r="T155" s="125"/>
      <c r="U155" s="125">
        <f>IFERROR(VLOOKUP($L155,'2-2 引出数据_合同数据仓库'!$B$5:$BP$20,15,FALSE),0)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hidden="1"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引出数据_合同数据仓库'!$B$5:$BP$20,3,FALSE),0)</f>
        <v>0</v>
      </c>
      <c r="N156" s="125"/>
      <c r="O156" s="151">
        <f>IFERROR(VLOOKUP((LEFT(VLOOKUP($L156,'2-2 引出数据_合同数据仓库'!$B$5:$BP$20,64,FALSE),15)&amp;(RIGHT(VLOOKUP($L156,'2-2 引出数据_合同数据仓库'!$B$5:$BP$20,64,FALSE),4)+1)),'2-2 引出数据_合同数据仓库'!$B$5:$BP$20,3,FALSE),0)</f>
        <v>0</v>
      </c>
      <c r="P156" s="125"/>
      <c r="Q156" s="125">
        <f>IFERROR(VLOOKUP($L156,'2-2 引出数据_合同数据仓库'!$B$5:$BP$20,28,FALSE),0)</f>
        <v>0</v>
      </c>
      <c r="R156" s="125">
        <f>IFERROR(VLOOKUP($L156,'2-2 引出数据_合同数据仓库'!$B$5:$BP$20,29,FALSE),0)</f>
        <v>0</v>
      </c>
      <c r="S156" s="125">
        <f>IFERROR(VLOOKUP($L156,'2-2 引出数据_合同数据仓库'!$B$5:$BP$20,4,FALSE),0)</f>
        <v>0</v>
      </c>
      <c r="T156" s="125"/>
      <c r="U156" s="125">
        <f>IFERROR(VLOOKUP($L156,'2-2 引出数据_合同数据仓库'!$B$5:$BP$20,15,FALSE),0)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hidden="1" customHeight="1" outlineLevel="4" spans="1:95">
      <c r="A157" s="126" t="s">
        <v>2770</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hidden="1" customHeight="1" outlineLevel="2" collapsed="1" spans="1:95">
      <c r="A158" s="48"/>
      <c r="B158" s="115" t="s">
        <v>742</v>
      </c>
      <c r="C158" s="116" t="s">
        <v>1068</v>
      </c>
      <c r="D158" s="48" t="s">
        <v>1069</v>
      </c>
      <c r="E158" s="115"/>
      <c r="F158" s="115"/>
      <c r="G158" s="115"/>
      <c r="H158" s="117">
        <f>X158+AA158+AD158+AG158+AJ158+AM158+AP158+AS158+AV158+AY158+BB158+BE158</f>
        <v>0</v>
      </c>
      <c r="I158" s="117">
        <f>Y158+AB158+AE158+AH158+AK158+AN158+AQ158+AT158+AW158+AZ158+BC158+BF158</f>
        <v>-0.586301369863014</v>
      </c>
      <c r="J158" s="117">
        <f t="shared" si="1570"/>
        <v>0.586301369863014</v>
      </c>
      <c r="K158" s="117"/>
      <c r="L158" s="148"/>
      <c r="M158" s="148"/>
      <c r="N158" s="117"/>
      <c r="O158" s="117"/>
      <c r="P158" s="117"/>
      <c r="Q158" s="117"/>
      <c r="R158" s="117"/>
      <c r="S158" s="117"/>
      <c r="T158" s="117"/>
      <c r="U158" s="117"/>
      <c r="V158" s="117"/>
      <c r="W158" s="117"/>
      <c r="X158" s="117">
        <f>VLOOKUP($C158,'1 预算编制表单'!$C:$BJ,27,FALSE)</f>
        <v>0</v>
      </c>
      <c r="Y158" s="117">
        <f>X158-Z158</f>
        <v>0</v>
      </c>
      <c r="Z158" s="117">
        <f>Z159+Z165+Z171</f>
        <v>0</v>
      </c>
      <c r="AA158" s="117">
        <f>VLOOKUP($C158,'1 预算编制表单'!$C:$BJ,30,FALSE)</f>
        <v>0</v>
      </c>
      <c r="AB158" s="117">
        <f>AA158-AC158</f>
        <v>0</v>
      </c>
      <c r="AC158" s="117">
        <f>AC159+AC165+AC171</f>
        <v>0</v>
      </c>
      <c r="AD158" s="117">
        <f>VLOOKUP($C158,'1 预算编制表单'!$C:$BJ,33,FALSE)</f>
        <v>0</v>
      </c>
      <c r="AE158" s="117">
        <f>AD158-AF158</f>
        <v>0</v>
      </c>
      <c r="AF158" s="117">
        <f>AF159+AF165+AF171</f>
        <v>0</v>
      </c>
      <c r="AG158" s="117">
        <f>VLOOKUP($C158,'1 预算编制表单'!$C:$BJ,36,FALSE)</f>
        <v>0</v>
      </c>
      <c r="AH158" s="117">
        <f>AG158-AI158</f>
        <v>0</v>
      </c>
      <c r="AI158" s="117">
        <f>AI159+AI165+AI171</f>
        <v>0</v>
      </c>
      <c r="AJ158" s="117">
        <f>VLOOKUP($C158,'1 预算编制表单'!$C:$BJ,39,FALSE)</f>
        <v>0</v>
      </c>
      <c r="AK158" s="117">
        <f>AJ158-AL158</f>
        <v>0</v>
      </c>
      <c r="AL158" s="117">
        <f>AL159+AL165+AL171</f>
        <v>0</v>
      </c>
      <c r="AM158" s="117">
        <f>VLOOKUP($C158,'1 预算编制表单'!$C:$BJ,42,FALSE)</f>
        <v>0</v>
      </c>
      <c r="AN158" s="117">
        <f>AM158-AO158</f>
        <v>-0.0821917808219178</v>
      </c>
      <c r="AO158" s="117">
        <f>AO159+AO165+AO171</f>
        <v>0.0821917808219178</v>
      </c>
      <c r="AP158" s="117">
        <f>VLOOKUP($C158,'1 预算编制表单'!$C:$BJ,45,FALSE)</f>
        <v>0</v>
      </c>
      <c r="AQ158" s="117">
        <f>AP158-AR158</f>
        <v>-0.0849315068493151</v>
      </c>
      <c r="AR158" s="117">
        <f>AR159+AR165+AR171</f>
        <v>0.0849315068493151</v>
      </c>
      <c r="AS158" s="117">
        <f>VLOOKUP($C158,'1 预算编制表单'!$C:$BJ,48,FALSE)</f>
        <v>0</v>
      </c>
      <c r="AT158" s="117">
        <f>AS158-AU158</f>
        <v>-0.0849315068493151</v>
      </c>
      <c r="AU158" s="117">
        <f>AU159+AU165+AU171</f>
        <v>0.0849315068493151</v>
      </c>
      <c r="AV158" s="117">
        <f>VLOOKUP($C158,'1 预算编制表单'!$C:$BJ,51,FALSE)</f>
        <v>0</v>
      </c>
      <c r="AW158" s="117">
        <f>AV158-AX158</f>
        <v>-0.0821917808219178</v>
      </c>
      <c r="AX158" s="117">
        <f>AX159+AX165+AX171</f>
        <v>0.0821917808219178</v>
      </c>
      <c r="AY158" s="117">
        <f>VLOOKUP($C158,'1 预算编制表单'!$C:$BJ,54,FALSE)</f>
        <v>0</v>
      </c>
      <c r="AZ158" s="117">
        <f>AY158-BA158</f>
        <v>-0.0849315068493151</v>
      </c>
      <c r="BA158" s="117">
        <f>BA159+BA165+BA171</f>
        <v>0.0849315068493151</v>
      </c>
      <c r="BB158" s="117">
        <f>VLOOKUP($C158,'1 预算编制表单'!$C:$BJ,57,FALSE)</f>
        <v>0</v>
      </c>
      <c r="BC158" s="117">
        <f>BB158-BD158</f>
        <v>-0.0821917808219178</v>
      </c>
      <c r="BD158" s="117">
        <f>BD159+BD165+BD171</f>
        <v>0.0821917808219178</v>
      </c>
      <c r="BE158" s="117">
        <f>VLOOKUP($C158,'1 预算编制表单'!$C:$BJ,60,FALSE)</f>
        <v>0</v>
      </c>
      <c r="BF158" s="117">
        <f>BE158-BG158</f>
        <v>-0.0849315068493151</v>
      </c>
      <c r="BG158" s="117">
        <f>BG159+BG165+BG171</f>
        <v>0.0849315068493151</v>
      </c>
      <c r="BH158" s="117">
        <f>VLOOKUP($C158,'1 预算编制表单'!$C:$BJ,27,FALSE)</f>
        <v>0</v>
      </c>
      <c r="BI158" s="117">
        <f>BH158-BJ158</f>
        <v>-0.0849315068493151</v>
      </c>
      <c r="BJ158" s="117">
        <f>BJ159+BJ165+BJ171</f>
        <v>0.0849315068493151</v>
      </c>
      <c r="BK158" s="117">
        <f>VLOOKUP($C158,'1 预算编制表单'!$C:$BJ,30,FALSE)</f>
        <v>0</v>
      </c>
      <c r="BL158" s="117">
        <f>BK158-BM158</f>
        <v>-0.0767123287671233</v>
      </c>
      <c r="BM158" s="117">
        <f>BM159+BM165+BM171</f>
        <v>0.0767123287671233</v>
      </c>
      <c r="BN158" s="117">
        <f>VLOOKUP($C158,'1 预算编制表单'!$C:$BJ,33,FALSE)</f>
        <v>0</v>
      </c>
      <c r="BO158" s="117">
        <f>BN158-BP158</f>
        <v>-0.0849315068493151</v>
      </c>
      <c r="BP158" s="117">
        <f>BP159+BP165+BP171</f>
        <v>0.0849315068493151</v>
      </c>
      <c r="BQ158" s="117">
        <f>VLOOKUP($C158,'1 预算编制表单'!$C:$BJ,36,FALSE)</f>
        <v>0</v>
      </c>
      <c r="BR158" s="117">
        <f>BQ158-BS158</f>
        <v>-0.0821917808219178</v>
      </c>
      <c r="BS158" s="117">
        <f>BS159+BS165+BS171</f>
        <v>0.0821917808219178</v>
      </c>
      <c r="BT158" s="117">
        <f>VLOOKUP($C158,'1 预算编制表单'!$C:$BJ,39,FALSE)</f>
        <v>0</v>
      </c>
      <c r="BU158" s="117">
        <f>BT158-BV158</f>
        <v>-0.0849315068493151</v>
      </c>
      <c r="BV158" s="117">
        <f>BV159+BV165+BV171</f>
        <v>0.0849315068493151</v>
      </c>
      <c r="BW158" s="117">
        <f>VLOOKUP($C158,'1 预算编制表单'!$C:$BJ,42,FALSE)</f>
        <v>0</v>
      </c>
      <c r="BX158" s="117">
        <f>BW158-BY158</f>
        <v>0</v>
      </c>
      <c r="BY158" s="117">
        <f>BY159+BY165+BY171</f>
        <v>0</v>
      </c>
      <c r="BZ158" s="117">
        <f>VLOOKUP($C158,'1 预算编制表单'!$C:$BJ,45,FALSE)</f>
        <v>0</v>
      </c>
      <c r="CA158" s="117">
        <f>BZ158-CB158</f>
        <v>0</v>
      </c>
      <c r="CB158" s="117">
        <f>CB159+CB165+CB171</f>
        <v>0</v>
      </c>
      <c r="CC158" s="117">
        <f>VLOOKUP($C158,'1 预算编制表单'!$C:$BJ,48,FALSE)</f>
        <v>0</v>
      </c>
      <c r="CD158" s="117">
        <f>CC158-CE158</f>
        <v>0</v>
      </c>
      <c r="CE158" s="117">
        <f>CE159+CE165+CE171</f>
        <v>0</v>
      </c>
      <c r="CF158" s="117">
        <f>VLOOKUP($C158,'1 预算编制表单'!$C:$BJ,51,FALSE)</f>
        <v>0</v>
      </c>
      <c r="CG158" s="117">
        <f>CF158-CH158</f>
        <v>0</v>
      </c>
      <c r="CH158" s="117">
        <f>CH159+CH165+CH171</f>
        <v>0</v>
      </c>
      <c r="CI158" s="117">
        <f>VLOOKUP($C158,'1 预算编制表单'!$C:$BJ,54,FALSE)</f>
        <v>0</v>
      </c>
      <c r="CJ158" s="117">
        <f>CI158-CK158</f>
        <v>0</v>
      </c>
      <c r="CK158" s="117">
        <f>CK159+CK165+CK171</f>
        <v>0</v>
      </c>
      <c r="CL158" s="117">
        <f>VLOOKUP($C158,'1 预算编制表单'!$C:$BJ,57,FALSE)</f>
        <v>0</v>
      </c>
      <c r="CM158" s="117">
        <f>CL158-CN158</f>
        <v>0</v>
      </c>
      <c r="CN158" s="117">
        <f>CN159+CN165+CN171</f>
        <v>0</v>
      </c>
      <c r="CO158" s="117">
        <f>VLOOKUP($C158,'1 预算编制表单'!$C:$BJ,60,FALSE)</f>
        <v>0</v>
      </c>
      <c r="CP158" s="117">
        <f>CO158-CQ158</f>
        <v>0</v>
      </c>
      <c r="CQ158" s="117">
        <f>CQ159+CQ165+CQ171</f>
        <v>0</v>
      </c>
    </row>
    <row r="159" ht="24" hidden="1" customHeight="1" outlineLevel="3" collapsed="1" spans="1:95">
      <c r="A159" s="118"/>
      <c r="B159" s="119" t="s">
        <v>747</v>
      </c>
      <c r="C159" s="120" t="s">
        <v>130</v>
      </c>
      <c r="D159" s="118" t="s">
        <v>109</v>
      </c>
      <c r="E159" s="119"/>
      <c r="F159" s="119"/>
      <c r="G159" s="119"/>
      <c r="H159" s="121">
        <f>X159+AA159+AD159+AG159+AJ159+AM159+AP159+AS159+AV159+AY159+BB159+BE159</f>
        <v>0</v>
      </c>
      <c r="I159" s="121">
        <f>Y159+AB159+AE159+AH159+AK159+AN159+AQ159+AT159+AW159+AZ159+BC159+BF159</f>
        <v>0</v>
      </c>
      <c r="J159" s="121">
        <f t="shared" si="1570"/>
        <v>0</v>
      </c>
      <c r="K159" s="121"/>
      <c r="L159" s="149"/>
      <c r="M159" s="149"/>
      <c r="N159" s="121"/>
      <c r="O159" s="121"/>
      <c r="P159" s="121"/>
      <c r="Q159" s="121"/>
      <c r="R159" s="121"/>
      <c r="S159" s="121"/>
      <c r="T159" s="121"/>
      <c r="U159" s="121"/>
      <c r="V159" s="121"/>
      <c r="W159" s="121"/>
      <c r="X159" s="121">
        <f>VLOOKUP($C159,'1 预算编制表单'!$C:$BJ,27,FALSE)</f>
        <v>0</v>
      </c>
      <c r="Y159" s="121">
        <f>X159-Z159</f>
        <v>0</v>
      </c>
      <c r="Z159" s="121">
        <f>SUM(Z160:Z164)</f>
        <v>0</v>
      </c>
      <c r="AA159" s="121">
        <f>VLOOKUP($C159,'1 预算编制表单'!$C:$BJ,30,FALSE)</f>
        <v>0</v>
      </c>
      <c r="AB159" s="121">
        <f>AA159-AC159</f>
        <v>0</v>
      </c>
      <c r="AC159" s="121">
        <f>SUM(AC160:AC164)</f>
        <v>0</v>
      </c>
      <c r="AD159" s="121">
        <f>VLOOKUP($C159,'1 预算编制表单'!$C:$BJ,33,FALSE)</f>
        <v>0</v>
      </c>
      <c r="AE159" s="121">
        <f>AD159-AF159</f>
        <v>0</v>
      </c>
      <c r="AF159" s="121">
        <f>SUM(AF160:AF164)</f>
        <v>0</v>
      </c>
      <c r="AG159" s="121">
        <f>VLOOKUP($C159,'1 预算编制表单'!$C:$BJ,36,FALSE)</f>
        <v>0</v>
      </c>
      <c r="AH159" s="121">
        <f>AG159-AI159</f>
        <v>0</v>
      </c>
      <c r="AI159" s="121">
        <f>SUM(AI160:AI164)</f>
        <v>0</v>
      </c>
      <c r="AJ159" s="121">
        <f>VLOOKUP($C159,'1 预算编制表单'!$C:$BJ,39,FALSE)</f>
        <v>0</v>
      </c>
      <c r="AK159" s="121">
        <f>AJ159-AL159</f>
        <v>0</v>
      </c>
      <c r="AL159" s="121">
        <f>SUM(AL160:AL164)</f>
        <v>0</v>
      </c>
      <c r="AM159" s="121">
        <f>VLOOKUP($C159,'1 预算编制表单'!$C:$BJ,42,FALSE)</f>
        <v>0</v>
      </c>
      <c r="AN159" s="121">
        <f>AM159-AO159</f>
        <v>0</v>
      </c>
      <c r="AO159" s="121">
        <f>SUM(AO160:AO164)</f>
        <v>0</v>
      </c>
      <c r="AP159" s="121">
        <f>VLOOKUP($C159,'1 预算编制表单'!$C:$BJ,45,FALSE)</f>
        <v>0</v>
      </c>
      <c r="AQ159" s="121">
        <f>AP159-AR159</f>
        <v>0</v>
      </c>
      <c r="AR159" s="121">
        <f>SUM(AR160:AR164)</f>
        <v>0</v>
      </c>
      <c r="AS159" s="121">
        <f>VLOOKUP($C159,'1 预算编制表单'!$C:$BJ,48,FALSE)</f>
        <v>0</v>
      </c>
      <c r="AT159" s="121">
        <f>AS159-AU159</f>
        <v>0</v>
      </c>
      <c r="AU159" s="121">
        <f>SUM(AU160:AU164)</f>
        <v>0</v>
      </c>
      <c r="AV159" s="121">
        <f>VLOOKUP($C159,'1 预算编制表单'!$C:$BJ,51,FALSE)</f>
        <v>0</v>
      </c>
      <c r="AW159" s="121">
        <f>AV159-AX159</f>
        <v>0</v>
      </c>
      <c r="AX159" s="121">
        <f>SUM(AX160:AX164)</f>
        <v>0</v>
      </c>
      <c r="AY159" s="121">
        <f>VLOOKUP($C159,'1 预算编制表单'!$C:$BJ,54,FALSE)</f>
        <v>0</v>
      </c>
      <c r="AZ159" s="121">
        <f>AY159-BA159</f>
        <v>0</v>
      </c>
      <c r="BA159" s="121">
        <f>SUM(BA160:BA164)</f>
        <v>0</v>
      </c>
      <c r="BB159" s="121">
        <f>VLOOKUP($C159,'1 预算编制表单'!$C:$BJ,57,FALSE)</f>
        <v>0</v>
      </c>
      <c r="BC159" s="121">
        <f>BB159-BD159</f>
        <v>0</v>
      </c>
      <c r="BD159" s="121">
        <f>SUM(BD160:BD164)</f>
        <v>0</v>
      </c>
      <c r="BE159" s="121">
        <f>VLOOKUP($C159,'1 预算编制表单'!$C:$BJ,60,FALSE)</f>
        <v>0</v>
      </c>
      <c r="BF159" s="121">
        <f>BE159-BG159</f>
        <v>0</v>
      </c>
      <c r="BG159" s="121">
        <f>SUM(BG160:BG164)</f>
        <v>0</v>
      </c>
      <c r="BH159" s="121">
        <f>VLOOKUP($C159,'1 预算编制表单'!$C:$BJ,27,FALSE)</f>
        <v>0</v>
      </c>
      <c r="BI159" s="121">
        <f>BH159-BJ159</f>
        <v>0</v>
      </c>
      <c r="BJ159" s="121">
        <f>SUM(BJ160:BJ164)</f>
        <v>0</v>
      </c>
      <c r="BK159" s="121">
        <f>VLOOKUP($C159,'1 预算编制表单'!$C:$BJ,30,FALSE)</f>
        <v>0</v>
      </c>
      <c r="BL159" s="121">
        <f>BK159-BM159</f>
        <v>0</v>
      </c>
      <c r="BM159" s="121">
        <f>SUM(BM160:BM164)</f>
        <v>0</v>
      </c>
      <c r="BN159" s="121">
        <f>VLOOKUP($C159,'1 预算编制表单'!$C:$BJ,33,FALSE)</f>
        <v>0</v>
      </c>
      <c r="BO159" s="121">
        <f>BN159-BP159</f>
        <v>0</v>
      </c>
      <c r="BP159" s="121">
        <f>SUM(BP160:BP164)</f>
        <v>0</v>
      </c>
      <c r="BQ159" s="121">
        <f>VLOOKUP($C159,'1 预算编制表单'!$C:$BJ,36,FALSE)</f>
        <v>0</v>
      </c>
      <c r="BR159" s="121">
        <f>BQ159-BS159</f>
        <v>0</v>
      </c>
      <c r="BS159" s="121">
        <f>SUM(BS160:BS164)</f>
        <v>0</v>
      </c>
      <c r="BT159" s="121">
        <f>VLOOKUP($C159,'1 预算编制表单'!$C:$BJ,39,FALSE)</f>
        <v>0</v>
      </c>
      <c r="BU159" s="121">
        <f>BT159-BV159</f>
        <v>0</v>
      </c>
      <c r="BV159" s="121">
        <f>SUM(BV160:BV164)</f>
        <v>0</v>
      </c>
      <c r="BW159" s="121">
        <f>VLOOKUP($C159,'1 预算编制表单'!$C:$BJ,42,FALSE)</f>
        <v>0</v>
      </c>
      <c r="BX159" s="121">
        <f>BW159-BY159</f>
        <v>0</v>
      </c>
      <c r="BY159" s="121">
        <f>SUM(BY160:BY164)</f>
        <v>0</v>
      </c>
      <c r="BZ159" s="121">
        <f>VLOOKUP($C159,'1 预算编制表单'!$C:$BJ,45,FALSE)</f>
        <v>0</v>
      </c>
      <c r="CA159" s="121">
        <f>BZ159-CB159</f>
        <v>0</v>
      </c>
      <c r="CB159" s="121">
        <f>SUM(CB160:CB164)</f>
        <v>0</v>
      </c>
      <c r="CC159" s="121">
        <f>VLOOKUP($C159,'1 预算编制表单'!$C:$BJ,48,FALSE)</f>
        <v>0</v>
      </c>
      <c r="CD159" s="121">
        <f>CC159-CE159</f>
        <v>0</v>
      </c>
      <c r="CE159" s="121">
        <f>SUM(CE160:CE164)</f>
        <v>0</v>
      </c>
      <c r="CF159" s="121">
        <f>VLOOKUP($C159,'1 预算编制表单'!$C:$BJ,51,FALSE)</f>
        <v>0</v>
      </c>
      <c r="CG159" s="121">
        <f>CF159-CH159</f>
        <v>0</v>
      </c>
      <c r="CH159" s="121">
        <f>SUM(CH160:CH164)</f>
        <v>0</v>
      </c>
      <c r="CI159" s="121">
        <f>VLOOKUP($C159,'1 预算编制表单'!$C:$BJ,54,FALSE)</f>
        <v>0</v>
      </c>
      <c r="CJ159" s="121">
        <f>CI159-CK159</f>
        <v>0</v>
      </c>
      <c r="CK159" s="121">
        <f>SUM(CK160:CK164)</f>
        <v>0</v>
      </c>
      <c r="CL159" s="121">
        <f>VLOOKUP($C159,'1 预算编制表单'!$C:$BJ,57,FALSE)</f>
        <v>0</v>
      </c>
      <c r="CM159" s="121">
        <f>CL159-CN159</f>
        <v>0</v>
      </c>
      <c r="CN159" s="121">
        <f>SUM(CN160:CN164)</f>
        <v>0</v>
      </c>
      <c r="CO159" s="121">
        <f>VLOOKUP($C159,'1 预算编制表单'!$C:$BJ,60,FALSE)</f>
        <v>0</v>
      </c>
      <c r="CP159" s="121">
        <f>CO159-CQ159</f>
        <v>0</v>
      </c>
      <c r="CQ159" s="121">
        <f>SUM(CQ160:CQ164)</f>
        <v>0</v>
      </c>
    </row>
    <row r="160" s="83" customFormat="1" ht="24" hidden="1"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引出数据_合同数据仓库'!$B$5:$BP$20,3,FALSE),0)</f>
        <v>0</v>
      </c>
      <c r="N160" s="125"/>
      <c r="O160" s="151">
        <f>IFERROR(VLOOKUP((LEFT(VLOOKUP($L160,'2-2 引出数据_合同数据仓库'!$B$5:$BP$20,64,FALSE),15)&amp;(RIGHT(VLOOKUP($L160,'2-2 引出数据_合同数据仓库'!$B$5:$BP$20,64,FALSE),4)+1)),'2-2 引出数据_合同数据仓库'!$B$5:$BP$20,3,FALSE),0)</f>
        <v>0</v>
      </c>
      <c r="P160" s="125"/>
      <c r="Q160" s="125">
        <f>IFERROR(VLOOKUP($L160,'2-2 引出数据_合同数据仓库'!$B$5:$BP$20,28,FALSE),0)</f>
        <v>0</v>
      </c>
      <c r="R160" s="125">
        <f>IFERROR(VLOOKUP($L160,'2-2 引出数据_合同数据仓库'!$B$5:$BP$20,29,FALSE),0)</f>
        <v>0</v>
      </c>
      <c r="S160" s="125">
        <f>IFERROR(VLOOKUP($L160,'2-2 引出数据_合同数据仓库'!$B$5:$BP$20,4,FALSE),0)</f>
        <v>0</v>
      </c>
      <c r="T160" s="125"/>
      <c r="U160" s="125">
        <f>IFERROR(VLOOKUP($L160,'2-2 引出数据_合同数据仓库'!$B$5:$BP$20,15,FALSE),0)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hidden="1"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引出数据_合同数据仓库'!$B$5:$BP$20,3,FALSE),0)</f>
        <v>0</v>
      </c>
      <c r="N161" s="125"/>
      <c r="O161" s="151">
        <f>IFERROR(VLOOKUP((LEFT(VLOOKUP($L161,'2-2 引出数据_合同数据仓库'!$B$5:$BP$20,64,FALSE),15)&amp;(RIGHT(VLOOKUP($L161,'2-2 引出数据_合同数据仓库'!$B$5:$BP$20,64,FALSE),4)+1)),'2-2 引出数据_合同数据仓库'!$B$5:$BP$20,3,FALSE),0)</f>
        <v>0</v>
      </c>
      <c r="P161" s="125"/>
      <c r="Q161" s="125">
        <f>IFERROR(VLOOKUP($L161,'2-2 引出数据_合同数据仓库'!$B$5:$BP$20,28,FALSE),0)</f>
        <v>0</v>
      </c>
      <c r="R161" s="125">
        <f>IFERROR(VLOOKUP($L161,'2-2 引出数据_合同数据仓库'!$B$5:$BP$20,29,FALSE),0)</f>
        <v>0</v>
      </c>
      <c r="S161" s="125">
        <f>IFERROR(VLOOKUP($L161,'2-2 引出数据_合同数据仓库'!$B$5:$BP$20,4,FALSE),0)</f>
        <v>0</v>
      </c>
      <c r="T161" s="125"/>
      <c r="U161" s="125">
        <f>IFERROR(VLOOKUP($L161,'2-2 引出数据_合同数据仓库'!$B$5:$BP$20,15,FALSE),0)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hidden="1"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引出数据_合同数据仓库'!$B$5:$BP$20,3,FALSE),0)</f>
        <v>0</v>
      </c>
      <c r="N162" s="125"/>
      <c r="O162" s="151">
        <f>IFERROR(VLOOKUP((LEFT(VLOOKUP($L162,'2-2 引出数据_合同数据仓库'!$B$5:$BP$20,64,FALSE),15)&amp;(RIGHT(VLOOKUP($L162,'2-2 引出数据_合同数据仓库'!$B$5:$BP$20,64,FALSE),4)+1)),'2-2 引出数据_合同数据仓库'!$B$5:$BP$20,3,FALSE),0)</f>
        <v>0</v>
      </c>
      <c r="P162" s="125"/>
      <c r="Q162" s="125">
        <f>IFERROR(VLOOKUP($L162,'2-2 引出数据_合同数据仓库'!$B$5:$BP$20,28,FALSE),0)</f>
        <v>0</v>
      </c>
      <c r="R162" s="125">
        <f>IFERROR(VLOOKUP($L162,'2-2 引出数据_合同数据仓库'!$B$5:$BP$20,29,FALSE),0)</f>
        <v>0</v>
      </c>
      <c r="S162" s="125">
        <f>IFERROR(VLOOKUP($L162,'2-2 引出数据_合同数据仓库'!$B$5:$BP$20,4,FALSE),0)</f>
        <v>0</v>
      </c>
      <c r="T162" s="125"/>
      <c r="U162" s="125">
        <f>IFERROR(VLOOKUP($L162,'2-2 引出数据_合同数据仓库'!$B$5:$BP$20,15,FALSE),0)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hidden="1"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引出数据_合同数据仓库'!$B$5:$BP$20,3,FALSE),0)</f>
        <v>0</v>
      </c>
      <c r="N163" s="125"/>
      <c r="O163" s="151">
        <f>IFERROR(VLOOKUP((LEFT(VLOOKUP($L163,'2-2 引出数据_合同数据仓库'!$B$5:$BP$20,64,FALSE),15)&amp;(RIGHT(VLOOKUP($L163,'2-2 引出数据_合同数据仓库'!$B$5:$BP$20,64,FALSE),4)+1)),'2-2 引出数据_合同数据仓库'!$B$5:$BP$20,3,FALSE),0)</f>
        <v>0</v>
      </c>
      <c r="P163" s="125"/>
      <c r="Q163" s="125">
        <f>IFERROR(VLOOKUP($L163,'2-2 引出数据_合同数据仓库'!$B$5:$BP$20,28,FALSE),0)</f>
        <v>0</v>
      </c>
      <c r="R163" s="125">
        <f>IFERROR(VLOOKUP($L163,'2-2 引出数据_合同数据仓库'!$B$5:$BP$20,29,FALSE),0)</f>
        <v>0</v>
      </c>
      <c r="S163" s="125">
        <f>IFERROR(VLOOKUP($L163,'2-2 引出数据_合同数据仓库'!$B$5:$BP$20,4,FALSE),0)</f>
        <v>0</v>
      </c>
      <c r="T163" s="125"/>
      <c r="U163" s="125">
        <f>IFERROR(VLOOKUP($L163,'2-2 引出数据_合同数据仓库'!$B$5:$BP$20,15,FALSE),0)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hidden="1" customHeight="1" outlineLevel="4" spans="1:95">
      <c r="A164" s="126" t="s">
        <v>2770</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hidden="1" customHeight="1" outlineLevel="3" collapsed="1" spans="1:95">
      <c r="A165" s="118"/>
      <c r="B165" s="119" t="s">
        <v>747</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hidden="1" customHeight="1" outlineLevel="4" spans="1:95">
      <c r="A166" s="122"/>
      <c r="B166" s="123"/>
      <c r="C166" s="124" t="s">
        <v>1081</v>
      </c>
      <c r="D166" s="122" t="s">
        <v>2774</v>
      </c>
      <c r="E166" s="123"/>
      <c r="F166" s="123"/>
      <c r="G166" s="123"/>
      <c r="H166" s="125"/>
      <c r="I166" s="125"/>
      <c r="J166" s="125">
        <f t="shared" si="1570"/>
        <v>0</v>
      </c>
      <c r="K166" s="125"/>
      <c r="L166" s="155"/>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hidden="1"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引出数据_合同数据仓库'!$B$5:$BP$20,3,FALSE),0)</f>
        <v>0</v>
      </c>
      <c r="N167" s="125"/>
      <c r="O167" s="151">
        <f>IFERROR(VLOOKUP((LEFT(VLOOKUP($L167,'2-2 引出数据_合同数据仓库'!$B$5:$BP$20,64,FALSE),15)&amp;(RIGHT(VLOOKUP($L167,'2-2 引出数据_合同数据仓库'!$B$5:$BP$20,64,FALSE),4)+1)),'2-2 引出数据_合同数据仓库'!$B$5:$BP$20,3,FALSE),0)</f>
        <v>0</v>
      </c>
      <c r="P167" s="125"/>
      <c r="Q167" s="125">
        <f>IFERROR(VLOOKUP($L167,'2-2 引出数据_合同数据仓库'!$B$5:$BP$20,28,FALSE),0)</f>
        <v>0</v>
      </c>
      <c r="R167" s="125">
        <f>IFERROR(VLOOKUP($L167,'2-2 引出数据_合同数据仓库'!$B$5:$BP$20,29,FALSE),0)</f>
        <v>0</v>
      </c>
      <c r="S167" s="125">
        <f>IFERROR(VLOOKUP($L167,'2-2 引出数据_合同数据仓库'!$B$5:$BP$20,4,FALSE),0)</f>
        <v>0</v>
      </c>
      <c r="T167" s="125"/>
      <c r="U167" s="125">
        <f>IFERROR(VLOOKUP($L167,'2-2 引出数据_合同数据仓库'!$B$5:$BP$20,15,FALSE),0)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hidden="1"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引出数据_合同数据仓库'!$B$5:$BP$20,3,FALSE),0)</f>
        <v>0</v>
      </c>
      <c r="N168" s="125"/>
      <c r="O168" s="151">
        <f>IFERROR(VLOOKUP((LEFT(VLOOKUP($L168,'2-2 引出数据_合同数据仓库'!$B$5:$BP$20,64,FALSE),15)&amp;(RIGHT(VLOOKUP($L168,'2-2 引出数据_合同数据仓库'!$B$5:$BP$20,64,FALSE),4)+1)),'2-2 引出数据_合同数据仓库'!$B$5:$BP$20,3,FALSE),0)</f>
        <v>0</v>
      </c>
      <c r="P168" s="125"/>
      <c r="Q168" s="125">
        <f>IFERROR(VLOOKUP($L168,'2-2 引出数据_合同数据仓库'!$B$5:$BP$20,28,FALSE),0)</f>
        <v>0</v>
      </c>
      <c r="R168" s="125">
        <f>IFERROR(VLOOKUP($L168,'2-2 引出数据_合同数据仓库'!$B$5:$BP$20,29,FALSE),0)</f>
        <v>0</v>
      </c>
      <c r="S168" s="125">
        <f>IFERROR(VLOOKUP($L168,'2-2 引出数据_合同数据仓库'!$B$5:$BP$20,4,FALSE),0)</f>
        <v>0</v>
      </c>
      <c r="T168" s="125"/>
      <c r="U168" s="125">
        <f>IFERROR(VLOOKUP($L168,'2-2 引出数据_合同数据仓库'!$B$5:$BP$20,15,FALSE),0)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hidden="1"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引出数据_合同数据仓库'!$B$5:$BP$20,3,FALSE),0)</f>
        <v>0</v>
      </c>
      <c r="N169" s="125"/>
      <c r="O169" s="151">
        <f>IFERROR(VLOOKUP((LEFT(VLOOKUP($L169,'2-2 引出数据_合同数据仓库'!$B$5:$BP$20,64,FALSE),15)&amp;(RIGHT(VLOOKUP($L169,'2-2 引出数据_合同数据仓库'!$B$5:$BP$20,64,FALSE),4)+1)),'2-2 引出数据_合同数据仓库'!$B$5:$BP$20,3,FALSE),0)</f>
        <v>0</v>
      </c>
      <c r="P169" s="125"/>
      <c r="Q169" s="125">
        <f>IFERROR(VLOOKUP($L169,'2-2 引出数据_合同数据仓库'!$B$5:$BP$20,28,FALSE),0)</f>
        <v>0</v>
      </c>
      <c r="R169" s="125">
        <f>IFERROR(VLOOKUP($L169,'2-2 引出数据_合同数据仓库'!$B$5:$BP$20,29,FALSE),0)</f>
        <v>0</v>
      </c>
      <c r="S169" s="125">
        <f>IFERROR(VLOOKUP($L169,'2-2 引出数据_合同数据仓库'!$B$5:$BP$20,4,FALSE),0)</f>
        <v>0</v>
      </c>
      <c r="T169" s="125"/>
      <c r="U169" s="125">
        <f>IFERROR(VLOOKUP($L169,'2-2 引出数据_合同数据仓库'!$B$5:$BP$20,15,FALSE),0)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hidden="1" customHeight="1" outlineLevel="4" spans="1:95">
      <c r="A170" s="126" t="s">
        <v>2770</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hidden="1" customHeight="1" outlineLevel="3" collapsed="1" spans="1:95">
      <c r="A171" s="118"/>
      <c r="B171" s="119" t="s">
        <v>747</v>
      </c>
      <c r="C171" s="120" t="s">
        <v>1087</v>
      </c>
      <c r="D171" s="118" t="s">
        <v>19</v>
      </c>
      <c r="E171" s="119"/>
      <c r="F171" s="119"/>
      <c r="G171" s="119"/>
      <c r="H171" s="121">
        <f>X171+AA171+AD171+AG171+AJ171+AM171+AP171+AS171+AV171+AY171+BB171+BE171</f>
        <v>0</v>
      </c>
      <c r="I171" s="121">
        <f>Y171+AB171+AE171+AH171+AK171+AN171+AQ171+AT171+AW171+AZ171+BC171+BF171</f>
        <v>-0.586301369863014</v>
      </c>
      <c r="J171" s="121">
        <f t="shared" si="1570"/>
        <v>0.586301369863014</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-0.0821917808219178</v>
      </c>
      <c r="AO171" s="121">
        <f>SUM(AO172:AO176)</f>
        <v>0.0821917808219178</v>
      </c>
      <c r="AP171" s="121">
        <f>VLOOKUP($C171,'1 预算编制表单'!$C:$BJ,45,FALSE)</f>
        <v>0</v>
      </c>
      <c r="AQ171" s="121">
        <f>AP171-AR171</f>
        <v>-0.0849315068493151</v>
      </c>
      <c r="AR171" s="121">
        <f>SUM(AR172:AR176)</f>
        <v>0.0849315068493151</v>
      </c>
      <c r="AS171" s="121">
        <f>VLOOKUP($C171,'1 预算编制表单'!$C:$BJ,48,FALSE)</f>
        <v>0</v>
      </c>
      <c r="AT171" s="121">
        <f>AS171-AU171</f>
        <v>-0.0849315068493151</v>
      </c>
      <c r="AU171" s="121">
        <f>SUM(AU172:AU176)</f>
        <v>0.0849315068493151</v>
      </c>
      <c r="AV171" s="121">
        <f>VLOOKUP($C171,'1 预算编制表单'!$C:$BJ,51,FALSE)</f>
        <v>0</v>
      </c>
      <c r="AW171" s="121">
        <f>AV171-AX171</f>
        <v>-0.0821917808219178</v>
      </c>
      <c r="AX171" s="121">
        <f>SUM(AX172:AX176)</f>
        <v>0.0821917808219178</v>
      </c>
      <c r="AY171" s="121">
        <f>VLOOKUP($C171,'1 预算编制表单'!$C:$BJ,54,FALSE)</f>
        <v>0</v>
      </c>
      <c r="AZ171" s="121">
        <f>AY171-BA171</f>
        <v>-0.0849315068493151</v>
      </c>
      <c r="BA171" s="121">
        <f>SUM(BA172:BA176)</f>
        <v>0.0849315068493151</v>
      </c>
      <c r="BB171" s="121">
        <f>VLOOKUP($C171,'1 预算编制表单'!$C:$BJ,57,FALSE)</f>
        <v>0</v>
      </c>
      <c r="BC171" s="121">
        <f>BB171-BD171</f>
        <v>-0.0821917808219178</v>
      </c>
      <c r="BD171" s="121">
        <f>SUM(BD172:BD176)</f>
        <v>0.0821917808219178</v>
      </c>
      <c r="BE171" s="121">
        <f>VLOOKUP($C171,'1 预算编制表单'!$C:$BJ,60,FALSE)</f>
        <v>0</v>
      </c>
      <c r="BF171" s="121">
        <f>BE171-BG171</f>
        <v>-0.0849315068493151</v>
      </c>
      <c r="BG171" s="121">
        <f>SUM(BG172:BG176)</f>
        <v>0.0849315068493151</v>
      </c>
      <c r="BH171" s="121">
        <f>VLOOKUP($C171,'1 预算编制表单'!$C:$BJ,27,FALSE)</f>
        <v>0</v>
      </c>
      <c r="BI171" s="121">
        <f>BH171-BJ171</f>
        <v>-0.0849315068493151</v>
      </c>
      <c r="BJ171" s="121">
        <f>SUM(BJ172:BJ176)</f>
        <v>0.0849315068493151</v>
      </c>
      <c r="BK171" s="121">
        <f>VLOOKUP($C171,'1 预算编制表单'!$C:$BJ,30,FALSE)</f>
        <v>0</v>
      </c>
      <c r="BL171" s="121">
        <f>BK171-BM171</f>
        <v>-0.0767123287671233</v>
      </c>
      <c r="BM171" s="121">
        <f>SUM(BM172:BM176)</f>
        <v>0.0767123287671233</v>
      </c>
      <c r="BN171" s="121">
        <f>VLOOKUP($C171,'1 预算编制表单'!$C:$BJ,33,FALSE)</f>
        <v>0</v>
      </c>
      <c r="BO171" s="121">
        <f>BN171-BP171</f>
        <v>-0.0849315068493151</v>
      </c>
      <c r="BP171" s="121">
        <f>SUM(BP172:BP176)</f>
        <v>0.0849315068493151</v>
      </c>
      <c r="BQ171" s="121">
        <f>VLOOKUP($C171,'1 预算编制表单'!$C:$BJ,36,FALSE)</f>
        <v>0</v>
      </c>
      <c r="BR171" s="121">
        <f>BQ171-BS171</f>
        <v>-0.0821917808219178</v>
      </c>
      <c r="BS171" s="121">
        <f>SUM(BS172:BS176)</f>
        <v>0.0821917808219178</v>
      </c>
      <c r="BT171" s="121">
        <f>VLOOKUP($C171,'1 预算编制表单'!$C:$BJ,39,FALSE)</f>
        <v>0</v>
      </c>
      <c r="BU171" s="121">
        <f>BT171-BV171</f>
        <v>-0.0849315068493151</v>
      </c>
      <c r="BV171" s="121">
        <f>SUM(BV172:BV176)</f>
        <v>0.0849315068493151</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hidden="1" customHeight="1" outlineLevel="4" spans="1:95">
      <c r="A172" s="122"/>
      <c r="B172" s="123"/>
      <c r="C172" s="124"/>
      <c r="D172" s="122"/>
      <c r="E172" s="123"/>
      <c r="F172" s="123"/>
      <c r="G172" s="123"/>
      <c r="H172" s="125"/>
      <c r="I172" s="125"/>
      <c r="J172" s="125">
        <f t="shared" si="1570"/>
        <v>0.586301369863014</v>
      </c>
      <c r="K172" s="125">
        <v>1</v>
      </c>
      <c r="L172" s="150" t="s">
        <v>2775</v>
      </c>
      <c r="M172" s="151" t="str">
        <f>IFERROR(VLOOKUP($L172,'2-2 引出数据_合同数据仓库'!$B$5:$BP$20,3,FALSE),0)</f>
        <v>人力资源保洁外包服务合同补充协议</v>
      </c>
      <c r="N172" s="125"/>
      <c r="O172" s="151">
        <f>IFERROR(VLOOKUP((LEFT(VLOOKUP($L172,'2-2 引出数据_合同数据仓库'!$B$5:$BP$20,64,FALSE),15)&amp;(RIGHT(VLOOKUP($L172,'2-2 引出数据_合同数据仓库'!$B$5:$BP$20,64,FALSE),4)+1)),'2-2 引出数据_合同数据仓库'!$B$5:$BP$20,3,FALSE),0)</f>
        <v>0</v>
      </c>
      <c r="P172" s="125"/>
      <c r="Q172" s="125" t="str">
        <f>IFERROR(VLOOKUP($L172,'2-2 引出数据_合同数据仓库'!$B$5:$BP$20,28,FALSE),0)</f>
        <v>2025-06-01</v>
      </c>
      <c r="R172" s="125" t="str">
        <f>IFERROR(VLOOKUP($L172,'2-2 引出数据_合同数据仓库'!$B$5:$BP$20,29,FALSE),0)</f>
        <v>2025-06-01</v>
      </c>
      <c r="S172" s="125" t="str">
        <f>IFERROR(VLOOKUP($L172,'2-2 引出数据_合同数据仓库'!$B$5:$BP$20,4,FALSE),0)</f>
        <v>2026-05-31</v>
      </c>
      <c r="T172" s="125"/>
      <c r="U172" s="125">
        <f>IFERROR(VLOOKUP($L172,'2-2 引出数据_合同数据仓库'!$B$5:$BP$20,15,FALSE),0)</f>
        <v>1</v>
      </c>
      <c r="V172" s="125">
        <f t="shared" ref="V172:V175" si="2038">U172/(S172-R172+1)*365</f>
        <v>1</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0.0821917808219178</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0.0849315068493151</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0.0849315068493151</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0.0821917808219178</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0.0849315068493151</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0.0821917808219178</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0.0849315068493151</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0.0849315068493151</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0.0767123287671233</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0.0849315068493151</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0.0821917808219178</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0.0849315068493151</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hidden="1"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引出数据_合同数据仓库'!$B$5:$BP$20,3,FALSE),0)</f>
        <v>0</v>
      </c>
      <c r="N173" s="125"/>
      <c r="O173" s="151">
        <f>IFERROR(VLOOKUP((LEFT(VLOOKUP($L173,'2-2 引出数据_合同数据仓库'!$B$5:$BP$20,64,FALSE),15)&amp;(RIGHT(VLOOKUP($L173,'2-2 引出数据_合同数据仓库'!$B$5:$BP$20,64,FALSE),4)+1)),'2-2 引出数据_合同数据仓库'!$B$5:$BP$20,3,FALSE),0)</f>
        <v>0</v>
      </c>
      <c r="P173" s="125"/>
      <c r="Q173" s="125">
        <f>IFERROR(VLOOKUP($L173,'2-2 引出数据_合同数据仓库'!$B$5:$BP$20,28,FALSE),0)</f>
        <v>0</v>
      </c>
      <c r="R173" s="125">
        <f>IFERROR(VLOOKUP($L173,'2-2 引出数据_合同数据仓库'!$B$5:$BP$20,29,FALSE),0)</f>
        <v>0</v>
      </c>
      <c r="S173" s="125">
        <f>IFERROR(VLOOKUP($L173,'2-2 引出数据_合同数据仓库'!$B$5:$BP$20,4,FALSE),0)</f>
        <v>0</v>
      </c>
      <c r="T173" s="125"/>
      <c r="U173" s="125">
        <f>IFERROR(VLOOKUP($L173,'2-2 引出数据_合同数据仓库'!$B$5:$BP$20,15,FALSE),0)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hidden="1"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引出数据_合同数据仓库'!$B$5:$BP$20,3,FALSE),0)</f>
        <v>0</v>
      </c>
      <c r="N174" s="125"/>
      <c r="O174" s="151">
        <f>IFERROR(VLOOKUP((LEFT(VLOOKUP($L174,'2-2 引出数据_合同数据仓库'!$B$5:$BP$20,64,FALSE),15)&amp;(RIGHT(VLOOKUP($L174,'2-2 引出数据_合同数据仓库'!$B$5:$BP$20,64,FALSE),4)+1)),'2-2 引出数据_合同数据仓库'!$B$5:$BP$20,3,FALSE),0)</f>
        <v>0</v>
      </c>
      <c r="P174" s="125"/>
      <c r="Q174" s="125">
        <f>IFERROR(VLOOKUP($L174,'2-2 引出数据_合同数据仓库'!$B$5:$BP$20,28,FALSE),0)</f>
        <v>0</v>
      </c>
      <c r="R174" s="125">
        <f>IFERROR(VLOOKUP($L174,'2-2 引出数据_合同数据仓库'!$B$5:$BP$20,29,FALSE),0)</f>
        <v>0</v>
      </c>
      <c r="S174" s="125">
        <f>IFERROR(VLOOKUP($L174,'2-2 引出数据_合同数据仓库'!$B$5:$BP$20,4,FALSE),0)</f>
        <v>0</v>
      </c>
      <c r="T174" s="125"/>
      <c r="U174" s="125">
        <f>IFERROR(VLOOKUP($L174,'2-2 引出数据_合同数据仓库'!$B$5:$BP$20,15,FALSE),0)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hidden="1"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引出数据_合同数据仓库'!$B$5:$BP$20,3,FALSE),0)</f>
        <v>0</v>
      </c>
      <c r="N175" s="125"/>
      <c r="O175" s="151">
        <f>IFERROR(VLOOKUP((LEFT(VLOOKUP($L175,'2-2 引出数据_合同数据仓库'!$B$5:$BP$20,64,FALSE),15)&amp;(RIGHT(VLOOKUP($L175,'2-2 引出数据_合同数据仓库'!$B$5:$BP$20,64,FALSE),4)+1)),'2-2 引出数据_合同数据仓库'!$B$5:$BP$20,3,FALSE),0)</f>
        <v>0</v>
      </c>
      <c r="P175" s="125"/>
      <c r="Q175" s="125">
        <f>IFERROR(VLOOKUP($L175,'2-2 引出数据_合同数据仓库'!$B$5:$BP$20,28,FALSE),0)</f>
        <v>0</v>
      </c>
      <c r="R175" s="125">
        <f>IFERROR(VLOOKUP($L175,'2-2 引出数据_合同数据仓库'!$B$5:$BP$20,29,FALSE),0)</f>
        <v>0</v>
      </c>
      <c r="S175" s="125">
        <f>IFERROR(VLOOKUP($L175,'2-2 引出数据_合同数据仓库'!$B$5:$BP$20,4,FALSE),0)</f>
        <v>0</v>
      </c>
      <c r="T175" s="125"/>
      <c r="U175" s="125">
        <f>IFERROR(VLOOKUP($L175,'2-2 引出数据_合同数据仓库'!$B$5:$BP$20,15,FALSE),0)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hidden="1" customHeight="1" outlineLevel="4" spans="1:95">
      <c r="A176" s="126" t="s">
        <v>2770</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hidden="1" customHeight="1" outlineLevel="1" collapsed="1" spans="1:95">
      <c r="A177" s="22"/>
      <c r="B177" s="112" t="s">
        <v>742</v>
      </c>
      <c r="C177" s="113" t="s">
        <v>220</v>
      </c>
      <c r="D177" s="22" t="s">
        <v>221</v>
      </c>
      <c r="E177" s="112"/>
      <c r="F177" s="112"/>
      <c r="G177" s="112"/>
      <c r="H177" s="114">
        <f t="shared" ref="H177:I179" si="2110">X177+AA177+AD177+AG177+AJ177+AM177+AP177+AS177+AV177+AY177+BB177+BE177</f>
        <v>0</v>
      </c>
      <c r="I177" s="114">
        <f t="shared" si="2110"/>
        <v>-38617.92</v>
      </c>
      <c r="J177" s="114">
        <f t="shared" si="1570"/>
        <v>38617.92</v>
      </c>
      <c r="K177" s="114"/>
      <c r="L177" s="147"/>
      <c r="M177" s="147"/>
      <c r="N177" s="114"/>
      <c r="O177" s="147"/>
      <c r="P177" s="114"/>
      <c r="Q177" s="114"/>
      <c r="R177" s="114"/>
      <c r="S177" s="114"/>
      <c r="T177" s="114"/>
      <c r="U177" s="114"/>
      <c r="V177" s="114"/>
      <c r="W177" s="114"/>
      <c r="X177" s="114">
        <f>VLOOKUP($C177,'1 预算编制表单'!$C:$BJ,27,FALSE)</f>
        <v>0</v>
      </c>
      <c r="Y177" s="114">
        <f>X177-Z177</f>
        <v>-5646.96</v>
      </c>
      <c r="Z177" s="114">
        <f>Z178+Z203+Z209+Z252+Z265+Z278+Z339+Z397+Z403+Z422</f>
        <v>5646.96</v>
      </c>
      <c r="AA177" s="114">
        <f>VLOOKUP($C177,'1 预算编制表单'!$C:$BJ,30,FALSE)</f>
        <v>0</v>
      </c>
      <c r="AB177" s="114">
        <f>AA177-AC177</f>
        <v>-5100.48</v>
      </c>
      <c r="AC177" s="114">
        <f>AC178+AC203+AC209+AC252+AC265+AC278+AC339+AC397+AC403+AC422</f>
        <v>5100.48</v>
      </c>
      <c r="AD177" s="114">
        <f>VLOOKUP($C177,'1 预算编制表单'!$C:$BJ,33,FALSE)</f>
        <v>0</v>
      </c>
      <c r="AE177" s="114">
        <f>AD177-AF177</f>
        <v>-5646.96</v>
      </c>
      <c r="AF177" s="114">
        <f>AF178+AF203+AF209+AF252+AF265+AF278+AF339+AF397+AF403+AF422</f>
        <v>5646.96</v>
      </c>
      <c r="AG177" s="114">
        <f>VLOOKUP($C177,'1 预算编制表单'!$C:$BJ,36,FALSE)</f>
        <v>0</v>
      </c>
      <c r="AH177" s="114">
        <f>AG177-AI177</f>
        <v>-5464.8</v>
      </c>
      <c r="AI177" s="114">
        <f>AI178+AI203+AI209+AI252+AI265+AI278+AI339+AI397+AI403+AI422</f>
        <v>5464.8</v>
      </c>
      <c r="AJ177" s="114">
        <f>VLOOKUP($C177,'1 预算编制表单'!$C:$BJ,39,FALSE)</f>
        <v>0</v>
      </c>
      <c r="AK177" s="114">
        <f>AJ177-AL177</f>
        <v>-5646.96</v>
      </c>
      <c r="AL177" s="114">
        <f>AL178+AL203+AL209+AL252+AL265+AL278+AL339+AL397+AL403+AL422</f>
        <v>5646.96</v>
      </c>
      <c r="AM177" s="114">
        <f>VLOOKUP($C177,'1 预算编制表单'!$C:$BJ,42,FALSE)</f>
        <v>0</v>
      </c>
      <c r="AN177" s="114">
        <f>AM177-AO177</f>
        <v>-5464.8</v>
      </c>
      <c r="AO177" s="114">
        <f>AO178+AO203+AO209+AO252+AO265+AO278+AO339+AO397+AO403+AO422</f>
        <v>5464.8</v>
      </c>
      <c r="AP177" s="114">
        <f>VLOOKUP($C177,'1 预算编制表单'!$C:$BJ,45,FALSE)</f>
        <v>0</v>
      </c>
      <c r="AQ177" s="114">
        <f>AP177-AR177</f>
        <v>-5646.96</v>
      </c>
      <c r="AR177" s="114">
        <f>AR178+AR203+AR209+AR252+AR265+AR278+AR339+AR397+AR403+AR422</f>
        <v>5646.96</v>
      </c>
      <c r="AS177" s="114">
        <f>VLOOKUP($C177,'1 预算编制表单'!$C:$BJ,48,FALSE)</f>
        <v>0</v>
      </c>
      <c r="AT177" s="114">
        <f>AS177-AU177</f>
        <v>0</v>
      </c>
      <c r="AU177" s="114">
        <f>AU178+AU203+AU209+AU252+AU265+AU278+AU339+AU397+AU403+AU422</f>
        <v>0</v>
      </c>
      <c r="AV177" s="114">
        <f>VLOOKUP($C177,'1 预算编制表单'!$C:$BJ,51,FALSE)</f>
        <v>0</v>
      </c>
      <c r="AW177" s="114">
        <f>AV177-AX177</f>
        <v>0</v>
      </c>
      <c r="AX177" s="114">
        <f>AX178+AX203+AX209+AX252+AX265+AX278+AX339+AX397+AX403+AX422</f>
        <v>0</v>
      </c>
      <c r="AY177" s="114">
        <f>VLOOKUP($C177,'1 预算编制表单'!$C:$BJ,54,FALSE)</f>
        <v>0</v>
      </c>
      <c r="AZ177" s="114">
        <f>AY177-BA177</f>
        <v>0</v>
      </c>
      <c r="BA177" s="114">
        <f>BA178+BA203+BA209+BA252+BA265+BA278+BA339+BA397+BA403+BA422</f>
        <v>0</v>
      </c>
      <c r="BB177" s="114">
        <f>VLOOKUP($C177,'1 预算编制表单'!$C:$BJ,57,FALSE)</f>
        <v>0</v>
      </c>
      <c r="BC177" s="114">
        <f>BB177-BD177</f>
        <v>0</v>
      </c>
      <c r="BD177" s="114">
        <f>BD178+BD203+BD209+BD252+BD265+BD278+BD339+BD397+BD403+BD422</f>
        <v>0</v>
      </c>
      <c r="BE177" s="114">
        <f>VLOOKUP($C177,'1 预算编制表单'!$C:$BJ,60,FALSE)</f>
        <v>0</v>
      </c>
      <c r="BF177" s="114">
        <f>BE177-BG177</f>
        <v>0</v>
      </c>
      <c r="BG177" s="114">
        <f>BG178+BG203+BG209+BG252+BG265+BG278+BG339+BG397+BG403+BG422</f>
        <v>0</v>
      </c>
      <c r="BH177" s="114">
        <f>VLOOKUP($C177,'1 预算编制表单'!$C:$BJ,27,FALSE)</f>
        <v>0</v>
      </c>
      <c r="BI177" s="114">
        <f t="shared" ref="BI177:BI179" si="2111">BH177-BJ177</f>
        <v>0</v>
      </c>
      <c r="BJ177" s="114">
        <f>BJ178+BJ203+BJ209+BJ252+BJ265+BJ278+BJ339+BJ397+BJ403+BJ422</f>
        <v>0</v>
      </c>
      <c r="BK177" s="114">
        <f>VLOOKUP($C177,'1 预算编制表单'!$C:$BJ,30,FALSE)</f>
        <v>0</v>
      </c>
      <c r="BL177" s="114">
        <f t="shared" ref="BL177:BL179" si="2112">BK177-BM177</f>
        <v>0</v>
      </c>
      <c r="BM177" s="114">
        <f>BM178+BM203+BM209+BM252+BM265+BM278+BM339+BM397+BM403+BM422</f>
        <v>0</v>
      </c>
      <c r="BN177" s="114">
        <f>VLOOKUP($C177,'1 预算编制表单'!$C:$BJ,33,FALSE)</f>
        <v>0</v>
      </c>
      <c r="BO177" s="114">
        <f t="shared" ref="BO177:BO179" si="2113">BN177-BP177</f>
        <v>0</v>
      </c>
      <c r="BP177" s="114">
        <f>BP178+BP203+BP209+BP252+BP265+BP278+BP339+BP397+BP403+BP422</f>
        <v>0</v>
      </c>
      <c r="BQ177" s="114">
        <f>VLOOKUP($C177,'1 预算编制表单'!$C:$BJ,36,FALSE)</f>
        <v>0</v>
      </c>
      <c r="BR177" s="114">
        <f t="shared" ref="BR177:BR179" si="2114">BQ177-BS177</f>
        <v>0</v>
      </c>
      <c r="BS177" s="114">
        <f>BS178+BS203+BS209+BS252+BS265+BS278+BS339+BS397+BS403+BS422</f>
        <v>0</v>
      </c>
      <c r="BT177" s="114">
        <f>VLOOKUP($C177,'1 预算编制表单'!$C:$BJ,39,FALSE)</f>
        <v>0</v>
      </c>
      <c r="BU177" s="114">
        <f t="shared" ref="BU177:BU179" si="2115">BT177-BV177</f>
        <v>0</v>
      </c>
      <c r="BV177" s="114">
        <f>BV178+BV203+BV209+BV252+BV265+BV278+BV339+BV397+BV403+BV422</f>
        <v>0</v>
      </c>
      <c r="BW177" s="114">
        <f>VLOOKUP($C177,'1 预算编制表单'!$C:$BJ,42,FALSE)</f>
        <v>0</v>
      </c>
      <c r="BX177" s="114">
        <f t="shared" ref="BX177:BX179" si="2116">BW177-BY177</f>
        <v>0</v>
      </c>
      <c r="BY177" s="114">
        <f>BY178+BY203+BY209+BY252+BY265+BY278+BY339+BY397+BY403+BY422</f>
        <v>0</v>
      </c>
      <c r="BZ177" s="114">
        <f>VLOOKUP($C177,'1 预算编制表单'!$C:$BJ,45,FALSE)</f>
        <v>0</v>
      </c>
      <c r="CA177" s="114">
        <f t="shared" ref="CA177:CA179" si="2117">BZ177-CB177</f>
        <v>0</v>
      </c>
      <c r="CB177" s="114">
        <f>CB178+CB203+CB209+CB252+CB265+CB278+CB339+CB397+CB403+CB422</f>
        <v>0</v>
      </c>
      <c r="CC177" s="114">
        <f>VLOOKUP($C177,'1 预算编制表单'!$C:$BJ,48,FALSE)</f>
        <v>0</v>
      </c>
      <c r="CD177" s="114">
        <f t="shared" ref="CD177:CD179" si="2118">CC177-CE177</f>
        <v>0</v>
      </c>
      <c r="CE177" s="114">
        <f>CE178+CE203+CE209+CE252+CE265+CE278+CE339+CE397+CE403+CE422</f>
        <v>0</v>
      </c>
      <c r="CF177" s="114">
        <f>VLOOKUP($C177,'1 预算编制表单'!$C:$BJ,51,FALSE)</f>
        <v>0</v>
      </c>
      <c r="CG177" s="114">
        <f t="shared" ref="CG177:CG179" si="2119">CF177-CH177</f>
        <v>0</v>
      </c>
      <c r="CH177" s="114">
        <f>CH178+CH203+CH209+CH252+CH265+CH278+CH339+CH397+CH403+CH422</f>
        <v>0</v>
      </c>
      <c r="CI177" s="114">
        <f>VLOOKUP($C177,'1 预算编制表单'!$C:$BJ,54,FALSE)</f>
        <v>0</v>
      </c>
      <c r="CJ177" s="114">
        <f t="shared" ref="CJ177:CJ179" si="2120">CI177-CK177</f>
        <v>0</v>
      </c>
      <c r="CK177" s="114">
        <f>CK178+CK203+CK209+CK252+CK265+CK278+CK339+CK397+CK403+CK422</f>
        <v>0</v>
      </c>
      <c r="CL177" s="114">
        <f>VLOOKUP($C177,'1 预算编制表单'!$C:$BJ,57,FALSE)</f>
        <v>0</v>
      </c>
      <c r="CM177" s="114">
        <f t="shared" ref="CM177:CM179" si="2121">CL177-CN177</f>
        <v>0</v>
      </c>
      <c r="CN177" s="114">
        <f>CN178+CN203+CN209+CN252+CN265+CN278+CN339+CN397+CN403+CN422</f>
        <v>0</v>
      </c>
      <c r="CO177" s="114">
        <f>VLOOKUP($C177,'1 预算编制表单'!$C:$BJ,60,FALSE)</f>
        <v>0</v>
      </c>
      <c r="CP177" s="114">
        <f t="shared" ref="CP177:CP179" si="2122">CO177-CQ177</f>
        <v>0</v>
      </c>
      <c r="CQ177" s="114">
        <f>CQ178+CQ203+CQ209+CQ252+CQ265+CQ278+CQ339+CQ397+CQ403+CQ422</f>
        <v>0</v>
      </c>
    </row>
    <row r="178" ht="24" hidden="1" customHeight="1" outlineLevel="2" collapsed="1" spans="1:95">
      <c r="A178" s="48"/>
      <c r="B178" s="115" t="s">
        <v>742</v>
      </c>
      <c r="C178" s="116" t="s">
        <v>32</v>
      </c>
      <c r="D178" s="48" t="s">
        <v>33</v>
      </c>
      <c r="E178" s="115" t="s">
        <v>1094</v>
      </c>
      <c r="F178" s="115"/>
      <c r="G178" s="115"/>
      <c r="H178" s="117">
        <f t="shared" si="2110"/>
        <v>0</v>
      </c>
      <c r="I178" s="117">
        <f t="shared" si="2110"/>
        <v>0</v>
      </c>
      <c r="J178" s="117">
        <f t="shared" si="1570"/>
        <v>0</v>
      </c>
      <c r="K178" s="117"/>
      <c r="L178" s="148"/>
      <c r="M178" s="148"/>
      <c r="N178" s="117"/>
      <c r="O178" s="148"/>
      <c r="P178" s="117"/>
      <c r="Q178" s="117"/>
      <c r="R178" s="117"/>
      <c r="S178" s="117"/>
      <c r="T178" s="117"/>
      <c r="U178" s="117"/>
      <c r="V178" s="117"/>
      <c r="W178" s="117"/>
      <c r="X178" s="117">
        <f>VLOOKUP($C178,'1 预算编制表单'!$C:$BJ,27,FALSE)</f>
        <v>0</v>
      </c>
      <c r="Y178" s="117">
        <f>X178-Z178</f>
        <v>0</v>
      </c>
      <c r="Z178" s="117">
        <f>Z179+Z185+Z191+Z197</f>
        <v>0</v>
      </c>
      <c r="AA178" s="117">
        <f>VLOOKUP($C178,'1 预算编制表单'!$C:$BJ,30,FALSE)</f>
        <v>0</v>
      </c>
      <c r="AB178" s="117">
        <f>AA178-AC178</f>
        <v>0</v>
      </c>
      <c r="AC178" s="117">
        <f>AC179+AC185+AC191+AC197</f>
        <v>0</v>
      </c>
      <c r="AD178" s="117">
        <f>VLOOKUP($C178,'1 预算编制表单'!$C:$BJ,33,FALSE)</f>
        <v>0</v>
      </c>
      <c r="AE178" s="117">
        <f>AD178-AF178</f>
        <v>0</v>
      </c>
      <c r="AF178" s="117">
        <f>AF179+AF185+AF191+AF197</f>
        <v>0</v>
      </c>
      <c r="AG178" s="117">
        <f>VLOOKUP($C178,'1 预算编制表单'!$C:$BJ,36,FALSE)</f>
        <v>0</v>
      </c>
      <c r="AH178" s="117">
        <f>AG178-AI178</f>
        <v>0</v>
      </c>
      <c r="AI178" s="117">
        <f>AI179+AI185+AI191+AI197</f>
        <v>0</v>
      </c>
      <c r="AJ178" s="117">
        <f>VLOOKUP($C178,'1 预算编制表单'!$C:$BJ,39,FALSE)</f>
        <v>0</v>
      </c>
      <c r="AK178" s="117">
        <f>AJ178-AL178</f>
        <v>0</v>
      </c>
      <c r="AL178" s="117">
        <f>AL179+AL185+AL191+AL197</f>
        <v>0</v>
      </c>
      <c r="AM178" s="117">
        <f>VLOOKUP($C178,'1 预算编制表单'!$C:$BJ,42,FALSE)</f>
        <v>0</v>
      </c>
      <c r="AN178" s="117">
        <f>AM178-AO178</f>
        <v>0</v>
      </c>
      <c r="AO178" s="117">
        <f>AO179+AO185+AO191+AO197</f>
        <v>0</v>
      </c>
      <c r="AP178" s="117">
        <f>VLOOKUP($C178,'1 预算编制表单'!$C:$BJ,45,FALSE)</f>
        <v>0</v>
      </c>
      <c r="AQ178" s="117">
        <f>AP178-AR178</f>
        <v>0</v>
      </c>
      <c r="AR178" s="117">
        <f>AR179+AR185+AR191+AR197</f>
        <v>0</v>
      </c>
      <c r="AS178" s="117">
        <f>VLOOKUP($C178,'1 预算编制表单'!$C:$BJ,48,FALSE)</f>
        <v>0</v>
      </c>
      <c r="AT178" s="117">
        <f>AS178-AU178</f>
        <v>0</v>
      </c>
      <c r="AU178" s="117">
        <f>AU179+AU185+AU191+AU197</f>
        <v>0</v>
      </c>
      <c r="AV178" s="117">
        <f>VLOOKUP($C178,'1 预算编制表单'!$C:$BJ,51,FALSE)</f>
        <v>0</v>
      </c>
      <c r="AW178" s="117">
        <f>AV178-AX178</f>
        <v>0</v>
      </c>
      <c r="AX178" s="117">
        <f>AX179+AX185+AX191+AX197</f>
        <v>0</v>
      </c>
      <c r="AY178" s="117">
        <f>VLOOKUP($C178,'1 预算编制表单'!$C:$BJ,54,FALSE)</f>
        <v>0</v>
      </c>
      <c r="AZ178" s="117">
        <f>AY178-BA178</f>
        <v>0</v>
      </c>
      <c r="BA178" s="117">
        <f>BA179+BA185+BA191+BA197</f>
        <v>0</v>
      </c>
      <c r="BB178" s="117">
        <f>VLOOKUP($C178,'1 预算编制表单'!$C:$BJ,57,FALSE)</f>
        <v>0</v>
      </c>
      <c r="BC178" s="117">
        <f>BB178-BD178</f>
        <v>0</v>
      </c>
      <c r="BD178" s="117">
        <f>BD179+BD185+BD191+BD197</f>
        <v>0</v>
      </c>
      <c r="BE178" s="117">
        <f>VLOOKUP($C178,'1 预算编制表单'!$C:$BJ,60,FALSE)</f>
        <v>0</v>
      </c>
      <c r="BF178" s="117">
        <f>BE178-BG178</f>
        <v>0</v>
      </c>
      <c r="BG178" s="117">
        <f>BG179+BG185+BG191+BG197</f>
        <v>0</v>
      </c>
      <c r="BH178" s="117">
        <f>VLOOKUP($C178,'1 预算编制表单'!$C:$BJ,27,FALSE)</f>
        <v>0</v>
      </c>
      <c r="BI178" s="117">
        <f t="shared" si="2111"/>
        <v>0</v>
      </c>
      <c r="BJ178" s="117">
        <f>BJ179+BJ185+BJ191+BJ197</f>
        <v>0</v>
      </c>
      <c r="BK178" s="117">
        <f>VLOOKUP($C178,'1 预算编制表单'!$C:$BJ,30,FALSE)</f>
        <v>0</v>
      </c>
      <c r="BL178" s="117">
        <f t="shared" si="2112"/>
        <v>0</v>
      </c>
      <c r="BM178" s="117">
        <f>BM179+BM185+BM191+BM197</f>
        <v>0</v>
      </c>
      <c r="BN178" s="117">
        <f>VLOOKUP($C178,'1 预算编制表单'!$C:$BJ,33,FALSE)</f>
        <v>0</v>
      </c>
      <c r="BO178" s="117">
        <f t="shared" si="2113"/>
        <v>0</v>
      </c>
      <c r="BP178" s="117">
        <f>BP179+BP185+BP191+BP197</f>
        <v>0</v>
      </c>
      <c r="BQ178" s="117">
        <f>VLOOKUP($C178,'1 预算编制表单'!$C:$BJ,36,FALSE)</f>
        <v>0</v>
      </c>
      <c r="BR178" s="117">
        <f t="shared" si="2114"/>
        <v>0</v>
      </c>
      <c r="BS178" s="117">
        <f>BS179+BS185+BS191+BS197</f>
        <v>0</v>
      </c>
      <c r="BT178" s="117">
        <f>VLOOKUP($C178,'1 预算编制表单'!$C:$BJ,39,FALSE)</f>
        <v>0</v>
      </c>
      <c r="BU178" s="117">
        <f t="shared" si="2115"/>
        <v>0</v>
      </c>
      <c r="BV178" s="117">
        <f>BV179+BV185+BV191+BV197</f>
        <v>0</v>
      </c>
      <c r="BW178" s="117">
        <f>VLOOKUP($C178,'1 预算编制表单'!$C:$BJ,42,FALSE)</f>
        <v>0</v>
      </c>
      <c r="BX178" s="117">
        <f t="shared" si="2116"/>
        <v>0</v>
      </c>
      <c r="BY178" s="117">
        <f>BY179+BY185+BY191+BY197</f>
        <v>0</v>
      </c>
      <c r="BZ178" s="117">
        <f>VLOOKUP($C178,'1 预算编制表单'!$C:$BJ,45,FALSE)</f>
        <v>0</v>
      </c>
      <c r="CA178" s="117">
        <f t="shared" si="2117"/>
        <v>0</v>
      </c>
      <c r="CB178" s="117">
        <f>CB179+CB185+CB191+CB197</f>
        <v>0</v>
      </c>
      <c r="CC178" s="117">
        <f>VLOOKUP($C178,'1 预算编制表单'!$C:$BJ,48,FALSE)</f>
        <v>0</v>
      </c>
      <c r="CD178" s="117">
        <f t="shared" si="2118"/>
        <v>0</v>
      </c>
      <c r="CE178" s="117">
        <f>CE179+CE185+CE191+CE197</f>
        <v>0</v>
      </c>
      <c r="CF178" s="117">
        <f>VLOOKUP($C178,'1 预算编制表单'!$C:$BJ,51,FALSE)</f>
        <v>0</v>
      </c>
      <c r="CG178" s="117">
        <f t="shared" si="2119"/>
        <v>0</v>
      </c>
      <c r="CH178" s="117">
        <f>CH179+CH185+CH191+CH197</f>
        <v>0</v>
      </c>
      <c r="CI178" s="117">
        <f>VLOOKUP($C178,'1 预算编制表单'!$C:$BJ,54,FALSE)</f>
        <v>0</v>
      </c>
      <c r="CJ178" s="117">
        <f t="shared" si="2120"/>
        <v>0</v>
      </c>
      <c r="CK178" s="117">
        <f>CK179+CK185+CK191+CK197</f>
        <v>0</v>
      </c>
      <c r="CL178" s="117">
        <f>VLOOKUP($C178,'1 预算编制表单'!$C:$BJ,57,FALSE)</f>
        <v>0</v>
      </c>
      <c r="CM178" s="117">
        <f t="shared" si="2121"/>
        <v>0</v>
      </c>
      <c r="CN178" s="117">
        <f>CN179+CN185+CN191+CN197</f>
        <v>0</v>
      </c>
      <c r="CO178" s="117">
        <f>VLOOKUP($C178,'1 预算编制表单'!$C:$BJ,60,FALSE)</f>
        <v>0</v>
      </c>
      <c r="CP178" s="117">
        <f t="shared" si="2122"/>
        <v>0</v>
      </c>
      <c r="CQ178" s="117">
        <f>CQ179+CQ185+CQ191+CQ197</f>
        <v>0</v>
      </c>
    </row>
    <row r="179" ht="24" hidden="1" customHeight="1" outlineLevel="3" collapsed="1" spans="1:95">
      <c r="A179" s="118"/>
      <c r="B179" s="119" t="s">
        <v>747</v>
      </c>
      <c r="C179" s="120" t="s">
        <v>1095</v>
      </c>
      <c r="D179" s="118" t="s">
        <v>2776</v>
      </c>
      <c r="E179" s="119"/>
      <c r="F179" s="119"/>
      <c r="G179" s="119"/>
      <c r="H179" s="121">
        <f t="shared" si="2110"/>
        <v>0</v>
      </c>
      <c r="I179" s="121">
        <f t="shared" si="2110"/>
        <v>0</v>
      </c>
      <c r="J179" s="121">
        <f t="shared" si="1570"/>
        <v>0</v>
      </c>
      <c r="K179" s="121"/>
      <c r="L179" s="149"/>
      <c r="M179" s="149"/>
      <c r="N179" s="121"/>
      <c r="O179" s="149"/>
      <c r="P179" s="121"/>
      <c r="Q179" s="121"/>
      <c r="R179" s="121"/>
      <c r="S179" s="121"/>
      <c r="T179" s="121"/>
      <c r="U179" s="121"/>
      <c r="V179" s="121"/>
      <c r="W179" s="121"/>
      <c r="X179" s="121">
        <f>VLOOKUP($C179,'1 预算编制表单'!$C:$BJ,27,FALSE)</f>
        <v>0</v>
      </c>
      <c r="Y179" s="121">
        <f>X179-Z179</f>
        <v>0</v>
      </c>
      <c r="Z179" s="121">
        <f>SUM(Z180:Z184)</f>
        <v>0</v>
      </c>
      <c r="AA179" s="121">
        <f>VLOOKUP($C179,'1 预算编制表单'!$C:$BJ,30,FALSE)</f>
        <v>0</v>
      </c>
      <c r="AB179" s="121">
        <f>AA179-AC179</f>
        <v>0</v>
      </c>
      <c r="AC179" s="121">
        <f>SUM(AC180:AC184)</f>
        <v>0</v>
      </c>
      <c r="AD179" s="121">
        <f>VLOOKUP($C179,'1 预算编制表单'!$C:$BJ,33,FALSE)</f>
        <v>0</v>
      </c>
      <c r="AE179" s="121">
        <f>AD179-AF179</f>
        <v>0</v>
      </c>
      <c r="AF179" s="121">
        <f>SUM(AF180:AF184)</f>
        <v>0</v>
      </c>
      <c r="AG179" s="121">
        <f>VLOOKUP($C179,'1 预算编制表单'!$C:$BJ,36,FALSE)</f>
        <v>0</v>
      </c>
      <c r="AH179" s="121">
        <f>AG179-AI179</f>
        <v>0</v>
      </c>
      <c r="AI179" s="121">
        <f>SUM(AI180:AI184)</f>
        <v>0</v>
      </c>
      <c r="AJ179" s="121">
        <f>VLOOKUP($C179,'1 预算编制表单'!$C:$BJ,39,FALSE)</f>
        <v>0</v>
      </c>
      <c r="AK179" s="121">
        <f>AJ179-AL179</f>
        <v>0</v>
      </c>
      <c r="AL179" s="121">
        <f>SUM(AL180:AL184)</f>
        <v>0</v>
      </c>
      <c r="AM179" s="121">
        <f>VLOOKUP($C179,'1 预算编制表单'!$C:$BJ,42,FALSE)</f>
        <v>0</v>
      </c>
      <c r="AN179" s="121">
        <f>AM179-AO179</f>
        <v>0</v>
      </c>
      <c r="AO179" s="121">
        <f>SUM(AO180:AO184)</f>
        <v>0</v>
      </c>
      <c r="AP179" s="121">
        <f>VLOOKUP($C179,'1 预算编制表单'!$C:$BJ,45,FALSE)</f>
        <v>0</v>
      </c>
      <c r="AQ179" s="121">
        <f>AP179-AR179</f>
        <v>0</v>
      </c>
      <c r="AR179" s="121">
        <f>SUM(AR180:AR184)</f>
        <v>0</v>
      </c>
      <c r="AS179" s="121">
        <f>VLOOKUP($C179,'1 预算编制表单'!$C:$BJ,48,FALSE)</f>
        <v>0</v>
      </c>
      <c r="AT179" s="121">
        <f>AS179-AU179</f>
        <v>0</v>
      </c>
      <c r="AU179" s="121">
        <f>SUM(AU180:AU184)</f>
        <v>0</v>
      </c>
      <c r="AV179" s="121">
        <f>VLOOKUP($C179,'1 预算编制表单'!$C:$BJ,51,FALSE)</f>
        <v>0</v>
      </c>
      <c r="AW179" s="121">
        <f>AV179-AX179</f>
        <v>0</v>
      </c>
      <c r="AX179" s="121">
        <f>SUM(AX180:AX184)</f>
        <v>0</v>
      </c>
      <c r="AY179" s="121">
        <f>VLOOKUP($C179,'1 预算编制表单'!$C:$BJ,54,FALSE)</f>
        <v>0</v>
      </c>
      <c r="AZ179" s="121">
        <f>AY179-BA179</f>
        <v>0</v>
      </c>
      <c r="BA179" s="121">
        <f>SUM(BA180:BA184)</f>
        <v>0</v>
      </c>
      <c r="BB179" s="121">
        <f>VLOOKUP($C179,'1 预算编制表单'!$C:$BJ,57,FALSE)</f>
        <v>0</v>
      </c>
      <c r="BC179" s="121">
        <f>BB179-BD179</f>
        <v>0</v>
      </c>
      <c r="BD179" s="121">
        <f>SUM(BD180:BD184)</f>
        <v>0</v>
      </c>
      <c r="BE179" s="121">
        <f>VLOOKUP($C179,'1 预算编制表单'!$C:$BJ,60,FALSE)</f>
        <v>0</v>
      </c>
      <c r="BF179" s="121">
        <f>BE179-BG179</f>
        <v>0</v>
      </c>
      <c r="BG179" s="121">
        <f>SUM(BG180:BG184)</f>
        <v>0</v>
      </c>
      <c r="BH179" s="121">
        <f>VLOOKUP($C179,'1 预算编制表单'!$C:$BJ,27,FALSE)</f>
        <v>0</v>
      </c>
      <c r="BI179" s="121">
        <f t="shared" si="2111"/>
        <v>0</v>
      </c>
      <c r="BJ179" s="121">
        <f>SUM(BJ180:BJ184)</f>
        <v>0</v>
      </c>
      <c r="BK179" s="121">
        <f>VLOOKUP($C179,'1 预算编制表单'!$C:$BJ,30,FALSE)</f>
        <v>0</v>
      </c>
      <c r="BL179" s="121">
        <f t="shared" si="2112"/>
        <v>0</v>
      </c>
      <c r="BM179" s="121">
        <f>SUM(BM180:BM184)</f>
        <v>0</v>
      </c>
      <c r="BN179" s="121">
        <f>VLOOKUP($C179,'1 预算编制表单'!$C:$BJ,33,FALSE)</f>
        <v>0</v>
      </c>
      <c r="BO179" s="121">
        <f t="shared" si="2113"/>
        <v>0</v>
      </c>
      <c r="BP179" s="121">
        <f>SUM(BP180:BP184)</f>
        <v>0</v>
      </c>
      <c r="BQ179" s="121">
        <f>VLOOKUP($C179,'1 预算编制表单'!$C:$BJ,36,FALSE)</f>
        <v>0</v>
      </c>
      <c r="BR179" s="121">
        <f t="shared" si="2114"/>
        <v>0</v>
      </c>
      <c r="BS179" s="121">
        <f>SUM(BS180:BS184)</f>
        <v>0</v>
      </c>
      <c r="BT179" s="121">
        <f>VLOOKUP($C179,'1 预算编制表单'!$C:$BJ,39,FALSE)</f>
        <v>0</v>
      </c>
      <c r="BU179" s="121">
        <f t="shared" si="2115"/>
        <v>0</v>
      </c>
      <c r="BV179" s="121">
        <f>SUM(BV180:BV184)</f>
        <v>0</v>
      </c>
      <c r="BW179" s="121">
        <f>VLOOKUP($C179,'1 预算编制表单'!$C:$BJ,42,FALSE)</f>
        <v>0</v>
      </c>
      <c r="BX179" s="121">
        <f t="shared" si="2116"/>
        <v>0</v>
      </c>
      <c r="BY179" s="121">
        <f>SUM(BY180:BY184)</f>
        <v>0</v>
      </c>
      <c r="BZ179" s="121">
        <f>VLOOKUP($C179,'1 预算编制表单'!$C:$BJ,45,FALSE)</f>
        <v>0</v>
      </c>
      <c r="CA179" s="121">
        <f t="shared" si="2117"/>
        <v>0</v>
      </c>
      <c r="CB179" s="121">
        <f>SUM(CB180:CB184)</f>
        <v>0</v>
      </c>
      <c r="CC179" s="121">
        <f>VLOOKUP($C179,'1 预算编制表单'!$C:$BJ,48,FALSE)</f>
        <v>0</v>
      </c>
      <c r="CD179" s="121">
        <f t="shared" si="2118"/>
        <v>0</v>
      </c>
      <c r="CE179" s="121">
        <f>SUM(CE180:CE184)</f>
        <v>0</v>
      </c>
      <c r="CF179" s="121">
        <f>VLOOKUP($C179,'1 预算编制表单'!$C:$BJ,51,FALSE)</f>
        <v>0</v>
      </c>
      <c r="CG179" s="121">
        <f t="shared" si="2119"/>
        <v>0</v>
      </c>
      <c r="CH179" s="121">
        <f>SUM(CH180:CH184)</f>
        <v>0</v>
      </c>
      <c r="CI179" s="121">
        <f>VLOOKUP($C179,'1 预算编制表单'!$C:$BJ,54,FALSE)</f>
        <v>0</v>
      </c>
      <c r="CJ179" s="121">
        <f t="shared" si="2120"/>
        <v>0</v>
      </c>
      <c r="CK179" s="121">
        <f>SUM(CK180:CK184)</f>
        <v>0</v>
      </c>
      <c r="CL179" s="121">
        <f>VLOOKUP($C179,'1 预算编制表单'!$C:$BJ,57,FALSE)</f>
        <v>0</v>
      </c>
      <c r="CM179" s="121">
        <f t="shared" si="2121"/>
        <v>0</v>
      </c>
      <c r="CN179" s="121">
        <f>SUM(CN180:CN184)</f>
        <v>0</v>
      </c>
      <c r="CO179" s="121">
        <f>VLOOKUP($C179,'1 预算编制表单'!$C:$BJ,60,FALSE)</f>
        <v>0</v>
      </c>
      <c r="CP179" s="121">
        <f t="shared" si="2122"/>
        <v>0</v>
      </c>
      <c r="CQ179" s="121">
        <f>SUM(CQ180:CQ184)</f>
        <v>0</v>
      </c>
    </row>
    <row r="180" s="83" customFormat="1" ht="24" hidden="1" customHeight="1" outlineLevel="4" spans="1:95">
      <c r="A180" s="122"/>
      <c r="B180" s="123"/>
      <c r="C180" s="124"/>
      <c r="D180" s="122"/>
      <c r="E180" s="123"/>
      <c r="F180" s="123"/>
      <c r="G180" s="123"/>
      <c r="H180" s="125"/>
      <c r="I180" s="125"/>
      <c r="J180" s="125">
        <f t="shared" si="1570"/>
        <v>0</v>
      </c>
      <c r="K180" s="125">
        <v>1</v>
      </c>
      <c r="L180" s="150"/>
      <c r="M180" s="151">
        <f>IFERROR(VLOOKUP($L180,'2-2 引出数据_合同数据仓库'!$B$5:$BP$20,3,FALSE),0)</f>
        <v>0</v>
      </c>
      <c r="N180" s="125"/>
      <c r="O180" s="151">
        <f>IFERROR(VLOOKUP((LEFT(VLOOKUP($L180,'2-2 引出数据_合同数据仓库'!$B$5:$BP$20,64,FALSE),15)&amp;(RIGHT(VLOOKUP($L180,'2-2 引出数据_合同数据仓库'!$B$5:$BP$20,64,FALSE),4)+1)),'2-2 引出数据_合同数据仓库'!$B$5:$BP$20,3,FALSE),0)</f>
        <v>0</v>
      </c>
      <c r="P180" s="125"/>
      <c r="Q180" s="125">
        <f>IFERROR(VLOOKUP($L180,'2-2 引出数据_合同数据仓库'!$B$5:$BP$20,28,FALSE),0)</f>
        <v>0</v>
      </c>
      <c r="R180" s="125">
        <f>IFERROR(VLOOKUP($L180,'2-2 引出数据_合同数据仓库'!$B$5:$BP$20,29,FALSE),0)</f>
        <v>0</v>
      </c>
      <c r="S180" s="125">
        <f>IFERROR(VLOOKUP($L180,'2-2 引出数据_合同数据仓库'!$B$5:$BP$20,4,FALSE),0)</f>
        <v>0</v>
      </c>
      <c r="T180" s="125"/>
      <c r="U180" s="125">
        <f>IFERROR(VLOOKUP($L180,'2-2 引出数据_合同数据仓库'!$B$5:$BP$20,15,FALSE),0)</f>
        <v>0</v>
      </c>
      <c r="V180" s="125">
        <f t="shared" ref="V180:V183" si="2123">U180/(S180-R180+1)*365</f>
        <v>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0</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0</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0</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0</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0</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0</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0</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0</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0</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hidden="1" customHeight="1" outlineLevel="4" spans="1:95">
      <c r="A181" s="122"/>
      <c r="B181" s="123"/>
      <c r="C181" s="124"/>
      <c r="D181" s="122"/>
      <c r="E181" s="123"/>
      <c r="F181" s="123"/>
      <c r="G181" s="123"/>
      <c r="H181" s="125"/>
      <c r="I181" s="125"/>
      <c r="J181" s="125">
        <f t="shared" si="1570"/>
        <v>0</v>
      </c>
      <c r="K181" s="125">
        <f t="shared" ref="K181:K183" si="2194">K180+1</f>
        <v>2</v>
      </c>
      <c r="L181" s="150"/>
      <c r="M181" s="151">
        <f>IFERROR(VLOOKUP($L181,'2-2 引出数据_合同数据仓库'!$B$5:$BP$20,3,FALSE),0)</f>
        <v>0</v>
      </c>
      <c r="N181" s="125"/>
      <c r="O181" s="151">
        <f>IFERROR(VLOOKUP((LEFT(VLOOKUP($L181,'2-2 引出数据_合同数据仓库'!$B$5:$BP$20,64,FALSE),15)&amp;(RIGHT(VLOOKUP($L181,'2-2 引出数据_合同数据仓库'!$B$5:$BP$20,64,FALSE),4)+1)),'2-2 引出数据_合同数据仓库'!$B$5:$BP$20,3,FALSE),0)</f>
        <v>0</v>
      </c>
      <c r="P181" s="125"/>
      <c r="Q181" s="125">
        <f>IFERROR(VLOOKUP($L181,'2-2 引出数据_合同数据仓库'!$B$5:$BP$20,28,FALSE),0)</f>
        <v>0</v>
      </c>
      <c r="R181" s="125">
        <f>IFERROR(VLOOKUP($L181,'2-2 引出数据_合同数据仓库'!$B$5:$BP$20,29,FALSE),0)</f>
        <v>0</v>
      </c>
      <c r="S181" s="125">
        <f>IFERROR(VLOOKUP($L181,'2-2 引出数据_合同数据仓库'!$B$5:$BP$20,4,FALSE),0)</f>
        <v>0</v>
      </c>
      <c r="T181" s="125"/>
      <c r="U181" s="125">
        <f>IFERROR(VLOOKUP($L181,'2-2 引出数据_合同数据仓库'!$B$5:$BP$20,15,FALSE),0)</f>
        <v>0</v>
      </c>
      <c r="V181" s="125">
        <f t="shared" si="2123"/>
        <v>0</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hidden="1"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引出数据_合同数据仓库'!$B$5:$BP$20,3,FALSE),0)</f>
        <v>0</v>
      </c>
      <c r="N182" s="125"/>
      <c r="O182" s="151">
        <f>IFERROR(VLOOKUP((LEFT(VLOOKUP($L182,'2-2 引出数据_合同数据仓库'!$B$5:$BP$20,64,FALSE),15)&amp;(RIGHT(VLOOKUP($L182,'2-2 引出数据_合同数据仓库'!$B$5:$BP$20,64,FALSE),4)+1)),'2-2 引出数据_合同数据仓库'!$B$5:$BP$20,3,FALSE),0)</f>
        <v>0</v>
      </c>
      <c r="P182" s="125"/>
      <c r="Q182" s="125">
        <f>IFERROR(VLOOKUP($L182,'2-2 引出数据_合同数据仓库'!$B$5:$BP$20,28,FALSE),0)</f>
        <v>0</v>
      </c>
      <c r="R182" s="125">
        <f>IFERROR(VLOOKUP($L182,'2-2 引出数据_合同数据仓库'!$B$5:$BP$20,29,FALSE),0)</f>
        <v>0</v>
      </c>
      <c r="S182" s="125">
        <f>IFERROR(VLOOKUP($L182,'2-2 引出数据_合同数据仓库'!$B$5:$BP$20,4,FALSE),0)</f>
        <v>0</v>
      </c>
      <c r="T182" s="125"/>
      <c r="U182" s="125">
        <f>IFERROR(VLOOKUP($L182,'2-2 引出数据_合同数据仓库'!$B$5:$BP$20,15,FALSE),0)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hidden="1"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引出数据_合同数据仓库'!$B$5:$BP$20,3,FALSE),0)</f>
        <v>0</v>
      </c>
      <c r="N183" s="125"/>
      <c r="O183" s="151">
        <f>IFERROR(VLOOKUP((LEFT(VLOOKUP($L183,'2-2 引出数据_合同数据仓库'!$B$5:$BP$20,64,FALSE),15)&amp;(RIGHT(VLOOKUP($L183,'2-2 引出数据_合同数据仓库'!$B$5:$BP$20,64,FALSE),4)+1)),'2-2 引出数据_合同数据仓库'!$B$5:$BP$20,3,FALSE),0)</f>
        <v>0</v>
      </c>
      <c r="P183" s="125"/>
      <c r="Q183" s="125">
        <f>IFERROR(VLOOKUP($L183,'2-2 引出数据_合同数据仓库'!$B$5:$BP$20,28,FALSE),0)</f>
        <v>0</v>
      </c>
      <c r="R183" s="125">
        <f>IFERROR(VLOOKUP($L183,'2-2 引出数据_合同数据仓库'!$B$5:$BP$20,29,FALSE),0)</f>
        <v>0</v>
      </c>
      <c r="S183" s="125">
        <f>IFERROR(VLOOKUP($L183,'2-2 引出数据_合同数据仓库'!$B$5:$BP$20,4,FALSE),0)</f>
        <v>0</v>
      </c>
      <c r="T183" s="125"/>
      <c r="U183" s="125">
        <f>IFERROR(VLOOKUP($L183,'2-2 引出数据_合同数据仓库'!$B$5:$BP$20,15,FALSE),0)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hidden="1" customHeight="1" outlineLevel="4" spans="1:95">
      <c r="A184" s="126" t="s">
        <v>2770</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hidden="1" customHeight="1" outlineLevel="3" collapsed="1" spans="1:95">
      <c r="A185" s="118"/>
      <c r="B185" s="119" t="s">
        <v>747</v>
      </c>
      <c r="C185" s="120" t="s">
        <v>1100</v>
      </c>
      <c r="D185" s="118" t="s">
        <v>2777</v>
      </c>
      <c r="E185" s="119"/>
      <c r="F185" s="119"/>
      <c r="G185" s="119"/>
      <c r="H185" s="121">
        <f>X185+AA185+AD185+AG185+AJ185+AM185+AP185+AS185+AV185+AY185+BB185+BE185</f>
        <v>0</v>
      </c>
      <c r="I185" s="121">
        <f>Y185+AB185+AE185+AH185+AK185+AN185+AQ185+AT185+AW185+AZ185+BC185+BF185</f>
        <v>0</v>
      </c>
      <c r="J185" s="121">
        <f t="shared" si="1570"/>
        <v>0</v>
      </c>
      <c r="K185" s="121"/>
      <c r="L185" s="149"/>
      <c r="M185" s="149"/>
      <c r="N185" s="121"/>
      <c r="O185" s="121"/>
      <c r="P185" s="121"/>
      <c r="Q185" s="121"/>
      <c r="R185" s="121"/>
      <c r="S185" s="121"/>
      <c r="T185" s="121"/>
      <c r="U185" s="121"/>
      <c r="V185" s="121"/>
      <c r="W185" s="121"/>
      <c r="X185" s="121">
        <f>VLOOKUP($C185,'1 预算编制表单'!$C:$BJ,27,FALSE)</f>
        <v>0</v>
      </c>
      <c r="Y185" s="121">
        <f>X185-Z185</f>
        <v>0</v>
      </c>
      <c r="Z185" s="121">
        <f>SUM(Z186:Z190)</f>
        <v>0</v>
      </c>
      <c r="AA185" s="121">
        <f>VLOOKUP($C185,'1 预算编制表单'!$C:$BJ,30,FALSE)</f>
        <v>0</v>
      </c>
      <c r="AB185" s="121">
        <f>AA185-AC185</f>
        <v>0</v>
      </c>
      <c r="AC185" s="121">
        <f>SUM(AC186:AC190)</f>
        <v>0</v>
      </c>
      <c r="AD185" s="121">
        <f>VLOOKUP($C185,'1 预算编制表单'!$C:$BJ,33,FALSE)</f>
        <v>0</v>
      </c>
      <c r="AE185" s="121">
        <f>AD185-AF185</f>
        <v>0</v>
      </c>
      <c r="AF185" s="121">
        <f>SUM(AF186:AF190)</f>
        <v>0</v>
      </c>
      <c r="AG185" s="121">
        <f>VLOOKUP($C185,'1 预算编制表单'!$C:$BJ,36,FALSE)</f>
        <v>0</v>
      </c>
      <c r="AH185" s="121">
        <f>AG185-AI185</f>
        <v>0</v>
      </c>
      <c r="AI185" s="121">
        <f>SUM(AI186:AI190)</f>
        <v>0</v>
      </c>
      <c r="AJ185" s="121">
        <f>VLOOKUP($C185,'1 预算编制表单'!$C:$BJ,39,FALSE)</f>
        <v>0</v>
      </c>
      <c r="AK185" s="121">
        <f>AJ185-AL185</f>
        <v>0</v>
      </c>
      <c r="AL185" s="121">
        <f>SUM(AL186:AL190)</f>
        <v>0</v>
      </c>
      <c r="AM185" s="121">
        <f>VLOOKUP($C185,'1 预算编制表单'!$C:$BJ,42,FALSE)</f>
        <v>0</v>
      </c>
      <c r="AN185" s="121">
        <f>AM185-AO185</f>
        <v>0</v>
      </c>
      <c r="AO185" s="121">
        <f>SUM(AO186:AO190)</f>
        <v>0</v>
      </c>
      <c r="AP185" s="121">
        <f>VLOOKUP($C185,'1 预算编制表单'!$C:$BJ,45,FALSE)</f>
        <v>0</v>
      </c>
      <c r="AQ185" s="121">
        <f>AP185-AR185</f>
        <v>0</v>
      </c>
      <c r="AR185" s="121">
        <f>SUM(AR186:AR190)</f>
        <v>0</v>
      </c>
      <c r="AS185" s="121">
        <f>VLOOKUP($C185,'1 预算编制表单'!$C:$BJ,48,FALSE)</f>
        <v>0</v>
      </c>
      <c r="AT185" s="121">
        <f>AS185-AU185</f>
        <v>0</v>
      </c>
      <c r="AU185" s="121">
        <f>SUM(AU186:AU190)</f>
        <v>0</v>
      </c>
      <c r="AV185" s="121">
        <f>VLOOKUP($C185,'1 预算编制表单'!$C:$BJ,51,FALSE)</f>
        <v>0</v>
      </c>
      <c r="AW185" s="121">
        <f>AV185-AX185</f>
        <v>0</v>
      </c>
      <c r="AX185" s="121">
        <f>SUM(AX186:AX190)</f>
        <v>0</v>
      </c>
      <c r="AY185" s="121">
        <f>VLOOKUP($C185,'1 预算编制表单'!$C:$BJ,54,FALSE)</f>
        <v>0</v>
      </c>
      <c r="AZ185" s="121">
        <f>AY185-BA185</f>
        <v>0</v>
      </c>
      <c r="BA185" s="121">
        <f>SUM(BA186:BA190)</f>
        <v>0</v>
      </c>
      <c r="BB185" s="121">
        <f>VLOOKUP($C185,'1 预算编制表单'!$C:$BJ,57,FALSE)</f>
        <v>0</v>
      </c>
      <c r="BC185" s="121">
        <f>BB185-BD185</f>
        <v>0</v>
      </c>
      <c r="BD185" s="121">
        <f>SUM(BD186:BD190)</f>
        <v>0</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hidden="1" customHeight="1" outlineLevel="4" spans="1:95">
      <c r="A186" s="122"/>
      <c r="B186" s="123"/>
      <c r="C186" s="124"/>
      <c r="D186" s="122"/>
      <c r="E186" s="123"/>
      <c r="F186" s="123"/>
      <c r="G186" s="123"/>
      <c r="H186" s="125"/>
      <c r="I186" s="125"/>
      <c r="J186" s="125">
        <f t="shared" si="1570"/>
        <v>0</v>
      </c>
      <c r="K186" s="125">
        <v>1</v>
      </c>
      <c r="L186" s="150"/>
      <c r="M186" s="151">
        <f>IFERROR(VLOOKUP($L186,'2-2 引出数据_合同数据仓库'!$B$5:$BP$20,3,FALSE),0)</f>
        <v>0</v>
      </c>
      <c r="N186" s="125"/>
      <c r="O186" s="151">
        <f>IFERROR(VLOOKUP((LEFT(VLOOKUP($L186,'2-2 引出数据_合同数据仓库'!$B$5:$BP$20,64,FALSE),15)&amp;(RIGHT(VLOOKUP($L186,'2-2 引出数据_合同数据仓库'!$B$5:$BP$20,64,FALSE),4)+1)),'2-2 引出数据_合同数据仓库'!$B$5:$BP$20,3,FALSE),0)</f>
        <v>0</v>
      </c>
      <c r="P186" s="125"/>
      <c r="Q186" s="125">
        <f>IFERROR(VLOOKUP($L186,'2-2 引出数据_合同数据仓库'!$B$5:$BP$20,28,FALSE),0)</f>
        <v>0</v>
      </c>
      <c r="R186" s="125">
        <f>IFERROR(VLOOKUP($L186,'2-2 引出数据_合同数据仓库'!$B$5:$BP$20,29,FALSE),0)</f>
        <v>0</v>
      </c>
      <c r="S186" s="125">
        <f>IFERROR(VLOOKUP($L186,'2-2 引出数据_合同数据仓库'!$B$5:$BP$20,4,FALSE),0)</f>
        <v>0</v>
      </c>
      <c r="T186" s="125"/>
      <c r="U186" s="125">
        <f>IFERROR(VLOOKUP($L186,'2-2 引出数据_合同数据仓库'!$B$5:$BP$20,15,FALSE),0)</f>
        <v>0</v>
      </c>
      <c r="V186" s="125">
        <f t="shared" ref="V186:V189" si="2195">U186/(S186-R186+1)*365</f>
        <v>0</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0</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0</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0</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0</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0</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0</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0</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0</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0</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0</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0</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hidden="1"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引出数据_合同数据仓库'!$B$5:$BP$20,3,FALSE),0)</f>
        <v>0</v>
      </c>
      <c r="N187" s="125"/>
      <c r="O187" s="151">
        <f>IFERROR(VLOOKUP((LEFT(VLOOKUP($L187,'2-2 引出数据_合同数据仓库'!$B$5:$BP$20,64,FALSE),15)&amp;(RIGHT(VLOOKUP($L187,'2-2 引出数据_合同数据仓库'!$B$5:$BP$20,64,FALSE),4)+1)),'2-2 引出数据_合同数据仓库'!$B$5:$BP$20,3,FALSE),0)</f>
        <v>0</v>
      </c>
      <c r="P187" s="125"/>
      <c r="Q187" s="125">
        <f>IFERROR(VLOOKUP($L187,'2-2 引出数据_合同数据仓库'!$B$5:$BP$20,28,FALSE),0)</f>
        <v>0</v>
      </c>
      <c r="R187" s="125">
        <f>IFERROR(VLOOKUP($L187,'2-2 引出数据_合同数据仓库'!$B$5:$BP$20,29,FALSE),0)</f>
        <v>0</v>
      </c>
      <c r="S187" s="125">
        <f>IFERROR(VLOOKUP($L187,'2-2 引出数据_合同数据仓库'!$B$5:$BP$20,4,FALSE),0)</f>
        <v>0</v>
      </c>
      <c r="T187" s="125"/>
      <c r="U187" s="125">
        <f>IFERROR(VLOOKUP($L187,'2-2 引出数据_合同数据仓库'!$B$5:$BP$20,15,FALSE),0)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hidden="1"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引出数据_合同数据仓库'!$B$5:$BP$20,3,FALSE),0)</f>
        <v>0</v>
      </c>
      <c r="N188" s="125"/>
      <c r="O188" s="151">
        <f>IFERROR(VLOOKUP((LEFT(VLOOKUP($L188,'2-2 引出数据_合同数据仓库'!$B$5:$BP$20,64,FALSE),15)&amp;(RIGHT(VLOOKUP($L188,'2-2 引出数据_合同数据仓库'!$B$5:$BP$20,64,FALSE),4)+1)),'2-2 引出数据_合同数据仓库'!$B$5:$BP$20,3,FALSE),0)</f>
        <v>0</v>
      </c>
      <c r="P188" s="125"/>
      <c r="Q188" s="125">
        <f>IFERROR(VLOOKUP($L188,'2-2 引出数据_合同数据仓库'!$B$5:$BP$20,28,FALSE),0)</f>
        <v>0</v>
      </c>
      <c r="R188" s="125">
        <f>IFERROR(VLOOKUP($L188,'2-2 引出数据_合同数据仓库'!$B$5:$BP$20,29,FALSE),0)</f>
        <v>0</v>
      </c>
      <c r="S188" s="125">
        <f>IFERROR(VLOOKUP($L188,'2-2 引出数据_合同数据仓库'!$B$5:$BP$20,4,FALSE),0)</f>
        <v>0</v>
      </c>
      <c r="T188" s="125"/>
      <c r="U188" s="125">
        <f>IFERROR(VLOOKUP($L188,'2-2 引出数据_合同数据仓库'!$B$5:$BP$20,15,FALSE),0)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hidden="1"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引出数据_合同数据仓库'!$B$5:$BP$20,3,FALSE),0)</f>
        <v>0</v>
      </c>
      <c r="N189" s="125"/>
      <c r="O189" s="151">
        <f>IFERROR(VLOOKUP((LEFT(VLOOKUP($L189,'2-2 引出数据_合同数据仓库'!$B$5:$BP$20,64,FALSE),15)&amp;(RIGHT(VLOOKUP($L189,'2-2 引出数据_合同数据仓库'!$B$5:$BP$20,64,FALSE),4)+1)),'2-2 引出数据_合同数据仓库'!$B$5:$BP$20,3,FALSE),0)</f>
        <v>0</v>
      </c>
      <c r="P189" s="125"/>
      <c r="Q189" s="125">
        <f>IFERROR(VLOOKUP($L189,'2-2 引出数据_合同数据仓库'!$B$5:$BP$20,28,FALSE),0)</f>
        <v>0</v>
      </c>
      <c r="R189" s="125">
        <f>IFERROR(VLOOKUP($L189,'2-2 引出数据_合同数据仓库'!$B$5:$BP$20,29,FALSE),0)</f>
        <v>0</v>
      </c>
      <c r="S189" s="125">
        <f>IFERROR(VLOOKUP($L189,'2-2 引出数据_合同数据仓库'!$B$5:$BP$20,4,FALSE),0)</f>
        <v>0</v>
      </c>
      <c r="T189" s="125"/>
      <c r="U189" s="125">
        <f>IFERROR(VLOOKUP($L189,'2-2 引出数据_合同数据仓库'!$B$5:$BP$20,15,FALSE),0)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hidden="1" customHeight="1" outlineLevel="4" spans="1:95">
      <c r="A190" s="126" t="s">
        <v>2770</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hidden="1" customHeight="1" outlineLevel="3" collapsed="1" spans="1:95">
      <c r="A191" s="118"/>
      <c r="B191" s="119" t="s">
        <v>747</v>
      </c>
      <c r="C191" s="120" t="s">
        <v>1102</v>
      </c>
      <c r="D191" s="118" t="s">
        <v>2381</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hidden="1"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引出数据_合同数据仓库'!$B$5:$BP$20,3,FALSE),0)</f>
        <v>0</v>
      </c>
      <c r="N192" s="125"/>
      <c r="O192" s="151">
        <f>IFERROR(VLOOKUP((LEFT(VLOOKUP($L192,'2-2 引出数据_合同数据仓库'!$B$5:$BP$20,64,FALSE),15)&amp;(RIGHT(VLOOKUP($L192,'2-2 引出数据_合同数据仓库'!$B$5:$BP$20,64,FALSE),4)+1)),'2-2 引出数据_合同数据仓库'!$B$5:$BP$20,3,FALSE),0)</f>
        <v>0</v>
      </c>
      <c r="P192" s="125"/>
      <c r="Q192" s="125">
        <f>IFERROR(VLOOKUP($L192,'2-2 引出数据_合同数据仓库'!$B$5:$BP$20,28,FALSE),0)</f>
        <v>0</v>
      </c>
      <c r="R192" s="125">
        <f>IFERROR(VLOOKUP($L192,'2-2 引出数据_合同数据仓库'!$B$5:$BP$20,29,FALSE),0)</f>
        <v>0</v>
      </c>
      <c r="S192" s="125">
        <f>IFERROR(VLOOKUP($L192,'2-2 引出数据_合同数据仓库'!$B$5:$BP$20,4,FALSE),0)</f>
        <v>0</v>
      </c>
      <c r="T192" s="125"/>
      <c r="U192" s="125">
        <f>IFERROR(VLOOKUP($L192,'2-2 引出数据_合同数据仓库'!$B$5:$BP$20,15,FALSE),0)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hidden="1"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引出数据_合同数据仓库'!$B$5:$BP$20,3,FALSE),0)</f>
        <v>0</v>
      </c>
      <c r="N193" s="125"/>
      <c r="O193" s="151">
        <f>IFERROR(VLOOKUP((LEFT(VLOOKUP($L193,'2-2 引出数据_合同数据仓库'!$B$5:$BP$20,64,FALSE),15)&amp;(RIGHT(VLOOKUP($L193,'2-2 引出数据_合同数据仓库'!$B$5:$BP$20,64,FALSE),4)+1)),'2-2 引出数据_合同数据仓库'!$B$5:$BP$20,3,FALSE),0)</f>
        <v>0</v>
      </c>
      <c r="P193" s="125"/>
      <c r="Q193" s="125">
        <f>IFERROR(VLOOKUP($L193,'2-2 引出数据_合同数据仓库'!$B$5:$BP$20,28,FALSE),0)</f>
        <v>0</v>
      </c>
      <c r="R193" s="125">
        <f>IFERROR(VLOOKUP($L193,'2-2 引出数据_合同数据仓库'!$B$5:$BP$20,29,FALSE),0)</f>
        <v>0</v>
      </c>
      <c r="S193" s="125">
        <f>IFERROR(VLOOKUP($L193,'2-2 引出数据_合同数据仓库'!$B$5:$BP$20,4,FALSE),0)</f>
        <v>0</v>
      </c>
      <c r="T193" s="125"/>
      <c r="U193" s="125">
        <f>IFERROR(VLOOKUP($L193,'2-2 引出数据_合同数据仓库'!$B$5:$BP$20,15,FALSE),0)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hidden="1"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引出数据_合同数据仓库'!$B$5:$BP$20,3,FALSE),0)</f>
        <v>0</v>
      </c>
      <c r="N194" s="125"/>
      <c r="O194" s="151">
        <f>IFERROR(VLOOKUP((LEFT(VLOOKUP($L194,'2-2 引出数据_合同数据仓库'!$B$5:$BP$20,64,FALSE),15)&amp;(RIGHT(VLOOKUP($L194,'2-2 引出数据_合同数据仓库'!$B$5:$BP$20,64,FALSE),4)+1)),'2-2 引出数据_合同数据仓库'!$B$5:$BP$20,3,FALSE),0)</f>
        <v>0</v>
      </c>
      <c r="P194" s="125"/>
      <c r="Q194" s="125">
        <f>IFERROR(VLOOKUP($L194,'2-2 引出数据_合同数据仓库'!$B$5:$BP$20,28,FALSE),0)</f>
        <v>0</v>
      </c>
      <c r="R194" s="125">
        <f>IFERROR(VLOOKUP($L194,'2-2 引出数据_合同数据仓库'!$B$5:$BP$20,29,FALSE),0)</f>
        <v>0</v>
      </c>
      <c r="S194" s="125">
        <f>IFERROR(VLOOKUP($L194,'2-2 引出数据_合同数据仓库'!$B$5:$BP$20,4,FALSE),0)</f>
        <v>0</v>
      </c>
      <c r="T194" s="125"/>
      <c r="U194" s="125">
        <f>IFERROR(VLOOKUP($L194,'2-2 引出数据_合同数据仓库'!$B$5:$BP$20,15,FALSE),0)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hidden="1"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引出数据_合同数据仓库'!$B$5:$BP$20,3,FALSE),0)</f>
        <v>0</v>
      </c>
      <c r="N195" s="125"/>
      <c r="O195" s="151">
        <f>IFERROR(VLOOKUP((LEFT(VLOOKUP($L195,'2-2 引出数据_合同数据仓库'!$B$5:$BP$20,64,FALSE),15)&amp;(RIGHT(VLOOKUP($L195,'2-2 引出数据_合同数据仓库'!$B$5:$BP$20,64,FALSE),4)+1)),'2-2 引出数据_合同数据仓库'!$B$5:$BP$20,3,FALSE),0)</f>
        <v>0</v>
      </c>
      <c r="P195" s="125"/>
      <c r="Q195" s="125">
        <f>IFERROR(VLOOKUP($L195,'2-2 引出数据_合同数据仓库'!$B$5:$BP$20,28,FALSE),0)</f>
        <v>0</v>
      </c>
      <c r="R195" s="125">
        <f>IFERROR(VLOOKUP($L195,'2-2 引出数据_合同数据仓库'!$B$5:$BP$20,29,FALSE),0)</f>
        <v>0</v>
      </c>
      <c r="S195" s="125">
        <f>IFERROR(VLOOKUP($L195,'2-2 引出数据_合同数据仓库'!$B$5:$BP$20,4,FALSE),0)</f>
        <v>0</v>
      </c>
      <c r="T195" s="125"/>
      <c r="U195" s="125">
        <f>IFERROR(VLOOKUP($L195,'2-2 引出数据_合同数据仓库'!$B$5:$BP$20,15,FALSE),0)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hidden="1" customHeight="1" outlineLevel="4" spans="1:95">
      <c r="A196" s="126" t="s">
        <v>2770</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hidden="1" customHeight="1" outlineLevel="3" collapsed="1" spans="1:95">
      <c r="A197" s="118"/>
      <c r="B197" s="119" t="s">
        <v>747</v>
      </c>
      <c r="C197" s="120" t="s">
        <v>1104</v>
      </c>
      <c r="D197" s="118" t="s">
        <v>2382</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hidden="1"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引出数据_合同数据仓库'!$B$5:$BP$20,3,FALSE),0)</f>
        <v>0</v>
      </c>
      <c r="N198" s="125"/>
      <c r="O198" s="151">
        <f>IFERROR(VLOOKUP((LEFT(VLOOKUP($L198,'2-2 引出数据_合同数据仓库'!$B$5:$BP$20,64,FALSE),15)&amp;(RIGHT(VLOOKUP($L198,'2-2 引出数据_合同数据仓库'!$B$5:$BP$20,64,FALSE),4)+1)),'2-2 引出数据_合同数据仓库'!$B$5:$BP$20,3,FALSE),0)</f>
        <v>0</v>
      </c>
      <c r="P198" s="125"/>
      <c r="Q198" s="125">
        <f>IFERROR(VLOOKUP($L198,'2-2 引出数据_合同数据仓库'!$B$5:$BP$20,28,FALSE),0)</f>
        <v>0</v>
      </c>
      <c r="R198" s="125">
        <f>IFERROR(VLOOKUP($L198,'2-2 引出数据_合同数据仓库'!$B$5:$BP$20,29,FALSE),0)</f>
        <v>0</v>
      </c>
      <c r="S198" s="125">
        <f>IFERROR(VLOOKUP($L198,'2-2 引出数据_合同数据仓库'!$B$5:$BP$20,4,FALSE),0)</f>
        <v>0</v>
      </c>
      <c r="T198" s="125"/>
      <c r="U198" s="125">
        <f>IFERROR(VLOOKUP($L198,'2-2 引出数据_合同数据仓库'!$B$5:$BP$20,15,FALSE),0)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hidden="1"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引出数据_合同数据仓库'!$B$5:$BP$20,3,FALSE),0)</f>
        <v>0</v>
      </c>
      <c r="N199" s="125"/>
      <c r="O199" s="151">
        <f>IFERROR(VLOOKUP((LEFT(VLOOKUP($L199,'2-2 引出数据_合同数据仓库'!$B$5:$BP$20,64,FALSE),15)&amp;(RIGHT(VLOOKUP($L199,'2-2 引出数据_合同数据仓库'!$B$5:$BP$20,64,FALSE),4)+1)),'2-2 引出数据_合同数据仓库'!$B$5:$BP$20,3,FALSE),0)</f>
        <v>0</v>
      </c>
      <c r="P199" s="125"/>
      <c r="Q199" s="125">
        <f>IFERROR(VLOOKUP($L199,'2-2 引出数据_合同数据仓库'!$B$5:$BP$20,28,FALSE),0)</f>
        <v>0</v>
      </c>
      <c r="R199" s="125">
        <f>IFERROR(VLOOKUP($L199,'2-2 引出数据_合同数据仓库'!$B$5:$BP$20,29,FALSE),0)</f>
        <v>0</v>
      </c>
      <c r="S199" s="125">
        <f>IFERROR(VLOOKUP($L199,'2-2 引出数据_合同数据仓库'!$B$5:$BP$20,4,FALSE),0)</f>
        <v>0</v>
      </c>
      <c r="T199" s="125"/>
      <c r="U199" s="125">
        <f>IFERROR(VLOOKUP($L199,'2-2 引出数据_合同数据仓库'!$B$5:$BP$20,15,FALSE),0)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hidden="1"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引出数据_合同数据仓库'!$B$5:$BP$20,3,FALSE),0)</f>
        <v>0</v>
      </c>
      <c r="N200" s="125"/>
      <c r="O200" s="151">
        <f>IFERROR(VLOOKUP((LEFT(VLOOKUP($L200,'2-2 引出数据_合同数据仓库'!$B$5:$BP$20,64,FALSE),15)&amp;(RIGHT(VLOOKUP($L200,'2-2 引出数据_合同数据仓库'!$B$5:$BP$20,64,FALSE),4)+1)),'2-2 引出数据_合同数据仓库'!$B$5:$BP$20,3,FALSE),0)</f>
        <v>0</v>
      </c>
      <c r="P200" s="125"/>
      <c r="Q200" s="125">
        <f>IFERROR(VLOOKUP($L200,'2-2 引出数据_合同数据仓库'!$B$5:$BP$20,28,FALSE),0)</f>
        <v>0</v>
      </c>
      <c r="R200" s="125">
        <f>IFERROR(VLOOKUP($L200,'2-2 引出数据_合同数据仓库'!$B$5:$BP$20,29,FALSE),0)</f>
        <v>0</v>
      </c>
      <c r="S200" s="125">
        <f>IFERROR(VLOOKUP($L200,'2-2 引出数据_合同数据仓库'!$B$5:$BP$20,4,FALSE),0)</f>
        <v>0</v>
      </c>
      <c r="T200" s="125"/>
      <c r="U200" s="125">
        <f>IFERROR(VLOOKUP($L200,'2-2 引出数据_合同数据仓库'!$B$5:$BP$20,15,FALSE),0)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hidden="1"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引出数据_合同数据仓库'!$B$5:$BP$20,3,FALSE),0)</f>
        <v>0</v>
      </c>
      <c r="N201" s="125"/>
      <c r="O201" s="151">
        <f>IFERROR(VLOOKUP((LEFT(VLOOKUP($L201,'2-2 引出数据_合同数据仓库'!$B$5:$BP$20,64,FALSE),15)&amp;(RIGHT(VLOOKUP($L201,'2-2 引出数据_合同数据仓库'!$B$5:$BP$20,64,FALSE),4)+1)),'2-2 引出数据_合同数据仓库'!$B$5:$BP$20,3,FALSE),0)</f>
        <v>0</v>
      </c>
      <c r="P201" s="125"/>
      <c r="Q201" s="125">
        <f>IFERROR(VLOOKUP($L201,'2-2 引出数据_合同数据仓库'!$B$5:$BP$20,28,FALSE),0)</f>
        <v>0</v>
      </c>
      <c r="R201" s="125">
        <f>IFERROR(VLOOKUP($L201,'2-2 引出数据_合同数据仓库'!$B$5:$BP$20,29,FALSE),0)</f>
        <v>0</v>
      </c>
      <c r="S201" s="125">
        <f>IFERROR(VLOOKUP($L201,'2-2 引出数据_合同数据仓库'!$B$5:$BP$20,4,FALSE),0)</f>
        <v>0</v>
      </c>
      <c r="T201" s="125"/>
      <c r="U201" s="125">
        <f>IFERROR(VLOOKUP($L201,'2-2 引出数据_合同数据仓库'!$B$5:$BP$20,15,FALSE),0)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hidden="1" customHeight="1" outlineLevel="4" spans="1:95">
      <c r="A202" s="126" t="s">
        <v>2770</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hidden="1" customHeight="1" outlineLevel="2" collapsed="1" spans="1:95">
      <c r="A203" s="48"/>
      <c r="B203" s="115" t="s">
        <v>747</v>
      </c>
      <c r="C203" s="116" t="s">
        <v>46</v>
      </c>
      <c r="D203" s="48" t="s">
        <v>47</v>
      </c>
      <c r="E203" s="115" t="s">
        <v>1124</v>
      </c>
      <c r="F203" s="115"/>
      <c r="G203" s="115" t="s">
        <v>751</v>
      </c>
      <c r="H203" s="117">
        <f>X203+AA203+AD203+AG203+AJ203+AM203+AP203+AS203+AV203+AY203+BB203+BE203</f>
        <v>0</v>
      </c>
      <c r="I203" s="117">
        <f>Y203+AB203+AE203+AH203+AK203+AN203+AQ203+AT203+AW203+AZ203+BC203+BF203</f>
        <v>0</v>
      </c>
      <c r="J203" s="117">
        <f t="shared" si="2339"/>
        <v>0</v>
      </c>
      <c r="K203" s="117"/>
      <c r="L203" s="148"/>
      <c r="M203" s="148"/>
      <c r="N203" s="117"/>
      <c r="O203" s="117"/>
      <c r="P203" s="117"/>
      <c r="Q203" s="117"/>
      <c r="R203" s="117"/>
      <c r="S203" s="117"/>
      <c r="T203" s="117"/>
      <c r="U203" s="117"/>
      <c r="V203" s="117"/>
      <c r="W203" s="117"/>
      <c r="X203" s="117">
        <f>VLOOKUP($C203,'1 预算编制表单'!$C:$BJ,27,FALSE)</f>
        <v>0</v>
      </c>
      <c r="Y203" s="117">
        <f>X203-Z203</f>
        <v>0</v>
      </c>
      <c r="Z203" s="117">
        <f>SUM(Z204:Z208)</f>
        <v>0</v>
      </c>
      <c r="AA203" s="117">
        <f>VLOOKUP($C203,'1 预算编制表单'!$C:$BJ,30,FALSE)</f>
        <v>0</v>
      </c>
      <c r="AB203" s="117">
        <f>AA203-AC203</f>
        <v>0</v>
      </c>
      <c r="AC203" s="117">
        <f>SUM(AC204:AC208)</f>
        <v>0</v>
      </c>
      <c r="AD203" s="117">
        <f>VLOOKUP($C203,'1 预算编制表单'!$C:$BJ,33,FALSE)</f>
        <v>0</v>
      </c>
      <c r="AE203" s="117">
        <f>AD203-AF203</f>
        <v>0</v>
      </c>
      <c r="AF203" s="117">
        <f>SUM(AF204:AF208)</f>
        <v>0</v>
      </c>
      <c r="AG203" s="117">
        <f>VLOOKUP($C203,'1 预算编制表单'!$C:$BJ,36,FALSE)</f>
        <v>0</v>
      </c>
      <c r="AH203" s="117">
        <f>AG203-AI203</f>
        <v>0</v>
      </c>
      <c r="AI203" s="117">
        <f>SUM(AI204:AI208)</f>
        <v>0</v>
      </c>
      <c r="AJ203" s="117">
        <f>VLOOKUP($C203,'1 预算编制表单'!$C:$BJ,39,FALSE)</f>
        <v>0</v>
      </c>
      <c r="AK203" s="117">
        <f>AJ203-AL203</f>
        <v>0</v>
      </c>
      <c r="AL203" s="117">
        <f>SUM(AL204:AL208)</f>
        <v>0</v>
      </c>
      <c r="AM203" s="117">
        <f>VLOOKUP($C203,'1 预算编制表单'!$C:$BJ,42,FALSE)</f>
        <v>0</v>
      </c>
      <c r="AN203" s="117">
        <f>AM203-AO203</f>
        <v>0</v>
      </c>
      <c r="AO203" s="117">
        <f>SUM(AO204:AO208)</f>
        <v>0</v>
      </c>
      <c r="AP203" s="117">
        <f>VLOOKUP($C203,'1 预算编制表单'!$C:$BJ,45,FALSE)</f>
        <v>0</v>
      </c>
      <c r="AQ203" s="117">
        <f>AP203-AR203</f>
        <v>0</v>
      </c>
      <c r="AR203" s="117">
        <f>SUM(AR204:AR208)</f>
        <v>0</v>
      </c>
      <c r="AS203" s="117">
        <f>VLOOKUP($C203,'1 预算编制表单'!$C:$BJ,48,FALSE)</f>
        <v>0</v>
      </c>
      <c r="AT203" s="117">
        <f>AS203-AU203</f>
        <v>0</v>
      </c>
      <c r="AU203" s="117">
        <f>SUM(AU204:AU208)</f>
        <v>0</v>
      </c>
      <c r="AV203" s="117">
        <f>VLOOKUP($C203,'1 预算编制表单'!$C:$BJ,51,FALSE)</f>
        <v>0</v>
      </c>
      <c r="AW203" s="117">
        <f>AV203-AX203</f>
        <v>0</v>
      </c>
      <c r="AX203" s="117">
        <f>SUM(AX204:AX208)</f>
        <v>0</v>
      </c>
      <c r="AY203" s="117">
        <f>VLOOKUP($C203,'1 预算编制表单'!$C:$BJ,54,FALSE)</f>
        <v>0</v>
      </c>
      <c r="AZ203" s="117">
        <f>AY203-BA203</f>
        <v>0</v>
      </c>
      <c r="BA203" s="117">
        <f>SUM(BA204:BA208)</f>
        <v>0</v>
      </c>
      <c r="BB203" s="117">
        <f>VLOOKUP($C203,'1 预算编制表单'!$C:$BJ,57,FALSE)</f>
        <v>0</v>
      </c>
      <c r="BC203" s="117">
        <f>BB203-BD203</f>
        <v>0</v>
      </c>
      <c r="BD203" s="117">
        <f>SUM(BD204:BD208)</f>
        <v>0</v>
      </c>
      <c r="BE203" s="117">
        <f>VLOOKUP($C203,'1 预算编制表单'!$C:$BJ,60,FALSE)</f>
        <v>0</v>
      </c>
      <c r="BF203" s="117">
        <f>BE203-BG203</f>
        <v>0</v>
      </c>
      <c r="BG203" s="117">
        <f>SUM(BG204:BG208)</f>
        <v>0</v>
      </c>
      <c r="BH203" s="117">
        <f>VLOOKUP($C203,'1 预算编制表单'!$C:$BJ,27,FALSE)</f>
        <v>0</v>
      </c>
      <c r="BI203" s="117">
        <f>BH203-BJ203</f>
        <v>0</v>
      </c>
      <c r="BJ203" s="117">
        <f>SUM(BJ204:BJ208)</f>
        <v>0</v>
      </c>
      <c r="BK203" s="117">
        <f>VLOOKUP($C203,'1 预算编制表单'!$C:$BJ,30,FALSE)</f>
        <v>0</v>
      </c>
      <c r="BL203" s="117">
        <f>BK203-BM203</f>
        <v>0</v>
      </c>
      <c r="BM203" s="117">
        <f>SUM(BM204:BM208)</f>
        <v>0</v>
      </c>
      <c r="BN203" s="117">
        <f>VLOOKUP($C203,'1 预算编制表单'!$C:$BJ,33,FALSE)</f>
        <v>0</v>
      </c>
      <c r="BO203" s="117">
        <f>BN203-BP203</f>
        <v>0</v>
      </c>
      <c r="BP203" s="117">
        <f>SUM(BP204:BP208)</f>
        <v>0</v>
      </c>
      <c r="BQ203" s="117">
        <f>VLOOKUP($C203,'1 预算编制表单'!$C:$BJ,36,FALSE)</f>
        <v>0</v>
      </c>
      <c r="BR203" s="117">
        <f>BQ203-BS203</f>
        <v>0</v>
      </c>
      <c r="BS203" s="117">
        <f>SUM(BS204:BS208)</f>
        <v>0</v>
      </c>
      <c r="BT203" s="117">
        <f>VLOOKUP($C203,'1 预算编制表单'!$C:$BJ,39,FALSE)</f>
        <v>0</v>
      </c>
      <c r="BU203" s="117">
        <f>BT203-BV203</f>
        <v>0</v>
      </c>
      <c r="BV203" s="117">
        <f>SUM(BV204:BV208)</f>
        <v>0</v>
      </c>
      <c r="BW203" s="117">
        <f>VLOOKUP($C203,'1 预算编制表单'!$C:$BJ,42,FALSE)</f>
        <v>0</v>
      </c>
      <c r="BX203" s="117">
        <f>BW203-BY203</f>
        <v>0</v>
      </c>
      <c r="BY203" s="117">
        <f>SUM(BY204:BY208)</f>
        <v>0</v>
      </c>
      <c r="BZ203" s="117">
        <f>VLOOKUP($C203,'1 预算编制表单'!$C:$BJ,45,FALSE)</f>
        <v>0</v>
      </c>
      <c r="CA203" s="117">
        <f>BZ203-CB203</f>
        <v>0</v>
      </c>
      <c r="CB203" s="117">
        <f>SUM(CB204:CB208)</f>
        <v>0</v>
      </c>
      <c r="CC203" s="117">
        <f>VLOOKUP($C203,'1 预算编制表单'!$C:$BJ,48,FALSE)</f>
        <v>0</v>
      </c>
      <c r="CD203" s="117">
        <f>CC203-CE203</f>
        <v>0</v>
      </c>
      <c r="CE203" s="117">
        <f>SUM(CE204:CE208)</f>
        <v>0</v>
      </c>
      <c r="CF203" s="117">
        <f>VLOOKUP($C203,'1 预算编制表单'!$C:$BJ,51,FALSE)</f>
        <v>0</v>
      </c>
      <c r="CG203" s="117">
        <f>CF203-CH203</f>
        <v>0</v>
      </c>
      <c r="CH203" s="117">
        <f>SUM(CH204:CH208)</f>
        <v>0</v>
      </c>
      <c r="CI203" s="117">
        <f>VLOOKUP($C203,'1 预算编制表单'!$C:$BJ,54,FALSE)</f>
        <v>0</v>
      </c>
      <c r="CJ203" s="117">
        <f>CI203-CK203</f>
        <v>0</v>
      </c>
      <c r="CK203" s="117">
        <f>SUM(CK204:CK208)</f>
        <v>0</v>
      </c>
      <c r="CL203" s="117">
        <f>VLOOKUP($C203,'1 预算编制表单'!$C:$BJ,57,FALSE)</f>
        <v>0</v>
      </c>
      <c r="CM203" s="117">
        <f>CL203-CN203</f>
        <v>0</v>
      </c>
      <c r="CN203" s="117">
        <f>SUM(CN204:CN208)</f>
        <v>0</v>
      </c>
      <c r="CO203" s="117">
        <f>VLOOKUP($C203,'1 预算编制表单'!$C:$BJ,60,FALSE)</f>
        <v>0</v>
      </c>
      <c r="CP203" s="117">
        <f>CO203-CQ203</f>
        <v>0</v>
      </c>
      <c r="CQ203" s="117">
        <f>SUM(CQ204:CQ208)</f>
        <v>0</v>
      </c>
    </row>
    <row r="204" s="83" customFormat="1" ht="24" hidden="1" customHeight="1" outlineLevel="3" spans="1:95">
      <c r="A204" s="122"/>
      <c r="B204" s="123"/>
      <c r="C204" s="124"/>
      <c r="D204" s="122"/>
      <c r="E204" s="123"/>
      <c r="F204" s="123"/>
      <c r="G204" s="123"/>
      <c r="H204" s="125"/>
      <c r="I204" s="125"/>
      <c r="J204" s="125">
        <f t="shared" si="2339"/>
        <v>0</v>
      </c>
      <c r="K204" s="125">
        <v>1</v>
      </c>
      <c r="L204" s="150"/>
      <c r="M204" s="151">
        <f>IFERROR(VLOOKUP($L204,'2-2 引出数据_合同数据仓库'!$B$5:$BP$20,3,FALSE),0)</f>
        <v>0</v>
      </c>
      <c r="N204" s="125"/>
      <c r="O204" s="151">
        <f>IFERROR(VLOOKUP((LEFT(VLOOKUP($L204,'2-2 引出数据_合同数据仓库'!$B$5:$BP$20,64,FALSE),15)&amp;(RIGHT(VLOOKUP($L204,'2-2 引出数据_合同数据仓库'!$B$5:$BP$20,64,FALSE),4)+1)),'2-2 引出数据_合同数据仓库'!$B$5:$BP$20,3,FALSE),0)</f>
        <v>0</v>
      </c>
      <c r="P204" s="125"/>
      <c r="Q204" s="125">
        <f>IFERROR(VLOOKUP($L204,'2-2 引出数据_合同数据仓库'!$B$5:$BP$20,28,FALSE),0)</f>
        <v>0</v>
      </c>
      <c r="R204" s="125">
        <f>IFERROR(VLOOKUP($L204,'2-2 引出数据_合同数据仓库'!$B$5:$BP$20,29,FALSE),0)</f>
        <v>0</v>
      </c>
      <c r="S204" s="125">
        <f>IFERROR(VLOOKUP($L204,'2-2 引出数据_合同数据仓库'!$B$5:$BP$20,4,FALSE),0)</f>
        <v>0</v>
      </c>
      <c r="T204" s="125"/>
      <c r="U204" s="125">
        <f>IFERROR(VLOOKUP($L204,'2-2 引出数据_合同数据仓库'!$B$5:$BP$20,15,FALSE),0)</f>
        <v>0</v>
      </c>
      <c r="V204" s="125">
        <f t="shared" ref="V204:V207" si="2412">U204/(S204-R204+1)*365</f>
        <v>0</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0</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0</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0</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0</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0</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0</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0</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0</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0</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0</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0</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0</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hidden="1"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引出数据_合同数据仓库'!$B$5:$BP$20,3,FALSE),0)</f>
        <v>0</v>
      </c>
      <c r="N205" s="125"/>
      <c r="O205" s="151">
        <f>IFERROR(VLOOKUP((LEFT(VLOOKUP($L205,'2-2 引出数据_合同数据仓库'!$B$5:$BP$20,64,FALSE),15)&amp;(RIGHT(VLOOKUP($L205,'2-2 引出数据_合同数据仓库'!$B$5:$BP$20,64,FALSE),4)+1)),'2-2 引出数据_合同数据仓库'!$B$5:$BP$20,3,FALSE),0)</f>
        <v>0</v>
      </c>
      <c r="P205" s="125"/>
      <c r="Q205" s="125">
        <f>IFERROR(VLOOKUP($L205,'2-2 引出数据_合同数据仓库'!$B$5:$BP$20,28,FALSE),0)</f>
        <v>0</v>
      </c>
      <c r="R205" s="125">
        <f>IFERROR(VLOOKUP($L205,'2-2 引出数据_合同数据仓库'!$B$5:$BP$20,29,FALSE),0)</f>
        <v>0</v>
      </c>
      <c r="S205" s="125">
        <f>IFERROR(VLOOKUP($L205,'2-2 引出数据_合同数据仓库'!$B$5:$BP$20,4,FALSE),0)</f>
        <v>0</v>
      </c>
      <c r="T205" s="125"/>
      <c r="U205" s="125">
        <f>IFERROR(VLOOKUP($L205,'2-2 引出数据_合同数据仓库'!$B$5:$BP$20,15,FALSE),0)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hidden="1"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引出数据_合同数据仓库'!$B$5:$BP$20,3,FALSE),0)</f>
        <v>0</v>
      </c>
      <c r="N206" s="125"/>
      <c r="O206" s="151">
        <f>IFERROR(VLOOKUP((LEFT(VLOOKUP($L206,'2-2 引出数据_合同数据仓库'!$B$5:$BP$20,64,FALSE),15)&amp;(RIGHT(VLOOKUP($L206,'2-2 引出数据_合同数据仓库'!$B$5:$BP$20,64,FALSE),4)+1)),'2-2 引出数据_合同数据仓库'!$B$5:$BP$20,3,FALSE),0)</f>
        <v>0</v>
      </c>
      <c r="P206" s="125"/>
      <c r="Q206" s="125">
        <f>IFERROR(VLOOKUP($L206,'2-2 引出数据_合同数据仓库'!$B$5:$BP$20,28,FALSE),0)</f>
        <v>0</v>
      </c>
      <c r="R206" s="125">
        <f>IFERROR(VLOOKUP($L206,'2-2 引出数据_合同数据仓库'!$B$5:$BP$20,29,FALSE),0)</f>
        <v>0</v>
      </c>
      <c r="S206" s="125">
        <f>IFERROR(VLOOKUP($L206,'2-2 引出数据_合同数据仓库'!$B$5:$BP$20,4,FALSE),0)</f>
        <v>0</v>
      </c>
      <c r="T206" s="125"/>
      <c r="U206" s="125">
        <f>IFERROR(VLOOKUP($L206,'2-2 引出数据_合同数据仓库'!$B$5:$BP$20,15,FALSE),0)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hidden="1" customHeight="1" outlineLevel="3" collapsed="1" spans="1:95">
      <c r="A207" s="122"/>
      <c r="B207" s="123"/>
      <c r="C207" s="124"/>
      <c r="D207" s="122"/>
      <c r="E207" s="123"/>
      <c r="F207" s="123"/>
      <c r="G207" s="123"/>
      <c r="H207" s="125"/>
      <c r="I207" s="125"/>
      <c r="J207" s="125">
        <f t="shared" si="2339"/>
        <v>0</v>
      </c>
      <c r="K207" s="125">
        <f t="shared" si="2483"/>
        <v>4</v>
      </c>
      <c r="L207" s="150"/>
      <c r="M207" s="151">
        <f>IFERROR(VLOOKUP($L207,'2-2 引出数据_合同数据仓库'!$B$5:$BP$20,3,FALSE),0)</f>
        <v>0</v>
      </c>
      <c r="N207" s="125"/>
      <c r="O207" s="151">
        <f>IFERROR(VLOOKUP((LEFT(VLOOKUP($L207,'2-2 引出数据_合同数据仓库'!$B$5:$BP$20,64,FALSE),15)&amp;(RIGHT(VLOOKUP($L207,'2-2 引出数据_合同数据仓库'!$B$5:$BP$20,64,FALSE),4)+1)),'2-2 引出数据_合同数据仓库'!$B$5:$BP$20,3,FALSE),0)</f>
        <v>0</v>
      </c>
      <c r="P207" s="125"/>
      <c r="Q207" s="125">
        <f>IFERROR(VLOOKUP($L207,'2-2 引出数据_合同数据仓库'!$B$5:$BP$20,28,FALSE),0)</f>
        <v>0</v>
      </c>
      <c r="R207" s="125">
        <f>IFERROR(VLOOKUP($L207,'2-2 引出数据_合同数据仓库'!$B$5:$BP$20,29,FALSE),0)</f>
        <v>0</v>
      </c>
      <c r="S207" s="125">
        <f>IFERROR(VLOOKUP($L207,'2-2 引出数据_合同数据仓库'!$B$5:$BP$20,4,FALSE),0)</f>
        <v>0</v>
      </c>
      <c r="T207" s="125"/>
      <c r="U207" s="125">
        <f>IFERROR(VLOOKUP($L207,'2-2 引出数据_合同数据仓库'!$B$5:$BP$20,15,FALSE),0)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hidden="1" customHeight="1" outlineLevel="4" spans="1:95">
      <c r="A208" s="126" t="s">
        <v>2770</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hidden="1" customHeight="1" outlineLevel="2" collapsed="1" spans="1:95">
      <c r="A209" s="48"/>
      <c r="B209" s="115" t="s">
        <v>742</v>
      </c>
      <c r="C209" s="116" t="s">
        <v>36</v>
      </c>
      <c r="D209" s="48" t="s">
        <v>37</v>
      </c>
      <c r="E209" s="115"/>
      <c r="F209" s="115"/>
      <c r="G209" s="115"/>
      <c r="H209" s="117">
        <f>X209+AA209+AD209+AG209+AJ209+AM209+AP209+AS209+AV209+AY209+BB209+BE209</f>
        <v>0</v>
      </c>
      <c r="I209" s="117">
        <f>Y209+AB209+AE209+AH209+AK209+AN209+AQ209+AT209+AW209+AZ209+BC209+BF209</f>
        <v>0</v>
      </c>
      <c r="J209" s="117">
        <f t="shared" si="2339"/>
        <v>0</v>
      </c>
      <c r="K209" s="117"/>
      <c r="L209" s="148"/>
      <c r="M209" s="148"/>
      <c r="N209" s="117"/>
      <c r="O209" s="117"/>
      <c r="P209" s="117"/>
      <c r="Q209" s="117"/>
      <c r="R209" s="117"/>
      <c r="S209" s="117"/>
      <c r="T209" s="117"/>
      <c r="U209" s="117"/>
      <c r="V209" s="117"/>
      <c r="W209" s="117"/>
      <c r="X209" s="117">
        <f>VLOOKUP($C209,'1 预算编制表单'!$C:$BJ,27,FALSE)</f>
        <v>0</v>
      </c>
      <c r="Y209" s="117">
        <f>X209-Z209</f>
        <v>0</v>
      </c>
      <c r="Z209" s="117">
        <f>Z210+Z216+Z222+Z228+Z234+Z240+Z246</f>
        <v>0</v>
      </c>
      <c r="AA209" s="117">
        <f>VLOOKUP($C209,'1 预算编制表单'!$C:$BJ,30,FALSE)</f>
        <v>0</v>
      </c>
      <c r="AB209" s="117">
        <f>AA209-AC209</f>
        <v>0</v>
      </c>
      <c r="AC209" s="117">
        <f>AC210+AC216+AC222+AC228+AC234+AC240+AC246</f>
        <v>0</v>
      </c>
      <c r="AD209" s="117">
        <f>VLOOKUP($C209,'1 预算编制表单'!$C:$BJ,33,FALSE)</f>
        <v>0</v>
      </c>
      <c r="AE209" s="117">
        <f>AD209-AF209</f>
        <v>0</v>
      </c>
      <c r="AF209" s="117">
        <f>AF210+AF216+AF222+AF228+AF234+AF240+AF246</f>
        <v>0</v>
      </c>
      <c r="AG209" s="117">
        <f>VLOOKUP($C209,'1 预算编制表单'!$C:$BJ,36,FALSE)</f>
        <v>0</v>
      </c>
      <c r="AH209" s="117">
        <f>AG209-AI209</f>
        <v>0</v>
      </c>
      <c r="AI209" s="117">
        <f>AI210+AI216+AI222+AI228+AI234+AI240+AI246</f>
        <v>0</v>
      </c>
      <c r="AJ209" s="117">
        <f>VLOOKUP($C209,'1 预算编制表单'!$C:$BJ,39,FALSE)</f>
        <v>0</v>
      </c>
      <c r="AK209" s="117">
        <f>AJ209-AL209</f>
        <v>0</v>
      </c>
      <c r="AL209" s="117">
        <f>AL210+AL216+AL222+AL228+AL234+AL240+AL246</f>
        <v>0</v>
      </c>
      <c r="AM209" s="117">
        <f>VLOOKUP($C209,'1 预算编制表单'!$C:$BJ,42,FALSE)</f>
        <v>0</v>
      </c>
      <c r="AN209" s="117">
        <f>AM209-AO209</f>
        <v>0</v>
      </c>
      <c r="AO209" s="117">
        <f>AO210+AO216+AO222+AO228+AO234+AO240+AO246</f>
        <v>0</v>
      </c>
      <c r="AP209" s="117">
        <f>VLOOKUP($C209,'1 预算编制表单'!$C:$BJ,45,FALSE)</f>
        <v>0</v>
      </c>
      <c r="AQ209" s="117">
        <f>AP209-AR209</f>
        <v>0</v>
      </c>
      <c r="AR209" s="117">
        <f>AR210+AR216+AR222+AR228+AR234+AR240+AR246</f>
        <v>0</v>
      </c>
      <c r="AS209" s="117">
        <f>VLOOKUP($C209,'1 预算编制表单'!$C:$BJ,48,FALSE)</f>
        <v>0</v>
      </c>
      <c r="AT209" s="117">
        <f>AS209-AU209</f>
        <v>0</v>
      </c>
      <c r="AU209" s="117">
        <f>AU210+AU216+AU222+AU228+AU234+AU240+AU246</f>
        <v>0</v>
      </c>
      <c r="AV209" s="117">
        <f>VLOOKUP($C209,'1 预算编制表单'!$C:$BJ,51,FALSE)</f>
        <v>0</v>
      </c>
      <c r="AW209" s="117">
        <f>AV209-AX209</f>
        <v>0</v>
      </c>
      <c r="AX209" s="117">
        <f>AX210+AX216+AX222+AX228+AX234+AX240+AX246</f>
        <v>0</v>
      </c>
      <c r="AY209" s="117">
        <f>VLOOKUP($C209,'1 预算编制表单'!$C:$BJ,54,FALSE)</f>
        <v>0</v>
      </c>
      <c r="AZ209" s="117">
        <f>AY209-BA209</f>
        <v>0</v>
      </c>
      <c r="BA209" s="117">
        <f>BA210+BA216+BA222+BA228+BA234+BA240+BA246</f>
        <v>0</v>
      </c>
      <c r="BB209" s="117">
        <f>VLOOKUP($C209,'1 预算编制表单'!$C:$BJ,57,FALSE)</f>
        <v>0</v>
      </c>
      <c r="BC209" s="117">
        <f>BB209-BD209</f>
        <v>0</v>
      </c>
      <c r="BD209" s="117">
        <f>BD210+BD216+BD222+BD228+BD234+BD240+BD246</f>
        <v>0</v>
      </c>
      <c r="BE209" s="117">
        <f>VLOOKUP($C209,'1 预算编制表单'!$C:$BJ,60,FALSE)</f>
        <v>0</v>
      </c>
      <c r="BF209" s="117">
        <f>BE209-BG209</f>
        <v>0</v>
      </c>
      <c r="BG209" s="117">
        <f>BG210+BG216+BG222+BG228+BG234+BG240+BG246</f>
        <v>0</v>
      </c>
      <c r="BH209" s="117">
        <f>VLOOKUP($C209,'1 预算编制表单'!$C:$BJ,27,FALSE)</f>
        <v>0</v>
      </c>
      <c r="BI209" s="117">
        <f>BH209-BJ209</f>
        <v>0</v>
      </c>
      <c r="BJ209" s="117">
        <f>BJ210+BJ216+BJ222+BJ228+BJ234+BJ240+BJ246</f>
        <v>0</v>
      </c>
      <c r="BK209" s="117">
        <f>VLOOKUP($C209,'1 预算编制表单'!$C:$BJ,30,FALSE)</f>
        <v>0</v>
      </c>
      <c r="BL209" s="117">
        <f>BK209-BM209</f>
        <v>0</v>
      </c>
      <c r="BM209" s="117">
        <f>BM210+BM216+BM222+BM228+BM234+BM240+BM246</f>
        <v>0</v>
      </c>
      <c r="BN209" s="117">
        <f>VLOOKUP($C209,'1 预算编制表单'!$C:$BJ,33,FALSE)</f>
        <v>0</v>
      </c>
      <c r="BO209" s="117">
        <f>BN209-BP209</f>
        <v>0</v>
      </c>
      <c r="BP209" s="117">
        <f>BP210+BP216+BP222+BP228+BP234+BP240+BP246</f>
        <v>0</v>
      </c>
      <c r="BQ209" s="117">
        <f>VLOOKUP($C209,'1 预算编制表单'!$C:$BJ,36,FALSE)</f>
        <v>0</v>
      </c>
      <c r="BR209" s="117">
        <f>BQ209-BS209</f>
        <v>0</v>
      </c>
      <c r="BS209" s="117">
        <f>BS210+BS216+BS222+BS228+BS234+BS240+BS246</f>
        <v>0</v>
      </c>
      <c r="BT209" s="117">
        <f>VLOOKUP($C209,'1 预算编制表单'!$C:$BJ,39,FALSE)</f>
        <v>0</v>
      </c>
      <c r="BU209" s="117">
        <f>BT209-BV209</f>
        <v>0</v>
      </c>
      <c r="BV209" s="117">
        <f>BV210+BV216+BV222+BV228+BV234+BV240+BV246</f>
        <v>0</v>
      </c>
      <c r="BW209" s="117">
        <f>VLOOKUP($C209,'1 预算编制表单'!$C:$BJ,42,FALSE)</f>
        <v>0</v>
      </c>
      <c r="BX209" s="117">
        <f>BW209-BY209</f>
        <v>0</v>
      </c>
      <c r="BY209" s="117">
        <f>BY210+BY216+BY222+BY228+BY234+BY240+BY246</f>
        <v>0</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hidden="1" customHeight="1" outlineLevel="3" collapsed="1" spans="1:95">
      <c r="A210" s="118"/>
      <c r="B210" s="119" t="s">
        <v>747</v>
      </c>
      <c r="C210" s="120" t="s">
        <v>1126</v>
      </c>
      <c r="D210" s="118" t="s">
        <v>1127</v>
      </c>
      <c r="E210" s="119" t="s">
        <v>1128</v>
      </c>
      <c r="F210" s="119"/>
      <c r="G210" s="119"/>
      <c r="H210" s="121">
        <f>X210+AA210+AD210+AG210+AJ210+AM210+AP210+AS210+AV210+AY210+BB210+BE210</f>
        <v>0</v>
      </c>
      <c r="I210" s="121">
        <f>Y210+AB210+AE210+AH210+AK210+AN210+AQ210+AT210+AW210+AZ210+BC210+BF210</f>
        <v>0</v>
      </c>
      <c r="J210" s="121">
        <f t="shared" si="2339"/>
        <v>0</v>
      </c>
      <c r="K210" s="121"/>
      <c r="L210" s="149"/>
      <c r="M210" s="149"/>
      <c r="N210" s="121"/>
      <c r="O210" s="121"/>
      <c r="P210" s="121"/>
      <c r="Q210" s="121"/>
      <c r="R210" s="121"/>
      <c r="S210" s="121"/>
      <c r="T210" s="121"/>
      <c r="U210" s="121"/>
      <c r="V210" s="121"/>
      <c r="W210" s="121"/>
      <c r="X210" s="121">
        <f>VLOOKUP($C210,'1 预算编制表单'!$C:$BJ,27,FALSE)</f>
        <v>0</v>
      </c>
      <c r="Y210" s="121">
        <f>X210-Z210</f>
        <v>0</v>
      </c>
      <c r="Z210" s="121">
        <f>SUM(Z211:Z215)</f>
        <v>0</v>
      </c>
      <c r="AA210" s="121">
        <f>VLOOKUP($C210,'1 预算编制表单'!$C:$BJ,30,FALSE)</f>
        <v>0</v>
      </c>
      <c r="AB210" s="121">
        <f>AA210-AC210</f>
        <v>0</v>
      </c>
      <c r="AC210" s="121">
        <f>SUM(AC211:AC215)</f>
        <v>0</v>
      </c>
      <c r="AD210" s="121">
        <f>VLOOKUP($C210,'1 预算编制表单'!$C:$BJ,33,FALSE)</f>
        <v>0</v>
      </c>
      <c r="AE210" s="121">
        <f>AD210-AF210</f>
        <v>0</v>
      </c>
      <c r="AF210" s="121">
        <f>SUM(AF211:AF215)</f>
        <v>0</v>
      </c>
      <c r="AG210" s="121">
        <f>VLOOKUP($C210,'1 预算编制表单'!$C:$BJ,36,FALSE)</f>
        <v>0</v>
      </c>
      <c r="AH210" s="121">
        <f>AG210-AI210</f>
        <v>0</v>
      </c>
      <c r="AI210" s="121">
        <f>SUM(AI211:AI215)</f>
        <v>0</v>
      </c>
      <c r="AJ210" s="121">
        <f>VLOOKUP($C210,'1 预算编制表单'!$C:$BJ,39,FALSE)</f>
        <v>0</v>
      </c>
      <c r="AK210" s="121">
        <f>AJ210-AL210</f>
        <v>0</v>
      </c>
      <c r="AL210" s="121">
        <f>SUM(AL211:AL215)</f>
        <v>0</v>
      </c>
      <c r="AM210" s="121">
        <f>VLOOKUP($C210,'1 预算编制表单'!$C:$BJ,42,FALSE)</f>
        <v>0</v>
      </c>
      <c r="AN210" s="121">
        <f>AM210-AO210</f>
        <v>0</v>
      </c>
      <c r="AO210" s="121">
        <f>SUM(AO211:AO215)</f>
        <v>0</v>
      </c>
      <c r="AP210" s="121">
        <f>VLOOKUP($C210,'1 预算编制表单'!$C:$BJ,45,FALSE)</f>
        <v>0</v>
      </c>
      <c r="AQ210" s="121">
        <f>AP210-AR210</f>
        <v>0</v>
      </c>
      <c r="AR210" s="121">
        <f>SUM(AR211:AR215)</f>
        <v>0</v>
      </c>
      <c r="AS210" s="121">
        <f>VLOOKUP($C210,'1 预算编制表单'!$C:$BJ,48,FALSE)</f>
        <v>0</v>
      </c>
      <c r="AT210" s="121">
        <f>AS210-AU210</f>
        <v>0</v>
      </c>
      <c r="AU210" s="121">
        <f>SUM(AU211:AU215)</f>
        <v>0</v>
      </c>
      <c r="AV210" s="121">
        <f>VLOOKUP($C210,'1 预算编制表单'!$C:$BJ,51,FALSE)</f>
        <v>0</v>
      </c>
      <c r="AW210" s="121">
        <f>AV210-AX210</f>
        <v>0</v>
      </c>
      <c r="AX210" s="121">
        <f>SUM(AX211:AX215)</f>
        <v>0</v>
      </c>
      <c r="AY210" s="121">
        <f>VLOOKUP($C210,'1 预算编制表单'!$C:$BJ,54,FALSE)</f>
        <v>0</v>
      </c>
      <c r="AZ210" s="121">
        <f>AY210-BA210</f>
        <v>0</v>
      </c>
      <c r="BA210" s="121">
        <f>SUM(BA211:BA215)</f>
        <v>0</v>
      </c>
      <c r="BB210" s="121">
        <f>VLOOKUP($C210,'1 预算编制表单'!$C:$BJ,57,FALSE)</f>
        <v>0</v>
      </c>
      <c r="BC210" s="121">
        <f>BB210-BD210</f>
        <v>0</v>
      </c>
      <c r="BD210" s="121">
        <f>SUM(BD211:BD215)</f>
        <v>0</v>
      </c>
      <c r="BE210" s="121">
        <f>VLOOKUP($C210,'1 预算编制表单'!$C:$BJ,60,FALSE)</f>
        <v>0</v>
      </c>
      <c r="BF210" s="121">
        <f>BE210-BG210</f>
        <v>0</v>
      </c>
      <c r="BG210" s="121">
        <f>SUM(BG211:BG215)</f>
        <v>0</v>
      </c>
      <c r="BH210" s="121">
        <f>VLOOKUP($C210,'1 预算编制表单'!$C:$BJ,27,FALSE)</f>
        <v>0</v>
      </c>
      <c r="BI210" s="121">
        <f>BH210-BJ210</f>
        <v>0</v>
      </c>
      <c r="BJ210" s="121">
        <f>SUM(BJ211:BJ215)</f>
        <v>0</v>
      </c>
      <c r="BK210" s="121">
        <f>VLOOKUP($C210,'1 预算编制表单'!$C:$BJ,30,FALSE)</f>
        <v>0</v>
      </c>
      <c r="BL210" s="121">
        <f>BK210-BM210</f>
        <v>0</v>
      </c>
      <c r="BM210" s="121">
        <f>SUM(BM211:BM215)</f>
        <v>0</v>
      </c>
      <c r="BN210" s="121">
        <f>VLOOKUP($C210,'1 预算编制表单'!$C:$BJ,33,FALSE)</f>
        <v>0</v>
      </c>
      <c r="BO210" s="121">
        <f>BN210-BP210</f>
        <v>0</v>
      </c>
      <c r="BP210" s="121">
        <f>SUM(BP211:BP215)</f>
        <v>0</v>
      </c>
      <c r="BQ210" s="121">
        <f>VLOOKUP($C210,'1 预算编制表单'!$C:$BJ,36,FALSE)</f>
        <v>0</v>
      </c>
      <c r="BR210" s="121">
        <f>BQ210-BS210</f>
        <v>0</v>
      </c>
      <c r="BS210" s="121">
        <f>SUM(BS211:BS215)</f>
        <v>0</v>
      </c>
      <c r="BT210" s="121">
        <f>VLOOKUP($C210,'1 预算编制表单'!$C:$BJ,39,FALSE)</f>
        <v>0</v>
      </c>
      <c r="BU210" s="121">
        <f>BT210-BV210</f>
        <v>0</v>
      </c>
      <c r="BV210" s="121">
        <f>SUM(BV211:BV215)</f>
        <v>0</v>
      </c>
      <c r="BW210" s="121">
        <f>VLOOKUP($C210,'1 预算编制表单'!$C:$BJ,42,FALSE)</f>
        <v>0</v>
      </c>
      <c r="BX210" s="121">
        <f>BW210-BY210</f>
        <v>0</v>
      </c>
      <c r="BY210" s="121">
        <f>SUM(BY211:BY215)</f>
        <v>0</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hidden="1" customHeight="1" outlineLevel="4" spans="1:95">
      <c r="A211" s="122"/>
      <c r="B211" s="123"/>
      <c r="C211" s="124"/>
      <c r="D211" s="122"/>
      <c r="E211" s="123"/>
      <c r="F211" s="123"/>
      <c r="G211" s="123"/>
      <c r="H211" s="125"/>
      <c r="I211" s="125"/>
      <c r="J211" s="125">
        <f t="shared" si="2339"/>
        <v>0</v>
      </c>
      <c r="K211" s="125">
        <v>1</v>
      </c>
      <c r="L211" s="150"/>
      <c r="M211" s="151">
        <f>IFERROR(VLOOKUP($L211,'2-2 引出数据_合同数据仓库'!$B$5:$BP$20,3,FALSE),0)</f>
        <v>0</v>
      </c>
      <c r="N211" s="125"/>
      <c r="O211" s="151">
        <f>IFERROR(VLOOKUP((LEFT(VLOOKUP($L211,'2-2 引出数据_合同数据仓库'!$B$5:$BP$20,64,FALSE),15)&amp;(RIGHT(VLOOKUP($L211,'2-2 引出数据_合同数据仓库'!$B$5:$BP$20,64,FALSE),4)+1)),'2-2 引出数据_合同数据仓库'!$B$5:$BP$20,3,FALSE),0)</f>
        <v>0</v>
      </c>
      <c r="P211" s="125"/>
      <c r="Q211" s="125">
        <f>IFERROR(VLOOKUP($L211,'2-2 引出数据_合同数据仓库'!$B$5:$BP$20,28,FALSE),0)</f>
        <v>0</v>
      </c>
      <c r="R211" s="125">
        <f>IFERROR(VLOOKUP($L211,'2-2 引出数据_合同数据仓库'!$B$5:$BP$20,29,FALSE),0)</f>
        <v>0</v>
      </c>
      <c r="S211" s="125">
        <f>IFERROR(VLOOKUP($L211,'2-2 引出数据_合同数据仓库'!$B$5:$BP$20,4,FALSE),0)</f>
        <v>0</v>
      </c>
      <c r="T211" s="125"/>
      <c r="U211" s="125">
        <f>IFERROR(VLOOKUP($L211,'2-2 引出数据_合同数据仓库'!$B$5:$BP$20,15,FALSE),0)</f>
        <v>0</v>
      </c>
      <c r="V211" s="125">
        <f t="shared" ref="V211:V214" si="2484">U211/(S211-R211+1)*365</f>
        <v>0</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0</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0</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0</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0</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0</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0</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0</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0</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0</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0</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0</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0</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0</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0</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0</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0</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0</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0</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hidden="1" customHeight="1" outlineLevel="4" spans="1:95">
      <c r="A212" s="122"/>
      <c r="B212" s="123"/>
      <c r="C212" s="124"/>
      <c r="D212" s="122"/>
      <c r="E212" s="123"/>
      <c r="F212" s="123"/>
      <c r="G212" s="123"/>
      <c r="H212" s="125"/>
      <c r="I212" s="125"/>
      <c r="J212" s="125">
        <f t="shared" si="2339"/>
        <v>0</v>
      </c>
      <c r="K212" s="125">
        <f t="shared" ref="K212:K214" si="2555">K211+1</f>
        <v>2</v>
      </c>
      <c r="L212" s="150"/>
      <c r="M212" s="151">
        <f>IFERROR(VLOOKUP($L212,'2-2 引出数据_合同数据仓库'!$B$5:$BP$20,3,FALSE),0)</f>
        <v>0</v>
      </c>
      <c r="N212" s="125"/>
      <c r="O212" s="151">
        <f>IFERROR(VLOOKUP((LEFT(VLOOKUP($L212,'2-2 引出数据_合同数据仓库'!$B$5:$BP$20,64,FALSE),15)&amp;(RIGHT(VLOOKUP($L212,'2-2 引出数据_合同数据仓库'!$B$5:$BP$20,64,FALSE),4)+1)),'2-2 引出数据_合同数据仓库'!$B$5:$BP$20,3,FALSE),0)</f>
        <v>0</v>
      </c>
      <c r="P212" s="125"/>
      <c r="Q212" s="125">
        <f>IFERROR(VLOOKUP($L212,'2-2 引出数据_合同数据仓库'!$B$5:$BP$20,28,FALSE),0)</f>
        <v>0</v>
      </c>
      <c r="R212" s="125">
        <f>IFERROR(VLOOKUP($L212,'2-2 引出数据_合同数据仓库'!$B$5:$BP$20,29,FALSE),0)</f>
        <v>0</v>
      </c>
      <c r="S212" s="125">
        <f>IFERROR(VLOOKUP($L212,'2-2 引出数据_合同数据仓库'!$B$5:$BP$20,4,FALSE),0)</f>
        <v>0</v>
      </c>
      <c r="T212" s="125"/>
      <c r="U212" s="125">
        <f>IFERROR(VLOOKUP($L212,'2-2 引出数据_合同数据仓库'!$B$5:$BP$20,15,FALSE),0)</f>
        <v>0</v>
      </c>
      <c r="V212" s="125">
        <f t="shared" si="2484"/>
        <v>0</v>
      </c>
      <c r="W212" s="125"/>
      <c r="X212" s="157">
        <v>45658</v>
      </c>
      <c r="Y212" s="157">
        <f t="shared" si="2485"/>
        <v>45688</v>
      </c>
      <c r="Z212" s="161">
        <f t="shared" si="2486"/>
        <v>0</v>
      </c>
      <c r="AA212" s="157">
        <f t="shared" si="2487"/>
        <v>45689</v>
      </c>
      <c r="AB212" s="157">
        <f t="shared" si="2488"/>
        <v>45716</v>
      </c>
      <c r="AC212" s="161">
        <f t="shared" si="2489"/>
        <v>0</v>
      </c>
      <c r="AD212" s="157">
        <f t="shared" si="2490"/>
        <v>45717</v>
      </c>
      <c r="AE212" s="157">
        <f t="shared" si="2491"/>
        <v>45747</v>
      </c>
      <c r="AF212" s="161">
        <f t="shared" si="2492"/>
        <v>0</v>
      </c>
      <c r="AG212" s="157">
        <f t="shared" si="2493"/>
        <v>45748</v>
      </c>
      <c r="AH212" s="157">
        <f t="shared" si="2494"/>
        <v>45777</v>
      </c>
      <c r="AI212" s="161">
        <f t="shared" si="2495"/>
        <v>0</v>
      </c>
      <c r="AJ212" s="157">
        <f t="shared" si="2496"/>
        <v>45778</v>
      </c>
      <c r="AK212" s="157">
        <f t="shared" si="2497"/>
        <v>45808</v>
      </c>
      <c r="AL212" s="161">
        <f t="shared" si="2498"/>
        <v>0</v>
      </c>
      <c r="AM212" s="157">
        <f t="shared" si="2499"/>
        <v>45809</v>
      </c>
      <c r="AN212" s="157">
        <f t="shared" si="2500"/>
        <v>45838</v>
      </c>
      <c r="AO212" s="161">
        <f t="shared" si="2501"/>
        <v>0</v>
      </c>
      <c r="AP212" s="157">
        <f t="shared" si="2502"/>
        <v>45839</v>
      </c>
      <c r="AQ212" s="157">
        <f t="shared" si="2503"/>
        <v>45869</v>
      </c>
      <c r="AR212" s="161">
        <f t="shared" si="2504"/>
        <v>0</v>
      </c>
      <c r="AS212" s="157">
        <f t="shared" si="2505"/>
        <v>45870</v>
      </c>
      <c r="AT212" s="157">
        <f t="shared" si="2506"/>
        <v>45900</v>
      </c>
      <c r="AU212" s="161">
        <f t="shared" si="2507"/>
        <v>0</v>
      </c>
      <c r="AV212" s="157">
        <f t="shared" si="2508"/>
        <v>45901</v>
      </c>
      <c r="AW212" s="157">
        <f t="shared" si="2509"/>
        <v>45930</v>
      </c>
      <c r="AX212" s="161">
        <f t="shared" si="2510"/>
        <v>0</v>
      </c>
      <c r="AY212" s="157">
        <f t="shared" si="2511"/>
        <v>45931</v>
      </c>
      <c r="AZ212" s="157">
        <f t="shared" si="2512"/>
        <v>45961</v>
      </c>
      <c r="BA212" s="161">
        <f t="shared" si="2513"/>
        <v>0</v>
      </c>
      <c r="BB212" s="157">
        <f t="shared" si="2514"/>
        <v>45962</v>
      </c>
      <c r="BC212" s="157">
        <f t="shared" si="2515"/>
        <v>45991</v>
      </c>
      <c r="BD212" s="161">
        <f t="shared" si="2516"/>
        <v>0</v>
      </c>
      <c r="BE212" s="157">
        <f t="shared" si="2517"/>
        <v>45992</v>
      </c>
      <c r="BF212" s="157">
        <f t="shared" si="2518"/>
        <v>46022</v>
      </c>
      <c r="BG212" s="161">
        <f t="shared" si="2519"/>
        <v>0</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hidden="1" customHeight="1" outlineLevel="4" spans="1:95">
      <c r="A213" s="122"/>
      <c r="B213" s="123"/>
      <c r="C213" s="124"/>
      <c r="D213" s="122"/>
      <c r="E213" s="123"/>
      <c r="F213" s="123"/>
      <c r="G213" s="123"/>
      <c r="H213" s="125"/>
      <c r="I213" s="125"/>
      <c r="J213" s="125">
        <f t="shared" si="2339"/>
        <v>0</v>
      </c>
      <c r="K213" s="125">
        <f t="shared" si="2555"/>
        <v>3</v>
      </c>
      <c r="L213" s="150"/>
      <c r="M213" s="151">
        <f>IFERROR(VLOOKUP($L213,'2-2 引出数据_合同数据仓库'!$B$5:$BP$20,3,FALSE),0)</f>
        <v>0</v>
      </c>
      <c r="N213" s="125"/>
      <c r="O213" s="151">
        <f>IFERROR(VLOOKUP((LEFT(VLOOKUP($L213,'2-2 引出数据_合同数据仓库'!$B$5:$BP$20,64,FALSE),15)&amp;(RIGHT(VLOOKUP($L213,'2-2 引出数据_合同数据仓库'!$B$5:$BP$20,64,FALSE),4)+1)),'2-2 引出数据_合同数据仓库'!$B$5:$BP$20,3,FALSE),0)</f>
        <v>0</v>
      </c>
      <c r="P213" s="125"/>
      <c r="Q213" s="125">
        <f>IFERROR(VLOOKUP($L213,'2-2 引出数据_合同数据仓库'!$B$5:$BP$20,28,FALSE),0)</f>
        <v>0</v>
      </c>
      <c r="R213" s="125">
        <f>IFERROR(VLOOKUP($L213,'2-2 引出数据_合同数据仓库'!$B$5:$BP$20,29,FALSE),0)</f>
        <v>0</v>
      </c>
      <c r="S213" s="125">
        <f>IFERROR(VLOOKUP($L213,'2-2 引出数据_合同数据仓库'!$B$5:$BP$20,4,FALSE),0)</f>
        <v>0</v>
      </c>
      <c r="T213" s="125"/>
      <c r="U213" s="125">
        <f>IFERROR(VLOOKUP($L213,'2-2 引出数据_合同数据仓库'!$B$5:$BP$20,15,FALSE),0)</f>
        <v>0</v>
      </c>
      <c r="V213" s="125">
        <f t="shared" si="2484"/>
        <v>0</v>
      </c>
      <c r="W213" s="125"/>
      <c r="X213" s="157">
        <v>45658</v>
      </c>
      <c r="Y213" s="157">
        <f t="shared" si="2485"/>
        <v>45688</v>
      </c>
      <c r="Z213" s="161">
        <f t="shared" si="2486"/>
        <v>0</v>
      </c>
      <c r="AA213" s="157">
        <f t="shared" si="2487"/>
        <v>45689</v>
      </c>
      <c r="AB213" s="157">
        <f t="shared" si="2488"/>
        <v>45716</v>
      </c>
      <c r="AC213" s="161">
        <f t="shared" si="2489"/>
        <v>0</v>
      </c>
      <c r="AD213" s="157">
        <f t="shared" si="2490"/>
        <v>45717</v>
      </c>
      <c r="AE213" s="157">
        <f t="shared" si="2491"/>
        <v>45747</v>
      </c>
      <c r="AF213" s="161">
        <f t="shared" si="2492"/>
        <v>0</v>
      </c>
      <c r="AG213" s="157">
        <f t="shared" si="2493"/>
        <v>45748</v>
      </c>
      <c r="AH213" s="157">
        <f t="shared" si="2494"/>
        <v>45777</v>
      </c>
      <c r="AI213" s="161">
        <f t="shared" si="2495"/>
        <v>0</v>
      </c>
      <c r="AJ213" s="157">
        <f t="shared" si="2496"/>
        <v>45778</v>
      </c>
      <c r="AK213" s="157">
        <f t="shared" si="2497"/>
        <v>45808</v>
      </c>
      <c r="AL213" s="161">
        <f t="shared" si="2498"/>
        <v>0</v>
      </c>
      <c r="AM213" s="157">
        <f t="shared" si="2499"/>
        <v>45809</v>
      </c>
      <c r="AN213" s="157">
        <f t="shared" si="2500"/>
        <v>45838</v>
      </c>
      <c r="AO213" s="161">
        <f t="shared" si="2501"/>
        <v>0</v>
      </c>
      <c r="AP213" s="157">
        <f t="shared" si="2502"/>
        <v>45839</v>
      </c>
      <c r="AQ213" s="157">
        <f t="shared" si="2503"/>
        <v>45869</v>
      </c>
      <c r="AR213" s="161">
        <f t="shared" si="2504"/>
        <v>0</v>
      </c>
      <c r="AS213" s="157">
        <f t="shared" si="2505"/>
        <v>45870</v>
      </c>
      <c r="AT213" s="157">
        <f t="shared" si="2506"/>
        <v>45900</v>
      </c>
      <c r="AU213" s="161">
        <f t="shared" si="2507"/>
        <v>0</v>
      </c>
      <c r="AV213" s="157">
        <f t="shared" si="2508"/>
        <v>45901</v>
      </c>
      <c r="AW213" s="157">
        <f t="shared" si="2509"/>
        <v>45930</v>
      </c>
      <c r="AX213" s="161">
        <f t="shared" si="2510"/>
        <v>0</v>
      </c>
      <c r="AY213" s="157">
        <f t="shared" si="2511"/>
        <v>45931</v>
      </c>
      <c r="AZ213" s="157">
        <f t="shared" si="2512"/>
        <v>45961</v>
      </c>
      <c r="BA213" s="161">
        <f t="shared" si="2513"/>
        <v>0</v>
      </c>
      <c r="BB213" s="157">
        <f t="shared" si="2514"/>
        <v>45962</v>
      </c>
      <c r="BC213" s="157">
        <f t="shared" si="2515"/>
        <v>45991</v>
      </c>
      <c r="BD213" s="161">
        <f t="shared" si="2516"/>
        <v>0</v>
      </c>
      <c r="BE213" s="157">
        <f t="shared" si="2517"/>
        <v>45992</v>
      </c>
      <c r="BF213" s="157">
        <f t="shared" si="2518"/>
        <v>46022</v>
      </c>
      <c r="BG213" s="161">
        <f t="shared" si="2519"/>
        <v>0</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hidden="1"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引出数据_合同数据仓库'!$B$5:$BP$20,3,FALSE),0)</f>
        <v>0</v>
      </c>
      <c r="N214" s="125"/>
      <c r="O214" s="151">
        <f>IFERROR(VLOOKUP((LEFT(VLOOKUP($L214,'2-2 引出数据_合同数据仓库'!$B$5:$BP$20,64,FALSE),15)&amp;(RIGHT(VLOOKUP($L214,'2-2 引出数据_合同数据仓库'!$B$5:$BP$20,64,FALSE),4)+1)),'2-2 引出数据_合同数据仓库'!$B$5:$BP$20,3,FALSE),0)</f>
        <v>0</v>
      </c>
      <c r="P214" s="125"/>
      <c r="Q214" s="125">
        <f>IFERROR(VLOOKUP($L214,'2-2 引出数据_合同数据仓库'!$B$5:$BP$20,28,FALSE),0)</f>
        <v>0</v>
      </c>
      <c r="R214" s="125">
        <f>IFERROR(VLOOKUP($L214,'2-2 引出数据_合同数据仓库'!$B$5:$BP$20,29,FALSE),0)</f>
        <v>0</v>
      </c>
      <c r="S214" s="125">
        <f>IFERROR(VLOOKUP($L214,'2-2 引出数据_合同数据仓库'!$B$5:$BP$20,4,FALSE),0)</f>
        <v>0</v>
      </c>
      <c r="T214" s="125"/>
      <c r="U214" s="125">
        <f>IFERROR(VLOOKUP($L214,'2-2 引出数据_合同数据仓库'!$B$5:$BP$20,15,FALSE),0)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hidden="1" customHeight="1" outlineLevel="4" spans="1:95">
      <c r="A215" s="126" t="s">
        <v>2770</v>
      </c>
      <c r="B215" s="127"/>
      <c r="C215" s="127"/>
      <c r="D215" s="127"/>
      <c r="E215" s="127"/>
      <c r="F215" s="127"/>
      <c r="G215" s="128"/>
      <c r="H215" s="129"/>
      <c r="I215" s="129"/>
      <c r="J215" s="129"/>
      <c r="K215" s="129"/>
      <c r="L215" s="152"/>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hidden="1" customHeight="1" outlineLevel="3" collapsed="1" spans="1:95">
      <c r="A216" s="118"/>
      <c r="B216" s="119" t="s">
        <v>747</v>
      </c>
      <c r="C216" s="120" t="s">
        <v>1132</v>
      </c>
      <c r="D216" s="118" t="s">
        <v>1138</v>
      </c>
      <c r="E216" s="119" t="s">
        <v>1139</v>
      </c>
      <c r="F216" s="119"/>
      <c r="G216" s="119" t="s">
        <v>891</v>
      </c>
      <c r="H216" s="121">
        <f>X216+AA216+AD216+AG216+AJ216+AM216+AP216+AS216+AV216+AY216+BB216+BE216</f>
        <v>0</v>
      </c>
      <c r="I216" s="121">
        <f>Y216+AB216+AE216+AH216+AK216+AN216+AQ216+AT216+AW216+AZ216+BC216+BF216</f>
        <v>0</v>
      </c>
      <c r="J216" s="121">
        <f t="shared" si="2339"/>
        <v>0</v>
      </c>
      <c r="K216" s="121"/>
      <c r="L216" s="149"/>
      <c r="M216" s="149"/>
      <c r="N216" s="121"/>
      <c r="O216" s="121"/>
      <c r="P216" s="121"/>
      <c r="Q216" s="121"/>
      <c r="R216" s="121"/>
      <c r="S216" s="121"/>
      <c r="T216" s="121"/>
      <c r="U216" s="121"/>
      <c r="V216" s="121"/>
      <c r="W216" s="121"/>
      <c r="X216" s="121">
        <f>VLOOKUP($C216,'1 预算编制表单'!$C:$BJ,27,FALSE)</f>
        <v>0</v>
      </c>
      <c r="Y216" s="121">
        <f>X216-Z216</f>
        <v>0</v>
      </c>
      <c r="Z216" s="121">
        <f>SUM(Z217:Z221)</f>
        <v>0</v>
      </c>
      <c r="AA216" s="121">
        <f>VLOOKUP($C216,'1 预算编制表单'!$C:$BJ,30,FALSE)</f>
        <v>0</v>
      </c>
      <c r="AB216" s="121">
        <f>AA216-AC216</f>
        <v>0</v>
      </c>
      <c r="AC216" s="121">
        <f>SUM(AC217:AC221)</f>
        <v>0</v>
      </c>
      <c r="AD216" s="121">
        <f>VLOOKUP($C216,'1 预算编制表单'!$C:$BJ,33,FALSE)</f>
        <v>0</v>
      </c>
      <c r="AE216" s="121">
        <f>AD216-AF216</f>
        <v>0</v>
      </c>
      <c r="AF216" s="121">
        <f>SUM(AF217:AF221)</f>
        <v>0</v>
      </c>
      <c r="AG216" s="121">
        <f>VLOOKUP($C216,'1 预算编制表单'!$C:$BJ,36,FALSE)</f>
        <v>0</v>
      </c>
      <c r="AH216" s="121">
        <f>AG216-AI216</f>
        <v>0</v>
      </c>
      <c r="AI216" s="121">
        <f>SUM(AI217:AI221)</f>
        <v>0</v>
      </c>
      <c r="AJ216" s="121">
        <f>VLOOKUP($C216,'1 预算编制表单'!$C:$BJ,39,FALSE)</f>
        <v>0</v>
      </c>
      <c r="AK216" s="121">
        <f>AJ216-AL216</f>
        <v>0</v>
      </c>
      <c r="AL216" s="121">
        <f>SUM(AL217:AL221)</f>
        <v>0</v>
      </c>
      <c r="AM216" s="121">
        <f>VLOOKUP($C216,'1 预算编制表单'!$C:$BJ,42,FALSE)</f>
        <v>0</v>
      </c>
      <c r="AN216" s="121">
        <f>AM216-AO216</f>
        <v>0</v>
      </c>
      <c r="AO216" s="121">
        <f>SUM(AO217:AO221)</f>
        <v>0</v>
      </c>
      <c r="AP216" s="121">
        <f>VLOOKUP($C216,'1 预算编制表单'!$C:$BJ,45,FALSE)</f>
        <v>0</v>
      </c>
      <c r="AQ216" s="121">
        <f>AP216-AR216</f>
        <v>0</v>
      </c>
      <c r="AR216" s="121">
        <f>SUM(AR217:AR221)</f>
        <v>0</v>
      </c>
      <c r="AS216" s="121">
        <f>VLOOKUP($C216,'1 预算编制表单'!$C:$BJ,48,FALSE)</f>
        <v>0</v>
      </c>
      <c r="AT216" s="121">
        <f>AS216-AU216</f>
        <v>0</v>
      </c>
      <c r="AU216" s="121">
        <f>SUM(AU217:AU221)</f>
        <v>0</v>
      </c>
      <c r="AV216" s="121">
        <f>VLOOKUP($C216,'1 预算编制表单'!$C:$BJ,51,FALSE)</f>
        <v>0</v>
      </c>
      <c r="AW216" s="121">
        <f>AV216-AX216</f>
        <v>0</v>
      </c>
      <c r="AX216" s="121">
        <f>SUM(AX217:AX221)</f>
        <v>0</v>
      </c>
      <c r="AY216" s="121">
        <f>VLOOKUP($C216,'1 预算编制表单'!$C:$BJ,54,FALSE)</f>
        <v>0</v>
      </c>
      <c r="AZ216" s="121">
        <f>AY216-BA216</f>
        <v>0</v>
      </c>
      <c r="BA216" s="121">
        <f>SUM(BA217:BA221)</f>
        <v>0</v>
      </c>
      <c r="BB216" s="121">
        <f>VLOOKUP($C216,'1 预算编制表单'!$C:$BJ,57,FALSE)</f>
        <v>0</v>
      </c>
      <c r="BC216" s="121">
        <f>BB216-BD216</f>
        <v>0</v>
      </c>
      <c r="BD216" s="121">
        <f>SUM(BD217:BD221)</f>
        <v>0</v>
      </c>
      <c r="BE216" s="121">
        <f>VLOOKUP($C216,'1 预算编制表单'!$C:$BJ,60,FALSE)</f>
        <v>0</v>
      </c>
      <c r="BF216" s="121">
        <f>BE216-BG216</f>
        <v>0</v>
      </c>
      <c r="BG216" s="121">
        <f>SUM(BG217:BG221)</f>
        <v>0</v>
      </c>
      <c r="BH216" s="121">
        <f>VLOOKUP($C216,'1 预算编制表单'!$C:$BJ,27,FALSE)</f>
        <v>0</v>
      </c>
      <c r="BI216" s="121">
        <f>BH216-BJ216</f>
        <v>0</v>
      </c>
      <c r="BJ216" s="121">
        <f>SUM(BJ217:BJ221)</f>
        <v>0</v>
      </c>
      <c r="BK216" s="121">
        <f>VLOOKUP($C216,'1 预算编制表单'!$C:$BJ,30,FALSE)</f>
        <v>0</v>
      </c>
      <c r="BL216" s="121">
        <f>BK216-BM216</f>
        <v>0</v>
      </c>
      <c r="BM216" s="121">
        <f>SUM(BM217:BM221)</f>
        <v>0</v>
      </c>
      <c r="BN216" s="121">
        <f>VLOOKUP($C216,'1 预算编制表单'!$C:$BJ,33,FALSE)</f>
        <v>0</v>
      </c>
      <c r="BO216" s="121">
        <f>BN216-BP216</f>
        <v>0</v>
      </c>
      <c r="BP216" s="121">
        <f>SUM(BP217:BP221)</f>
        <v>0</v>
      </c>
      <c r="BQ216" s="121">
        <f>VLOOKUP($C216,'1 预算编制表单'!$C:$BJ,36,FALSE)</f>
        <v>0</v>
      </c>
      <c r="BR216" s="121">
        <f>BQ216-BS216</f>
        <v>0</v>
      </c>
      <c r="BS216" s="121">
        <f>SUM(BS217:BS221)</f>
        <v>0</v>
      </c>
      <c r="BT216" s="121">
        <f>VLOOKUP($C216,'1 预算编制表单'!$C:$BJ,39,FALSE)</f>
        <v>0</v>
      </c>
      <c r="BU216" s="121">
        <f>BT216-BV216</f>
        <v>0</v>
      </c>
      <c r="BV216" s="121">
        <f>SUM(BV217:BV221)</f>
        <v>0</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hidden="1" customHeight="1" outlineLevel="4" spans="1:95">
      <c r="A217" s="122"/>
      <c r="B217" s="123"/>
      <c r="C217" s="124"/>
      <c r="D217" s="122"/>
      <c r="E217" s="123"/>
      <c r="F217" s="123"/>
      <c r="G217" s="123"/>
      <c r="H217" s="125"/>
      <c r="I217" s="125"/>
      <c r="J217" s="125">
        <f t="shared" si="2339"/>
        <v>0</v>
      </c>
      <c r="K217" s="125">
        <v>1</v>
      </c>
      <c r="L217" s="150"/>
      <c r="M217" s="151">
        <f>IFERROR(VLOOKUP($L217,'2-2 引出数据_合同数据仓库'!$B$5:$BP$20,3,FALSE),0)</f>
        <v>0</v>
      </c>
      <c r="N217" s="125"/>
      <c r="O217" s="151">
        <f>IFERROR(VLOOKUP((LEFT(VLOOKUP($L217,'2-2 引出数据_合同数据仓库'!$B$5:$BP$20,64,FALSE),15)&amp;(RIGHT(VLOOKUP($L217,'2-2 引出数据_合同数据仓库'!$B$5:$BP$20,64,FALSE),4)+1)),'2-2 引出数据_合同数据仓库'!$B$5:$BP$20,3,FALSE),0)</f>
        <v>0</v>
      </c>
      <c r="P217" s="125"/>
      <c r="Q217" s="125">
        <f>IFERROR(VLOOKUP($L217,'2-2 引出数据_合同数据仓库'!$B$5:$BP$20,28,FALSE),0)</f>
        <v>0</v>
      </c>
      <c r="R217" s="125">
        <f>IFERROR(VLOOKUP($L217,'2-2 引出数据_合同数据仓库'!$B$5:$BP$20,29,FALSE),0)</f>
        <v>0</v>
      </c>
      <c r="S217" s="125">
        <f>IFERROR(VLOOKUP($L217,'2-2 引出数据_合同数据仓库'!$B$5:$BP$20,4,FALSE),0)</f>
        <v>0</v>
      </c>
      <c r="T217" s="125"/>
      <c r="U217" s="125">
        <f>IFERROR(VLOOKUP($L217,'2-2 引出数据_合同数据仓库'!$B$5:$BP$20,15,FALSE),0)</f>
        <v>0</v>
      </c>
      <c r="V217" s="125">
        <f t="shared" ref="V217:V220" si="2556">U217/(S217-R217+1)*365</f>
        <v>0</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0</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0</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0</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0</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0</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0</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0</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0</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0</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0</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0</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0</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hidden="1" customHeight="1" outlineLevel="4" spans="1:95">
      <c r="A218" s="122"/>
      <c r="B218" s="123"/>
      <c r="C218" s="124"/>
      <c r="D218" s="122"/>
      <c r="E218" s="123"/>
      <c r="F218" s="123"/>
      <c r="G218" s="123"/>
      <c r="H218" s="125"/>
      <c r="I218" s="125"/>
      <c r="J218" s="125">
        <f t="shared" si="2339"/>
        <v>0</v>
      </c>
      <c r="K218" s="125">
        <f t="shared" ref="K218:K220" si="2627">K217+1</f>
        <v>2</v>
      </c>
      <c r="L218" s="150"/>
      <c r="M218" s="151">
        <f>IFERROR(VLOOKUP($L218,'2-2 引出数据_合同数据仓库'!$B$5:$BP$20,3,FALSE),0)</f>
        <v>0</v>
      </c>
      <c r="N218" s="125"/>
      <c r="O218" s="151">
        <f>IFERROR(VLOOKUP((LEFT(VLOOKUP($L218,'2-2 引出数据_合同数据仓库'!$B$5:$BP$20,64,FALSE),15)&amp;(RIGHT(VLOOKUP($L218,'2-2 引出数据_合同数据仓库'!$B$5:$BP$20,64,FALSE),4)+1)),'2-2 引出数据_合同数据仓库'!$B$5:$BP$20,3,FALSE),0)</f>
        <v>0</v>
      </c>
      <c r="P218" s="125"/>
      <c r="Q218" s="125">
        <f>IFERROR(VLOOKUP($L218,'2-2 引出数据_合同数据仓库'!$B$5:$BP$20,28,FALSE),0)</f>
        <v>0</v>
      </c>
      <c r="R218" s="125">
        <f>IFERROR(VLOOKUP($L218,'2-2 引出数据_合同数据仓库'!$B$5:$BP$20,29,FALSE),0)</f>
        <v>0</v>
      </c>
      <c r="S218" s="125">
        <f>IFERROR(VLOOKUP($L218,'2-2 引出数据_合同数据仓库'!$B$5:$BP$20,4,FALSE),0)</f>
        <v>0</v>
      </c>
      <c r="T218" s="125"/>
      <c r="U218" s="125">
        <f>IFERROR(VLOOKUP($L218,'2-2 引出数据_合同数据仓库'!$B$5:$BP$20,15,FALSE),0)</f>
        <v>0</v>
      </c>
      <c r="V218" s="125">
        <f t="shared" si="2556"/>
        <v>0</v>
      </c>
      <c r="W218" s="125"/>
      <c r="X218" s="157">
        <v>45658</v>
      </c>
      <c r="Y218" s="157">
        <f t="shared" si="2557"/>
        <v>45688</v>
      </c>
      <c r="Z218" s="161">
        <f t="shared" si="2558"/>
        <v>0</v>
      </c>
      <c r="AA218" s="157">
        <f t="shared" si="2559"/>
        <v>45689</v>
      </c>
      <c r="AB218" s="157">
        <f t="shared" si="2560"/>
        <v>45716</v>
      </c>
      <c r="AC218" s="161">
        <f t="shared" si="2561"/>
        <v>0</v>
      </c>
      <c r="AD218" s="157">
        <f t="shared" si="2562"/>
        <v>45717</v>
      </c>
      <c r="AE218" s="157">
        <f t="shared" si="2563"/>
        <v>45747</v>
      </c>
      <c r="AF218" s="161">
        <f t="shared" si="2564"/>
        <v>0</v>
      </c>
      <c r="AG218" s="157">
        <f t="shared" si="2565"/>
        <v>45748</v>
      </c>
      <c r="AH218" s="157">
        <f t="shared" si="2566"/>
        <v>45777</v>
      </c>
      <c r="AI218" s="161">
        <f t="shared" si="2567"/>
        <v>0</v>
      </c>
      <c r="AJ218" s="157">
        <f t="shared" si="2568"/>
        <v>45778</v>
      </c>
      <c r="AK218" s="157">
        <f t="shared" si="2569"/>
        <v>45808</v>
      </c>
      <c r="AL218" s="161">
        <f t="shared" si="2570"/>
        <v>0</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hidden="1"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引出数据_合同数据仓库'!$B$5:$BP$20,3,FALSE),0)</f>
        <v>0</v>
      </c>
      <c r="N219" s="125"/>
      <c r="O219" s="151">
        <f>IFERROR(VLOOKUP((LEFT(VLOOKUP($L219,'2-2 引出数据_合同数据仓库'!$B$5:$BP$20,64,FALSE),15)&amp;(RIGHT(VLOOKUP($L219,'2-2 引出数据_合同数据仓库'!$B$5:$BP$20,64,FALSE),4)+1)),'2-2 引出数据_合同数据仓库'!$B$5:$BP$20,3,FALSE),0)</f>
        <v>0</v>
      </c>
      <c r="P219" s="125"/>
      <c r="Q219" s="125">
        <f>IFERROR(VLOOKUP($L219,'2-2 引出数据_合同数据仓库'!$B$5:$BP$20,28,FALSE),0)</f>
        <v>0</v>
      </c>
      <c r="R219" s="125">
        <f>IFERROR(VLOOKUP($L219,'2-2 引出数据_合同数据仓库'!$B$5:$BP$20,29,FALSE),0)</f>
        <v>0</v>
      </c>
      <c r="S219" s="125">
        <f>IFERROR(VLOOKUP($L219,'2-2 引出数据_合同数据仓库'!$B$5:$BP$20,4,FALSE),0)</f>
        <v>0</v>
      </c>
      <c r="T219" s="125"/>
      <c r="U219" s="125">
        <f>IFERROR(VLOOKUP($L219,'2-2 引出数据_合同数据仓库'!$B$5:$BP$20,15,FALSE),0)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hidden="1"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引出数据_合同数据仓库'!$B$5:$BP$20,3,FALSE),0)</f>
        <v>0</v>
      </c>
      <c r="N220" s="125"/>
      <c r="O220" s="151">
        <f>IFERROR(VLOOKUP((LEFT(VLOOKUP($L220,'2-2 引出数据_合同数据仓库'!$B$5:$BP$20,64,FALSE),15)&amp;(RIGHT(VLOOKUP($L220,'2-2 引出数据_合同数据仓库'!$B$5:$BP$20,64,FALSE),4)+1)),'2-2 引出数据_合同数据仓库'!$B$5:$BP$20,3,FALSE),0)</f>
        <v>0</v>
      </c>
      <c r="P220" s="125"/>
      <c r="Q220" s="125">
        <f>IFERROR(VLOOKUP($L220,'2-2 引出数据_合同数据仓库'!$B$5:$BP$20,28,FALSE),0)</f>
        <v>0</v>
      </c>
      <c r="R220" s="125">
        <f>IFERROR(VLOOKUP($L220,'2-2 引出数据_合同数据仓库'!$B$5:$BP$20,29,FALSE),0)</f>
        <v>0</v>
      </c>
      <c r="S220" s="125">
        <f>IFERROR(VLOOKUP($L220,'2-2 引出数据_合同数据仓库'!$B$5:$BP$20,4,FALSE),0)</f>
        <v>0</v>
      </c>
      <c r="T220" s="125"/>
      <c r="U220" s="125">
        <f>IFERROR(VLOOKUP($L220,'2-2 引出数据_合同数据仓库'!$B$5:$BP$20,15,FALSE),0)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hidden="1" customHeight="1" outlineLevel="4" spans="1:95">
      <c r="A221" s="126" t="s">
        <v>2770</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hidden="1" customHeight="1" outlineLevel="3" collapsed="1" spans="1:95">
      <c r="A222" s="118"/>
      <c r="B222" s="119" t="s">
        <v>747</v>
      </c>
      <c r="C222" s="120" t="s">
        <v>1134</v>
      </c>
      <c r="D222" s="118" t="s">
        <v>1140</v>
      </c>
      <c r="E222" s="119" t="s">
        <v>1141</v>
      </c>
      <c r="F222" s="119"/>
      <c r="G222" s="119" t="s">
        <v>891</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hidden="1"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引出数据_合同数据仓库'!$B$5:$BP$20,3,FALSE),0)</f>
        <v>0</v>
      </c>
      <c r="N223" s="125"/>
      <c r="O223" s="151">
        <f>IFERROR(VLOOKUP((LEFT(VLOOKUP($L223,'2-2 引出数据_合同数据仓库'!$B$5:$BP$20,64,FALSE),15)&amp;(RIGHT(VLOOKUP($L223,'2-2 引出数据_合同数据仓库'!$B$5:$BP$20,64,FALSE),4)+1)),'2-2 引出数据_合同数据仓库'!$B$5:$BP$20,3,FALSE),0)</f>
        <v>0</v>
      </c>
      <c r="P223" s="125"/>
      <c r="Q223" s="125">
        <f>IFERROR(VLOOKUP($L223,'2-2 引出数据_合同数据仓库'!$B$5:$BP$20,28,FALSE),0)</f>
        <v>0</v>
      </c>
      <c r="R223" s="125">
        <f>IFERROR(VLOOKUP($L223,'2-2 引出数据_合同数据仓库'!$B$5:$BP$20,29,FALSE),0)</f>
        <v>0</v>
      </c>
      <c r="S223" s="125">
        <f>IFERROR(VLOOKUP($L223,'2-2 引出数据_合同数据仓库'!$B$5:$BP$20,4,FALSE),0)</f>
        <v>0</v>
      </c>
      <c r="T223" s="125"/>
      <c r="U223" s="125">
        <f>IFERROR(VLOOKUP($L223,'2-2 引出数据_合同数据仓库'!$B$5:$BP$20,15,FALSE),0)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hidden="1"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引出数据_合同数据仓库'!$B$5:$BP$20,3,FALSE),0)</f>
        <v>0</v>
      </c>
      <c r="N224" s="125"/>
      <c r="O224" s="151">
        <f>IFERROR(VLOOKUP((LEFT(VLOOKUP($L224,'2-2 引出数据_合同数据仓库'!$B$5:$BP$20,64,FALSE),15)&amp;(RIGHT(VLOOKUP($L224,'2-2 引出数据_合同数据仓库'!$B$5:$BP$20,64,FALSE),4)+1)),'2-2 引出数据_合同数据仓库'!$B$5:$BP$20,3,FALSE),0)</f>
        <v>0</v>
      </c>
      <c r="P224" s="125"/>
      <c r="Q224" s="125">
        <f>IFERROR(VLOOKUP($L224,'2-2 引出数据_合同数据仓库'!$B$5:$BP$20,28,FALSE),0)</f>
        <v>0</v>
      </c>
      <c r="R224" s="125">
        <f>IFERROR(VLOOKUP($L224,'2-2 引出数据_合同数据仓库'!$B$5:$BP$20,29,FALSE),0)</f>
        <v>0</v>
      </c>
      <c r="S224" s="125">
        <f>IFERROR(VLOOKUP($L224,'2-2 引出数据_合同数据仓库'!$B$5:$BP$20,4,FALSE),0)</f>
        <v>0</v>
      </c>
      <c r="T224" s="125"/>
      <c r="U224" s="125">
        <f>IFERROR(VLOOKUP($L224,'2-2 引出数据_合同数据仓库'!$B$5:$BP$20,15,FALSE),0)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hidden="1"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引出数据_合同数据仓库'!$B$5:$BP$20,3,FALSE),0)</f>
        <v>0</v>
      </c>
      <c r="N225" s="125"/>
      <c r="O225" s="151">
        <f>IFERROR(VLOOKUP((LEFT(VLOOKUP($L225,'2-2 引出数据_合同数据仓库'!$B$5:$BP$20,64,FALSE),15)&amp;(RIGHT(VLOOKUP($L225,'2-2 引出数据_合同数据仓库'!$B$5:$BP$20,64,FALSE),4)+1)),'2-2 引出数据_合同数据仓库'!$B$5:$BP$20,3,FALSE),0)</f>
        <v>0</v>
      </c>
      <c r="P225" s="125"/>
      <c r="Q225" s="125">
        <f>IFERROR(VLOOKUP($L225,'2-2 引出数据_合同数据仓库'!$B$5:$BP$20,28,FALSE),0)</f>
        <v>0</v>
      </c>
      <c r="R225" s="125">
        <f>IFERROR(VLOOKUP($L225,'2-2 引出数据_合同数据仓库'!$B$5:$BP$20,29,FALSE),0)</f>
        <v>0</v>
      </c>
      <c r="S225" s="125">
        <f>IFERROR(VLOOKUP($L225,'2-2 引出数据_合同数据仓库'!$B$5:$BP$20,4,FALSE),0)</f>
        <v>0</v>
      </c>
      <c r="T225" s="125"/>
      <c r="U225" s="125">
        <f>IFERROR(VLOOKUP($L225,'2-2 引出数据_合同数据仓库'!$B$5:$BP$20,15,FALSE),0)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hidden="1"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引出数据_合同数据仓库'!$B$5:$BP$20,3,FALSE),0)</f>
        <v>0</v>
      </c>
      <c r="N226" s="125"/>
      <c r="O226" s="151">
        <f>IFERROR(VLOOKUP((LEFT(VLOOKUP($L226,'2-2 引出数据_合同数据仓库'!$B$5:$BP$20,64,FALSE),15)&amp;(RIGHT(VLOOKUP($L226,'2-2 引出数据_合同数据仓库'!$B$5:$BP$20,64,FALSE),4)+1)),'2-2 引出数据_合同数据仓库'!$B$5:$BP$20,3,FALSE),0)</f>
        <v>0</v>
      </c>
      <c r="P226" s="125"/>
      <c r="Q226" s="125">
        <f>IFERROR(VLOOKUP($L226,'2-2 引出数据_合同数据仓库'!$B$5:$BP$20,28,FALSE),0)</f>
        <v>0</v>
      </c>
      <c r="R226" s="125">
        <f>IFERROR(VLOOKUP($L226,'2-2 引出数据_合同数据仓库'!$B$5:$BP$20,29,FALSE),0)</f>
        <v>0</v>
      </c>
      <c r="S226" s="125">
        <f>IFERROR(VLOOKUP($L226,'2-2 引出数据_合同数据仓库'!$B$5:$BP$20,4,FALSE),0)</f>
        <v>0</v>
      </c>
      <c r="T226" s="125"/>
      <c r="U226" s="125">
        <f>IFERROR(VLOOKUP($L226,'2-2 引出数据_合同数据仓库'!$B$5:$BP$20,15,FALSE),0)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hidden="1" customHeight="1" outlineLevel="4" spans="1:95">
      <c r="A227" s="126" t="s">
        <v>2770</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hidden="1" customHeight="1" outlineLevel="3" collapsed="1" spans="1:95">
      <c r="A228" s="118"/>
      <c r="B228" s="119" t="s">
        <v>747</v>
      </c>
      <c r="C228" s="120" t="s">
        <v>1136</v>
      </c>
      <c r="D228" s="118" t="s">
        <v>1142</v>
      </c>
      <c r="E228" s="119" t="s">
        <v>1143</v>
      </c>
      <c r="F228" s="119"/>
      <c r="G228" s="119" t="s">
        <v>891</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hidden="1"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引出数据_合同数据仓库'!$B$5:$BP$20,3,FALSE),0)</f>
        <v>0</v>
      </c>
      <c r="N229" s="125"/>
      <c r="O229" s="151">
        <f>IFERROR(VLOOKUP((LEFT(VLOOKUP($L229,'2-2 引出数据_合同数据仓库'!$B$5:$BP$20,64,FALSE),15)&amp;(RIGHT(VLOOKUP($L229,'2-2 引出数据_合同数据仓库'!$B$5:$BP$20,64,FALSE),4)+1)),'2-2 引出数据_合同数据仓库'!$B$5:$BP$20,3,FALSE),0)</f>
        <v>0</v>
      </c>
      <c r="P229" s="125"/>
      <c r="Q229" s="125">
        <f>IFERROR(VLOOKUP($L229,'2-2 引出数据_合同数据仓库'!$B$5:$BP$20,28,FALSE),0)</f>
        <v>0</v>
      </c>
      <c r="R229" s="125">
        <f>IFERROR(VLOOKUP($L229,'2-2 引出数据_合同数据仓库'!$B$5:$BP$20,29,FALSE),0)</f>
        <v>0</v>
      </c>
      <c r="S229" s="125">
        <f>IFERROR(VLOOKUP($L229,'2-2 引出数据_合同数据仓库'!$B$5:$BP$20,4,FALSE),0)</f>
        <v>0</v>
      </c>
      <c r="T229" s="125"/>
      <c r="U229" s="125">
        <f>IFERROR(VLOOKUP($L229,'2-2 引出数据_合同数据仓库'!$B$5:$BP$20,15,FALSE),0)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hidden="1"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引出数据_合同数据仓库'!$B$5:$BP$20,3,FALSE),0)</f>
        <v>0</v>
      </c>
      <c r="N230" s="125"/>
      <c r="O230" s="151">
        <f>IFERROR(VLOOKUP((LEFT(VLOOKUP($L230,'2-2 引出数据_合同数据仓库'!$B$5:$BP$20,64,FALSE),15)&amp;(RIGHT(VLOOKUP($L230,'2-2 引出数据_合同数据仓库'!$B$5:$BP$20,64,FALSE),4)+1)),'2-2 引出数据_合同数据仓库'!$B$5:$BP$20,3,FALSE),0)</f>
        <v>0</v>
      </c>
      <c r="P230" s="125"/>
      <c r="Q230" s="125">
        <f>IFERROR(VLOOKUP($L230,'2-2 引出数据_合同数据仓库'!$B$5:$BP$20,28,FALSE),0)</f>
        <v>0</v>
      </c>
      <c r="R230" s="125">
        <f>IFERROR(VLOOKUP($L230,'2-2 引出数据_合同数据仓库'!$B$5:$BP$20,29,FALSE),0)</f>
        <v>0</v>
      </c>
      <c r="S230" s="125">
        <f>IFERROR(VLOOKUP($L230,'2-2 引出数据_合同数据仓库'!$B$5:$BP$20,4,FALSE),0)</f>
        <v>0</v>
      </c>
      <c r="T230" s="125"/>
      <c r="U230" s="125">
        <f>IFERROR(VLOOKUP($L230,'2-2 引出数据_合同数据仓库'!$B$5:$BP$20,15,FALSE),0)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hidden="1"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引出数据_合同数据仓库'!$B$5:$BP$20,3,FALSE),0)</f>
        <v>0</v>
      </c>
      <c r="N231" s="125"/>
      <c r="O231" s="151">
        <f>IFERROR(VLOOKUP((LEFT(VLOOKUP($L231,'2-2 引出数据_合同数据仓库'!$B$5:$BP$20,64,FALSE),15)&amp;(RIGHT(VLOOKUP($L231,'2-2 引出数据_合同数据仓库'!$B$5:$BP$20,64,FALSE),4)+1)),'2-2 引出数据_合同数据仓库'!$B$5:$BP$20,3,FALSE),0)</f>
        <v>0</v>
      </c>
      <c r="P231" s="125"/>
      <c r="Q231" s="125">
        <f>IFERROR(VLOOKUP($L231,'2-2 引出数据_合同数据仓库'!$B$5:$BP$20,28,FALSE),0)</f>
        <v>0</v>
      </c>
      <c r="R231" s="125">
        <f>IFERROR(VLOOKUP($L231,'2-2 引出数据_合同数据仓库'!$B$5:$BP$20,29,FALSE),0)</f>
        <v>0</v>
      </c>
      <c r="S231" s="125">
        <f>IFERROR(VLOOKUP($L231,'2-2 引出数据_合同数据仓库'!$B$5:$BP$20,4,FALSE),0)</f>
        <v>0</v>
      </c>
      <c r="T231" s="125"/>
      <c r="U231" s="125">
        <f>IFERROR(VLOOKUP($L231,'2-2 引出数据_合同数据仓库'!$B$5:$BP$20,15,FALSE),0)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hidden="1"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引出数据_合同数据仓库'!$B$5:$BP$20,3,FALSE),0)</f>
        <v>0</v>
      </c>
      <c r="N232" s="125"/>
      <c r="O232" s="151">
        <f>IFERROR(VLOOKUP((LEFT(VLOOKUP($L232,'2-2 引出数据_合同数据仓库'!$B$5:$BP$20,64,FALSE),15)&amp;(RIGHT(VLOOKUP($L232,'2-2 引出数据_合同数据仓库'!$B$5:$BP$20,64,FALSE),4)+1)),'2-2 引出数据_合同数据仓库'!$B$5:$BP$20,3,FALSE),0)</f>
        <v>0</v>
      </c>
      <c r="P232" s="125"/>
      <c r="Q232" s="125">
        <f>IFERROR(VLOOKUP($L232,'2-2 引出数据_合同数据仓库'!$B$5:$BP$20,28,FALSE),0)</f>
        <v>0</v>
      </c>
      <c r="R232" s="125">
        <f>IFERROR(VLOOKUP($L232,'2-2 引出数据_合同数据仓库'!$B$5:$BP$20,29,FALSE),0)</f>
        <v>0</v>
      </c>
      <c r="S232" s="125">
        <f>IFERROR(VLOOKUP($L232,'2-2 引出数据_合同数据仓库'!$B$5:$BP$20,4,FALSE),0)</f>
        <v>0</v>
      </c>
      <c r="T232" s="125"/>
      <c r="U232" s="125">
        <f>IFERROR(VLOOKUP($L232,'2-2 引出数据_合同数据仓库'!$B$5:$BP$20,15,FALSE),0)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hidden="1" customHeight="1" outlineLevel="4" spans="1:95">
      <c r="A233" s="126" t="s">
        <v>2770</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hidden="1" customHeight="1" outlineLevel="3" collapsed="1" spans="1:95">
      <c r="A234" s="118"/>
      <c r="B234" s="119" t="s">
        <v>747</v>
      </c>
      <c r="C234" s="120" t="s">
        <v>1145</v>
      </c>
      <c r="D234" s="118" t="s">
        <v>1146</v>
      </c>
      <c r="E234" s="119" t="s">
        <v>1147</v>
      </c>
      <c r="F234" s="119"/>
      <c r="G234" s="119" t="s">
        <v>891</v>
      </c>
      <c r="H234" s="121">
        <f>X234+AA234+AD234+AG234+AJ234+AM234+AP234+AS234+AV234+AY234+BB234+BE234</f>
        <v>0</v>
      </c>
      <c r="I234" s="121">
        <f>Y234+AB234+AE234+AH234+AK234+AN234+AQ234+AT234+AW234+AZ234+BC234+BF234</f>
        <v>0</v>
      </c>
      <c r="J234" s="121">
        <f t="shared" si="2339"/>
        <v>0</v>
      </c>
      <c r="K234" s="121"/>
      <c r="L234" s="149"/>
      <c r="M234" s="149"/>
      <c r="N234" s="121"/>
      <c r="O234" s="121"/>
      <c r="P234" s="121"/>
      <c r="Q234" s="121"/>
      <c r="R234" s="121"/>
      <c r="S234" s="121"/>
      <c r="T234" s="121"/>
      <c r="U234" s="121"/>
      <c r="V234" s="121"/>
      <c r="W234" s="121"/>
      <c r="X234" s="121">
        <f>VLOOKUP($C234,'1 预算编制表单'!$C:$BJ,27,FALSE)</f>
        <v>0</v>
      </c>
      <c r="Y234" s="121">
        <f>X234-Z234</f>
        <v>0</v>
      </c>
      <c r="Z234" s="121">
        <f>SUM(Z235:Z239)</f>
        <v>0</v>
      </c>
      <c r="AA234" s="121">
        <f>VLOOKUP($C234,'1 预算编制表单'!$C:$BJ,30,FALSE)</f>
        <v>0</v>
      </c>
      <c r="AB234" s="121">
        <f>AA234-AC234</f>
        <v>0</v>
      </c>
      <c r="AC234" s="121">
        <f>SUM(AC235:AC239)</f>
        <v>0</v>
      </c>
      <c r="AD234" s="121">
        <f>VLOOKUP($C234,'1 预算编制表单'!$C:$BJ,33,FALSE)</f>
        <v>0</v>
      </c>
      <c r="AE234" s="121">
        <f>AD234-AF234</f>
        <v>0</v>
      </c>
      <c r="AF234" s="121">
        <f>SUM(AF235:AF239)</f>
        <v>0</v>
      </c>
      <c r="AG234" s="121">
        <f>VLOOKUP($C234,'1 预算编制表单'!$C:$BJ,36,FALSE)</f>
        <v>0</v>
      </c>
      <c r="AH234" s="121">
        <f>AG234-AI234</f>
        <v>0</v>
      </c>
      <c r="AI234" s="121">
        <f>SUM(AI235:AI239)</f>
        <v>0</v>
      </c>
      <c r="AJ234" s="121">
        <f>VLOOKUP($C234,'1 预算编制表单'!$C:$BJ,39,FALSE)</f>
        <v>0</v>
      </c>
      <c r="AK234" s="121">
        <f>AJ234-AL234</f>
        <v>0</v>
      </c>
      <c r="AL234" s="121">
        <f>SUM(AL235:AL239)</f>
        <v>0</v>
      </c>
      <c r="AM234" s="121">
        <f>VLOOKUP($C234,'1 预算编制表单'!$C:$BJ,42,FALSE)</f>
        <v>0</v>
      </c>
      <c r="AN234" s="121">
        <f>AM234-AO234</f>
        <v>0</v>
      </c>
      <c r="AO234" s="121">
        <f>SUM(AO235:AO239)</f>
        <v>0</v>
      </c>
      <c r="AP234" s="121">
        <f>VLOOKUP($C234,'1 预算编制表单'!$C:$BJ,45,FALSE)</f>
        <v>0</v>
      </c>
      <c r="AQ234" s="121">
        <f>AP234-AR234</f>
        <v>0</v>
      </c>
      <c r="AR234" s="121">
        <f>SUM(AR235:AR239)</f>
        <v>0</v>
      </c>
      <c r="AS234" s="121">
        <f>VLOOKUP($C234,'1 预算编制表单'!$C:$BJ,48,FALSE)</f>
        <v>0</v>
      </c>
      <c r="AT234" s="121">
        <f>AS234-AU234</f>
        <v>0</v>
      </c>
      <c r="AU234" s="121">
        <f>SUM(AU235:AU239)</f>
        <v>0</v>
      </c>
      <c r="AV234" s="121">
        <f>VLOOKUP($C234,'1 预算编制表单'!$C:$BJ,51,FALSE)</f>
        <v>0</v>
      </c>
      <c r="AW234" s="121">
        <f>AV234-AX234</f>
        <v>0</v>
      </c>
      <c r="AX234" s="121">
        <f>SUM(AX235:AX239)</f>
        <v>0</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hidden="1" customHeight="1" outlineLevel="4" spans="1:95">
      <c r="A235" s="122"/>
      <c r="B235" s="123"/>
      <c r="C235" s="124"/>
      <c r="D235" s="122"/>
      <c r="E235" s="123"/>
      <c r="F235" s="123"/>
      <c r="G235" s="123"/>
      <c r="H235" s="125"/>
      <c r="I235" s="125"/>
      <c r="J235" s="125">
        <f t="shared" si="2339"/>
        <v>0</v>
      </c>
      <c r="K235" s="125">
        <v>1</v>
      </c>
      <c r="L235" s="150"/>
      <c r="M235" s="151">
        <f>IFERROR(VLOOKUP($L235,'2-2 引出数据_合同数据仓库'!$B$5:$BP$20,3,FALSE),0)</f>
        <v>0</v>
      </c>
      <c r="N235" s="125"/>
      <c r="O235" s="151">
        <f>IFERROR(VLOOKUP((LEFT(VLOOKUP($L235,'2-2 引出数据_合同数据仓库'!$B$5:$BP$20,64,FALSE),15)&amp;(RIGHT(VLOOKUP($L235,'2-2 引出数据_合同数据仓库'!$B$5:$BP$20,64,FALSE),4)+1)),'2-2 引出数据_合同数据仓库'!$B$5:$BP$20,3,FALSE),0)</f>
        <v>0</v>
      </c>
      <c r="P235" s="125"/>
      <c r="Q235" s="125">
        <f>IFERROR(VLOOKUP($L235,'2-2 引出数据_合同数据仓库'!$B$5:$BP$20,28,FALSE),0)</f>
        <v>0</v>
      </c>
      <c r="R235" s="125">
        <f>IFERROR(VLOOKUP($L235,'2-2 引出数据_合同数据仓库'!$B$5:$BP$20,29,FALSE),0)</f>
        <v>0</v>
      </c>
      <c r="S235" s="125">
        <f>IFERROR(VLOOKUP($L235,'2-2 引出数据_合同数据仓库'!$B$5:$BP$20,4,FALSE),0)</f>
        <v>0</v>
      </c>
      <c r="T235" s="125"/>
      <c r="U235" s="125">
        <f>IFERROR(VLOOKUP($L235,'2-2 引出数据_合同数据仓库'!$B$5:$BP$20,15,FALSE),0)</f>
        <v>0</v>
      </c>
      <c r="V235" s="125">
        <f t="shared" ref="V235:V238" si="2772">U235/(S235-R235+1)*365</f>
        <v>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0</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0</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0</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0</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0</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0</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0</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0</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0</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hidden="1"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引出数据_合同数据仓库'!$B$5:$BP$20,3,FALSE),0)</f>
        <v>0</v>
      </c>
      <c r="N236" s="125"/>
      <c r="O236" s="151">
        <f>IFERROR(VLOOKUP((LEFT(VLOOKUP($L236,'2-2 引出数据_合同数据仓库'!$B$5:$BP$20,64,FALSE),15)&amp;(RIGHT(VLOOKUP($L236,'2-2 引出数据_合同数据仓库'!$B$5:$BP$20,64,FALSE),4)+1)),'2-2 引出数据_合同数据仓库'!$B$5:$BP$20,3,FALSE),0)</f>
        <v>0</v>
      </c>
      <c r="P236" s="125"/>
      <c r="Q236" s="125">
        <f>IFERROR(VLOOKUP($L236,'2-2 引出数据_合同数据仓库'!$B$5:$BP$20,28,FALSE),0)</f>
        <v>0</v>
      </c>
      <c r="R236" s="125">
        <f>IFERROR(VLOOKUP($L236,'2-2 引出数据_合同数据仓库'!$B$5:$BP$20,29,FALSE),0)</f>
        <v>0</v>
      </c>
      <c r="S236" s="125">
        <f>IFERROR(VLOOKUP($L236,'2-2 引出数据_合同数据仓库'!$B$5:$BP$20,4,FALSE),0)</f>
        <v>0</v>
      </c>
      <c r="T236" s="125"/>
      <c r="U236" s="125">
        <f>IFERROR(VLOOKUP($L236,'2-2 引出数据_合同数据仓库'!$B$5:$BP$20,15,FALSE),0)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hidden="1"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引出数据_合同数据仓库'!$B$5:$BP$20,3,FALSE),0)</f>
        <v>0</v>
      </c>
      <c r="N237" s="125"/>
      <c r="O237" s="151">
        <f>IFERROR(VLOOKUP((LEFT(VLOOKUP($L237,'2-2 引出数据_合同数据仓库'!$B$5:$BP$20,64,FALSE),15)&amp;(RIGHT(VLOOKUP($L237,'2-2 引出数据_合同数据仓库'!$B$5:$BP$20,64,FALSE),4)+1)),'2-2 引出数据_合同数据仓库'!$B$5:$BP$20,3,FALSE),0)</f>
        <v>0</v>
      </c>
      <c r="P237" s="125"/>
      <c r="Q237" s="125">
        <f>IFERROR(VLOOKUP($L237,'2-2 引出数据_合同数据仓库'!$B$5:$BP$20,28,FALSE),0)</f>
        <v>0</v>
      </c>
      <c r="R237" s="125">
        <f>IFERROR(VLOOKUP($L237,'2-2 引出数据_合同数据仓库'!$B$5:$BP$20,29,FALSE),0)</f>
        <v>0</v>
      </c>
      <c r="S237" s="125">
        <f>IFERROR(VLOOKUP($L237,'2-2 引出数据_合同数据仓库'!$B$5:$BP$20,4,FALSE),0)</f>
        <v>0</v>
      </c>
      <c r="T237" s="125"/>
      <c r="U237" s="125">
        <f>IFERROR(VLOOKUP($L237,'2-2 引出数据_合同数据仓库'!$B$5:$BP$20,15,FALSE),0)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hidden="1"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引出数据_合同数据仓库'!$B$5:$BP$20,3,FALSE),0)</f>
        <v>0</v>
      </c>
      <c r="N238" s="125"/>
      <c r="O238" s="151">
        <f>IFERROR(VLOOKUP((LEFT(VLOOKUP($L238,'2-2 引出数据_合同数据仓库'!$B$5:$BP$20,64,FALSE),15)&amp;(RIGHT(VLOOKUP($L238,'2-2 引出数据_合同数据仓库'!$B$5:$BP$20,64,FALSE),4)+1)),'2-2 引出数据_合同数据仓库'!$B$5:$BP$20,3,FALSE),0)</f>
        <v>0</v>
      </c>
      <c r="P238" s="125"/>
      <c r="Q238" s="125">
        <f>IFERROR(VLOOKUP($L238,'2-2 引出数据_合同数据仓库'!$B$5:$BP$20,28,FALSE),0)</f>
        <v>0</v>
      </c>
      <c r="R238" s="125">
        <f>IFERROR(VLOOKUP($L238,'2-2 引出数据_合同数据仓库'!$B$5:$BP$20,29,FALSE),0)</f>
        <v>0</v>
      </c>
      <c r="S238" s="125">
        <f>IFERROR(VLOOKUP($L238,'2-2 引出数据_合同数据仓库'!$B$5:$BP$20,4,FALSE),0)</f>
        <v>0</v>
      </c>
      <c r="T238" s="125"/>
      <c r="U238" s="125">
        <f>IFERROR(VLOOKUP($L238,'2-2 引出数据_合同数据仓库'!$B$5:$BP$20,15,FALSE),0)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hidden="1" customHeight="1" outlineLevel="4" spans="1:95">
      <c r="A239" s="126" t="s">
        <v>2770</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hidden="1" customHeight="1" outlineLevel="3" collapsed="1" spans="1:95">
      <c r="A240" s="118"/>
      <c r="B240" s="119" t="s">
        <v>747</v>
      </c>
      <c r="C240" s="120" t="s">
        <v>1151</v>
      </c>
      <c r="D240" s="118" t="s">
        <v>1152</v>
      </c>
      <c r="E240" s="119" t="s">
        <v>1153</v>
      </c>
      <c r="F240" s="119"/>
      <c r="G240" s="119" t="s">
        <v>891</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hidden="1"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引出数据_合同数据仓库'!$B$5:$BP$20,3,FALSE),0)</f>
        <v>0</v>
      </c>
      <c r="N241" s="125"/>
      <c r="O241" s="151">
        <f>IFERROR(VLOOKUP((LEFT(VLOOKUP($L241,'2-2 引出数据_合同数据仓库'!$B$5:$BP$20,64,FALSE),15)&amp;(RIGHT(VLOOKUP($L241,'2-2 引出数据_合同数据仓库'!$B$5:$BP$20,64,FALSE),4)+1)),'2-2 引出数据_合同数据仓库'!$B$5:$BP$20,3,FALSE),0)</f>
        <v>0</v>
      </c>
      <c r="P241" s="125"/>
      <c r="Q241" s="125">
        <f>IFERROR(VLOOKUP($L241,'2-2 引出数据_合同数据仓库'!$B$5:$BP$20,28,FALSE),0)</f>
        <v>0</v>
      </c>
      <c r="R241" s="125">
        <f>IFERROR(VLOOKUP($L241,'2-2 引出数据_合同数据仓库'!$B$5:$BP$20,29,FALSE),0)</f>
        <v>0</v>
      </c>
      <c r="S241" s="125">
        <f>IFERROR(VLOOKUP($L241,'2-2 引出数据_合同数据仓库'!$B$5:$BP$20,4,FALSE),0)</f>
        <v>0</v>
      </c>
      <c r="T241" s="125"/>
      <c r="U241" s="125">
        <f>IFERROR(VLOOKUP($L241,'2-2 引出数据_合同数据仓库'!$B$5:$BP$20,15,FALSE),0)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hidden="1"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引出数据_合同数据仓库'!$B$5:$BP$20,3,FALSE),0)</f>
        <v>0</v>
      </c>
      <c r="N242" s="125"/>
      <c r="O242" s="151">
        <f>IFERROR(VLOOKUP((LEFT(VLOOKUP($L242,'2-2 引出数据_合同数据仓库'!$B$5:$BP$20,64,FALSE),15)&amp;(RIGHT(VLOOKUP($L242,'2-2 引出数据_合同数据仓库'!$B$5:$BP$20,64,FALSE),4)+1)),'2-2 引出数据_合同数据仓库'!$B$5:$BP$20,3,FALSE),0)</f>
        <v>0</v>
      </c>
      <c r="P242" s="125"/>
      <c r="Q242" s="125">
        <f>IFERROR(VLOOKUP($L242,'2-2 引出数据_合同数据仓库'!$B$5:$BP$20,28,FALSE),0)</f>
        <v>0</v>
      </c>
      <c r="R242" s="125">
        <f>IFERROR(VLOOKUP($L242,'2-2 引出数据_合同数据仓库'!$B$5:$BP$20,29,FALSE),0)</f>
        <v>0</v>
      </c>
      <c r="S242" s="125">
        <f>IFERROR(VLOOKUP($L242,'2-2 引出数据_合同数据仓库'!$B$5:$BP$20,4,FALSE),0)</f>
        <v>0</v>
      </c>
      <c r="T242" s="125"/>
      <c r="U242" s="125">
        <f>IFERROR(VLOOKUP($L242,'2-2 引出数据_合同数据仓库'!$B$5:$BP$20,15,FALSE),0)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hidden="1"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引出数据_合同数据仓库'!$B$5:$BP$20,3,FALSE),0)</f>
        <v>0</v>
      </c>
      <c r="N243" s="125"/>
      <c r="O243" s="151">
        <f>IFERROR(VLOOKUP((LEFT(VLOOKUP($L243,'2-2 引出数据_合同数据仓库'!$B$5:$BP$20,64,FALSE),15)&amp;(RIGHT(VLOOKUP($L243,'2-2 引出数据_合同数据仓库'!$B$5:$BP$20,64,FALSE),4)+1)),'2-2 引出数据_合同数据仓库'!$B$5:$BP$20,3,FALSE),0)</f>
        <v>0</v>
      </c>
      <c r="P243" s="125"/>
      <c r="Q243" s="125">
        <f>IFERROR(VLOOKUP($L243,'2-2 引出数据_合同数据仓库'!$B$5:$BP$20,28,FALSE),0)</f>
        <v>0</v>
      </c>
      <c r="R243" s="125">
        <f>IFERROR(VLOOKUP($L243,'2-2 引出数据_合同数据仓库'!$B$5:$BP$20,29,FALSE),0)</f>
        <v>0</v>
      </c>
      <c r="S243" s="125">
        <f>IFERROR(VLOOKUP($L243,'2-2 引出数据_合同数据仓库'!$B$5:$BP$20,4,FALSE),0)</f>
        <v>0</v>
      </c>
      <c r="T243" s="125"/>
      <c r="U243" s="125">
        <f>IFERROR(VLOOKUP($L243,'2-2 引出数据_合同数据仓库'!$B$5:$BP$20,15,FALSE),0)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hidden="1"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引出数据_合同数据仓库'!$B$5:$BP$20,3,FALSE),0)</f>
        <v>0</v>
      </c>
      <c r="N244" s="125"/>
      <c r="O244" s="151">
        <f>IFERROR(VLOOKUP((LEFT(VLOOKUP($L244,'2-2 引出数据_合同数据仓库'!$B$5:$BP$20,64,FALSE),15)&amp;(RIGHT(VLOOKUP($L244,'2-2 引出数据_合同数据仓库'!$B$5:$BP$20,64,FALSE),4)+1)),'2-2 引出数据_合同数据仓库'!$B$5:$BP$20,3,FALSE),0)</f>
        <v>0</v>
      </c>
      <c r="P244" s="125"/>
      <c r="Q244" s="125">
        <f>IFERROR(VLOOKUP($L244,'2-2 引出数据_合同数据仓库'!$B$5:$BP$20,28,FALSE),0)</f>
        <v>0</v>
      </c>
      <c r="R244" s="125">
        <f>IFERROR(VLOOKUP($L244,'2-2 引出数据_合同数据仓库'!$B$5:$BP$20,29,FALSE),0)</f>
        <v>0</v>
      </c>
      <c r="S244" s="125">
        <f>IFERROR(VLOOKUP($L244,'2-2 引出数据_合同数据仓库'!$B$5:$BP$20,4,FALSE),0)</f>
        <v>0</v>
      </c>
      <c r="T244" s="125"/>
      <c r="U244" s="125">
        <f>IFERROR(VLOOKUP($L244,'2-2 引出数据_合同数据仓库'!$B$5:$BP$20,15,FALSE),0)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hidden="1" customHeight="1" outlineLevel="4" spans="1:95">
      <c r="A245" s="126" t="s">
        <v>2770</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hidden="1" customHeight="1" outlineLevel="3" collapsed="1" spans="1:95">
      <c r="A246" s="118"/>
      <c r="B246" s="119" t="s">
        <v>747</v>
      </c>
      <c r="C246" s="120" t="s">
        <v>1154</v>
      </c>
      <c r="D246" s="118" t="s">
        <v>1155</v>
      </c>
      <c r="E246" s="119" t="s">
        <v>1156</v>
      </c>
      <c r="F246" s="119"/>
      <c r="G246" s="119" t="s">
        <v>891</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hidden="1"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引出数据_合同数据仓库'!$B$5:$BP$20,3,FALSE),0)</f>
        <v>0</v>
      </c>
      <c r="N247" s="125"/>
      <c r="O247" s="151">
        <f>IFERROR(VLOOKUP((LEFT(VLOOKUP($L247,'2-2 引出数据_合同数据仓库'!$B$5:$BP$20,64,FALSE),15)&amp;(RIGHT(VLOOKUP($L247,'2-2 引出数据_合同数据仓库'!$B$5:$BP$20,64,FALSE),4)+1)),'2-2 引出数据_合同数据仓库'!$B$5:$BP$20,3,FALSE),0)</f>
        <v>0</v>
      </c>
      <c r="P247" s="125"/>
      <c r="Q247" s="125">
        <f>IFERROR(VLOOKUP($L247,'2-2 引出数据_合同数据仓库'!$B$5:$BP$20,28,FALSE),0)</f>
        <v>0</v>
      </c>
      <c r="R247" s="125">
        <f>IFERROR(VLOOKUP($L247,'2-2 引出数据_合同数据仓库'!$B$5:$BP$20,29,FALSE),0)</f>
        <v>0</v>
      </c>
      <c r="S247" s="125">
        <f>IFERROR(VLOOKUP($L247,'2-2 引出数据_合同数据仓库'!$B$5:$BP$20,4,FALSE),0)</f>
        <v>0</v>
      </c>
      <c r="T247" s="125"/>
      <c r="U247" s="125">
        <f>IFERROR(VLOOKUP($L247,'2-2 引出数据_合同数据仓库'!$B$5:$BP$20,15,FALSE),0)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hidden="1"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引出数据_合同数据仓库'!$B$5:$BP$20,3,FALSE),0)</f>
        <v>0</v>
      </c>
      <c r="N248" s="125"/>
      <c r="O248" s="151">
        <f>IFERROR(VLOOKUP((LEFT(VLOOKUP($L248,'2-2 引出数据_合同数据仓库'!$B$5:$BP$20,64,FALSE),15)&amp;(RIGHT(VLOOKUP($L248,'2-2 引出数据_合同数据仓库'!$B$5:$BP$20,64,FALSE),4)+1)),'2-2 引出数据_合同数据仓库'!$B$5:$BP$20,3,FALSE),0)</f>
        <v>0</v>
      </c>
      <c r="P248" s="125"/>
      <c r="Q248" s="125">
        <f>IFERROR(VLOOKUP($L248,'2-2 引出数据_合同数据仓库'!$B$5:$BP$20,28,FALSE),0)</f>
        <v>0</v>
      </c>
      <c r="R248" s="125">
        <f>IFERROR(VLOOKUP($L248,'2-2 引出数据_合同数据仓库'!$B$5:$BP$20,29,FALSE),0)</f>
        <v>0</v>
      </c>
      <c r="S248" s="125">
        <f>IFERROR(VLOOKUP($L248,'2-2 引出数据_合同数据仓库'!$B$5:$BP$20,4,FALSE),0)</f>
        <v>0</v>
      </c>
      <c r="T248" s="125"/>
      <c r="U248" s="125">
        <f>IFERROR(VLOOKUP($L248,'2-2 引出数据_合同数据仓库'!$B$5:$BP$20,15,FALSE),0)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hidden="1"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引出数据_合同数据仓库'!$B$5:$BP$20,3,FALSE),0)</f>
        <v>0</v>
      </c>
      <c r="N249" s="125"/>
      <c r="O249" s="151">
        <f>IFERROR(VLOOKUP((LEFT(VLOOKUP($L249,'2-2 引出数据_合同数据仓库'!$B$5:$BP$20,64,FALSE),15)&amp;(RIGHT(VLOOKUP($L249,'2-2 引出数据_合同数据仓库'!$B$5:$BP$20,64,FALSE),4)+1)),'2-2 引出数据_合同数据仓库'!$B$5:$BP$20,3,FALSE),0)</f>
        <v>0</v>
      </c>
      <c r="P249" s="125"/>
      <c r="Q249" s="125">
        <f>IFERROR(VLOOKUP($L249,'2-2 引出数据_合同数据仓库'!$B$5:$BP$20,28,FALSE),0)</f>
        <v>0</v>
      </c>
      <c r="R249" s="125">
        <f>IFERROR(VLOOKUP($L249,'2-2 引出数据_合同数据仓库'!$B$5:$BP$20,29,FALSE),0)</f>
        <v>0</v>
      </c>
      <c r="S249" s="125">
        <f>IFERROR(VLOOKUP($L249,'2-2 引出数据_合同数据仓库'!$B$5:$BP$20,4,FALSE),0)</f>
        <v>0</v>
      </c>
      <c r="T249" s="125"/>
      <c r="U249" s="125">
        <f>IFERROR(VLOOKUP($L249,'2-2 引出数据_合同数据仓库'!$B$5:$BP$20,15,FALSE),0)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hidden="1"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引出数据_合同数据仓库'!$B$5:$BP$20,3,FALSE),0)</f>
        <v>0</v>
      </c>
      <c r="N250" s="125"/>
      <c r="O250" s="151">
        <f>IFERROR(VLOOKUP((LEFT(VLOOKUP($L250,'2-2 引出数据_合同数据仓库'!$B$5:$BP$20,64,FALSE),15)&amp;(RIGHT(VLOOKUP($L250,'2-2 引出数据_合同数据仓库'!$B$5:$BP$20,64,FALSE),4)+1)),'2-2 引出数据_合同数据仓库'!$B$5:$BP$20,3,FALSE),0)</f>
        <v>0</v>
      </c>
      <c r="P250" s="125"/>
      <c r="Q250" s="125">
        <f>IFERROR(VLOOKUP($L250,'2-2 引出数据_合同数据仓库'!$B$5:$BP$20,28,FALSE),0)</f>
        <v>0</v>
      </c>
      <c r="R250" s="125">
        <f>IFERROR(VLOOKUP($L250,'2-2 引出数据_合同数据仓库'!$B$5:$BP$20,29,FALSE),0)</f>
        <v>0</v>
      </c>
      <c r="S250" s="125">
        <f>IFERROR(VLOOKUP($L250,'2-2 引出数据_合同数据仓库'!$B$5:$BP$20,4,FALSE),0)</f>
        <v>0</v>
      </c>
      <c r="T250" s="125"/>
      <c r="U250" s="125">
        <f>IFERROR(VLOOKUP($L250,'2-2 引出数据_合同数据仓库'!$B$5:$BP$20,15,FALSE),0)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hidden="1" customHeight="1" outlineLevel="4" spans="1:95">
      <c r="A251" s="126" t="s">
        <v>2770</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hidden="1" customHeight="1" outlineLevel="2" collapsed="1" spans="1:95">
      <c r="A252" s="48"/>
      <c r="B252" s="115" t="s">
        <v>742</v>
      </c>
      <c r="C252" s="116" t="s">
        <v>38</v>
      </c>
      <c r="D252" s="48" t="s">
        <v>39</v>
      </c>
      <c r="E252" s="115"/>
      <c r="F252" s="115"/>
      <c r="G252" s="115"/>
      <c r="H252" s="117">
        <f>X252+AA252+AD252+AG252+AJ252+AM252+AP252+AS252+AV252+AY252+BB252+BE252</f>
        <v>0</v>
      </c>
      <c r="I252" s="117">
        <f>Y252+AB252+AE252+AH252+AK252+AN252+AQ252+AT252+AW252+AZ252+BC252+BF252</f>
        <v>0</v>
      </c>
      <c r="J252" s="117">
        <f t="shared" si="2339"/>
        <v>0</v>
      </c>
      <c r="K252" s="117"/>
      <c r="L252" s="148"/>
      <c r="M252" s="148"/>
      <c r="N252" s="117"/>
      <c r="O252" s="117"/>
      <c r="P252" s="117"/>
      <c r="Q252" s="117"/>
      <c r="R252" s="117"/>
      <c r="S252" s="117"/>
      <c r="T252" s="117"/>
      <c r="U252" s="117"/>
      <c r="V252" s="117"/>
      <c r="W252" s="117"/>
      <c r="X252" s="117">
        <f>VLOOKUP($C252,'1 预算编制表单'!$C:$BJ,27,FALSE)</f>
        <v>0</v>
      </c>
      <c r="Y252" s="117">
        <f>X252-Z252</f>
        <v>0</v>
      </c>
      <c r="Z252" s="117">
        <f>Z253+Z259</f>
        <v>0</v>
      </c>
      <c r="AA252" s="117">
        <f>VLOOKUP($C252,'1 预算编制表单'!$C:$BJ,30,FALSE)</f>
        <v>0</v>
      </c>
      <c r="AB252" s="117">
        <f>AA252-AC252</f>
        <v>0</v>
      </c>
      <c r="AC252" s="117">
        <f>AC253+AC259</f>
        <v>0</v>
      </c>
      <c r="AD252" s="117">
        <f>VLOOKUP($C252,'1 预算编制表单'!$C:$BJ,33,FALSE)</f>
        <v>0</v>
      </c>
      <c r="AE252" s="117">
        <f>AD252-AF252</f>
        <v>0</v>
      </c>
      <c r="AF252" s="117">
        <f>AF253+AF259</f>
        <v>0</v>
      </c>
      <c r="AG252" s="117">
        <f>VLOOKUP($C252,'1 预算编制表单'!$C:$BJ,36,FALSE)</f>
        <v>0</v>
      </c>
      <c r="AH252" s="117">
        <f>AG252-AI252</f>
        <v>0</v>
      </c>
      <c r="AI252" s="117">
        <f>AI253+AI259</f>
        <v>0</v>
      </c>
      <c r="AJ252" s="117">
        <f>VLOOKUP($C252,'1 预算编制表单'!$C:$BJ,39,FALSE)</f>
        <v>0</v>
      </c>
      <c r="AK252" s="117">
        <f>AJ252-AL252</f>
        <v>0</v>
      </c>
      <c r="AL252" s="117">
        <f>AL253+AL259</f>
        <v>0</v>
      </c>
      <c r="AM252" s="117">
        <f>VLOOKUP($C252,'1 预算编制表单'!$C:$BJ,42,FALSE)</f>
        <v>0</v>
      </c>
      <c r="AN252" s="117">
        <f>AM252-AO252</f>
        <v>0</v>
      </c>
      <c r="AO252" s="117">
        <f>AO253+AO259</f>
        <v>0</v>
      </c>
      <c r="AP252" s="117">
        <f>VLOOKUP($C252,'1 预算编制表单'!$C:$BJ,45,FALSE)</f>
        <v>0</v>
      </c>
      <c r="AQ252" s="117">
        <f>AP252-AR252</f>
        <v>0</v>
      </c>
      <c r="AR252" s="117">
        <f>AR253+AR259</f>
        <v>0</v>
      </c>
      <c r="AS252" s="117">
        <f>VLOOKUP($C252,'1 预算编制表单'!$C:$BJ,48,FALSE)</f>
        <v>0</v>
      </c>
      <c r="AT252" s="117">
        <f>AS252-AU252</f>
        <v>0</v>
      </c>
      <c r="AU252" s="117">
        <f>AU253+AU259</f>
        <v>0</v>
      </c>
      <c r="AV252" s="117">
        <f>VLOOKUP($C252,'1 预算编制表单'!$C:$BJ,51,FALSE)</f>
        <v>0</v>
      </c>
      <c r="AW252" s="117">
        <f>AV252-AX252</f>
        <v>0</v>
      </c>
      <c r="AX252" s="117">
        <f>AX253+AX259</f>
        <v>0</v>
      </c>
      <c r="AY252" s="117">
        <f>VLOOKUP($C252,'1 预算编制表单'!$C:$BJ,54,FALSE)</f>
        <v>0</v>
      </c>
      <c r="AZ252" s="117">
        <f>AY252-BA252</f>
        <v>0</v>
      </c>
      <c r="BA252" s="117">
        <f>BA253+BA259</f>
        <v>0</v>
      </c>
      <c r="BB252" s="117">
        <f>VLOOKUP($C252,'1 预算编制表单'!$C:$BJ,57,FALSE)</f>
        <v>0</v>
      </c>
      <c r="BC252" s="117">
        <f>BB252-BD252</f>
        <v>0</v>
      </c>
      <c r="BD252" s="117">
        <f>BD253+BD259</f>
        <v>0</v>
      </c>
      <c r="BE252" s="117">
        <f>VLOOKUP($C252,'1 预算编制表单'!$C:$BJ,60,FALSE)</f>
        <v>0</v>
      </c>
      <c r="BF252" s="117">
        <f>BE252-BG252</f>
        <v>0</v>
      </c>
      <c r="BG252" s="117">
        <f>BG253+BG259</f>
        <v>0</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hidden="1" customHeight="1" outlineLevel="3" collapsed="1" spans="1:95">
      <c r="A253" s="118"/>
      <c r="B253" s="119" t="s">
        <v>747</v>
      </c>
      <c r="C253" s="120" t="s">
        <v>1157</v>
      </c>
      <c r="D253" s="118" t="s">
        <v>1158</v>
      </c>
      <c r="E253" s="119" t="s">
        <v>1159</v>
      </c>
      <c r="F253" s="119"/>
      <c r="G253" s="119" t="s">
        <v>891</v>
      </c>
      <c r="H253" s="121">
        <f>X253+AA253+AD253+AG253+AJ253+AM253+AP253+AS253+AV253+AY253+BB253+BE253</f>
        <v>0</v>
      </c>
      <c r="I253" s="121">
        <f>Y253+AB253+AE253+AH253+AK253+AN253+AQ253+AT253+AW253+AZ253+BC253+BF253</f>
        <v>0</v>
      </c>
      <c r="J253" s="121">
        <f t="shared" si="2339"/>
        <v>0</v>
      </c>
      <c r="K253" s="121"/>
      <c r="L253" s="149"/>
      <c r="M253" s="149"/>
      <c r="N253" s="121"/>
      <c r="O253" s="121"/>
      <c r="P253" s="121"/>
      <c r="Q253" s="121"/>
      <c r="R253" s="121"/>
      <c r="S253" s="121"/>
      <c r="T253" s="121"/>
      <c r="U253" s="121"/>
      <c r="V253" s="121"/>
      <c r="W253" s="121"/>
      <c r="X253" s="121">
        <f>VLOOKUP($C253,'1 预算编制表单'!$C:$BJ,27,FALSE)</f>
        <v>0</v>
      </c>
      <c r="Y253" s="121">
        <f>X253-Z253</f>
        <v>0</v>
      </c>
      <c r="Z253" s="121">
        <f>SUM(Z254:Z258)</f>
        <v>0</v>
      </c>
      <c r="AA253" s="121">
        <f>VLOOKUP($C253,'1 预算编制表单'!$C:$BJ,30,FALSE)</f>
        <v>0</v>
      </c>
      <c r="AB253" s="121">
        <f>AA253-AC253</f>
        <v>0</v>
      </c>
      <c r="AC253" s="121">
        <f>SUM(AC254:AC258)</f>
        <v>0</v>
      </c>
      <c r="AD253" s="121">
        <f>VLOOKUP($C253,'1 预算编制表单'!$C:$BJ,33,FALSE)</f>
        <v>0</v>
      </c>
      <c r="AE253" s="121">
        <f>AD253-AF253</f>
        <v>0</v>
      </c>
      <c r="AF253" s="121">
        <f>SUM(AF254:AF258)</f>
        <v>0</v>
      </c>
      <c r="AG253" s="121">
        <f>VLOOKUP($C253,'1 预算编制表单'!$C:$BJ,36,FALSE)</f>
        <v>0</v>
      </c>
      <c r="AH253" s="121">
        <f>AG253-AI253</f>
        <v>0</v>
      </c>
      <c r="AI253" s="121">
        <f>SUM(AI254:AI258)</f>
        <v>0</v>
      </c>
      <c r="AJ253" s="121">
        <f>VLOOKUP($C253,'1 预算编制表单'!$C:$BJ,39,FALSE)</f>
        <v>0</v>
      </c>
      <c r="AK253" s="121">
        <f>AJ253-AL253</f>
        <v>0</v>
      </c>
      <c r="AL253" s="121">
        <f>SUM(AL254:AL258)</f>
        <v>0</v>
      </c>
      <c r="AM253" s="121">
        <f>VLOOKUP($C253,'1 预算编制表单'!$C:$BJ,42,FALSE)</f>
        <v>0</v>
      </c>
      <c r="AN253" s="121">
        <f>AM253-AO253</f>
        <v>0</v>
      </c>
      <c r="AO253" s="121">
        <f>SUM(AO254:AO258)</f>
        <v>0</v>
      </c>
      <c r="AP253" s="121">
        <f>VLOOKUP($C253,'1 预算编制表单'!$C:$BJ,45,FALSE)</f>
        <v>0</v>
      </c>
      <c r="AQ253" s="121">
        <f>AP253-AR253</f>
        <v>0</v>
      </c>
      <c r="AR253" s="121">
        <f>SUM(AR254:AR258)</f>
        <v>0</v>
      </c>
      <c r="AS253" s="121">
        <f>VLOOKUP($C253,'1 预算编制表单'!$C:$BJ,48,FALSE)</f>
        <v>0</v>
      </c>
      <c r="AT253" s="121">
        <f>AS253-AU253</f>
        <v>0</v>
      </c>
      <c r="AU253" s="121">
        <f>SUM(AU254:AU258)</f>
        <v>0</v>
      </c>
      <c r="AV253" s="121">
        <f>VLOOKUP($C253,'1 预算编制表单'!$C:$BJ,51,FALSE)</f>
        <v>0</v>
      </c>
      <c r="AW253" s="121">
        <f>AV253-AX253</f>
        <v>0</v>
      </c>
      <c r="AX253" s="121">
        <f>SUM(AX254:AX258)</f>
        <v>0</v>
      </c>
      <c r="AY253" s="121">
        <f>VLOOKUP($C253,'1 预算编制表单'!$C:$BJ,54,FALSE)</f>
        <v>0</v>
      </c>
      <c r="AZ253" s="121">
        <f>AY253-BA253</f>
        <v>0</v>
      </c>
      <c r="BA253" s="121">
        <f>SUM(BA254:BA258)</f>
        <v>0</v>
      </c>
      <c r="BB253" s="121">
        <f>VLOOKUP($C253,'1 预算编制表单'!$C:$BJ,57,FALSE)</f>
        <v>0</v>
      </c>
      <c r="BC253" s="121">
        <f>BB253-BD253</f>
        <v>0</v>
      </c>
      <c r="BD253" s="121">
        <f>SUM(BD254:BD258)</f>
        <v>0</v>
      </c>
      <c r="BE253" s="121">
        <f>VLOOKUP($C253,'1 预算编制表单'!$C:$BJ,60,FALSE)</f>
        <v>0</v>
      </c>
      <c r="BF253" s="121">
        <f>BE253-BG253</f>
        <v>0</v>
      </c>
      <c r="BG253" s="121">
        <f>SUM(BG254:BG258)</f>
        <v>0</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hidden="1" customHeight="1" outlineLevel="4" spans="1:95">
      <c r="A254" s="122"/>
      <c r="B254" s="123"/>
      <c r="C254" s="124"/>
      <c r="D254" s="122"/>
      <c r="E254" s="123"/>
      <c r="F254" s="123"/>
      <c r="G254" s="123"/>
      <c r="H254" s="125"/>
      <c r="I254" s="125"/>
      <c r="J254" s="125">
        <f t="shared" si="2339"/>
        <v>0</v>
      </c>
      <c r="K254" s="125">
        <v>1</v>
      </c>
      <c r="L254" s="150"/>
      <c r="M254" s="151">
        <f>IFERROR(VLOOKUP($L254,'2-2 引出数据_合同数据仓库'!$B$5:$BP$20,3,FALSE),0)</f>
        <v>0</v>
      </c>
      <c r="N254" s="125"/>
      <c r="O254" s="151">
        <f>IFERROR(VLOOKUP((LEFT(VLOOKUP($L254,'2-2 引出数据_合同数据仓库'!$B$5:$BP$20,64,FALSE),15)&amp;(RIGHT(VLOOKUP($L254,'2-2 引出数据_合同数据仓库'!$B$5:$BP$20,64,FALSE),4)+1)),'2-2 引出数据_合同数据仓库'!$B$5:$BP$20,3,FALSE),0)</f>
        <v>0</v>
      </c>
      <c r="P254" s="125"/>
      <c r="Q254" s="125">
        <f>IFERROR(VLOOKUP($L254,'2-2 引出数据_合同数据仓库'!$B$5:$BP$20,28,FALSE),0)</f>
        <v>0</v>
      </c>
      <c r="R254" s="125">
        <f>IFERROR(VLOOKUP($L254,'2-2 引出数据_合同数据仓库'!$B$5:$BP$20,29,FALSE),0)</f>
        <v>0</v>
      </c>
      <c r="S254" s="125">
        <f>IFERROR(VLOOKUP($L254,'2-2 引出数据_合同数据仓库'!$B$5:$BP$20,4,FALSE),0)</f>
        <v>0</v>
      </c>
      <c r="T254" s="125"/>
      <c r="U254" s="125">
        <f>IFERROR(VLOOKUP($L254,'2-2 引出数据_合同数据仓库'!$B$5:$BP$20,15,FALSE),0)</f>
        <v>0</v>
      </c>
      <c r="V254" s="125">
        <f t="shared" ref="V254:V257" si="2988">U254/(S254-R254+1)*365</f>
        <v>0</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0</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0</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0</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0</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0</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0</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0</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0</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0</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0</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0</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0</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hidden="1" customHeight="1" outlineLevel="4" spans="1:95">
      <c r="A255" s="122"/>
      <c r="B255" s="123"/>
      <c r="C255" s="124"/>
      <c r="D255" s="122"/>
      <c r="E255" s="123"/>
      <c r="F255" s="123"/>
      <c r="G255" s="123"/>
      <c r="H255" s="125"/>
      <c r="I255" s="125"/>
      <c r="J255" s="125">
        <f t="shared" si="2339"/>
        <v>0</v>
      </c>
      <c r="K255" s="125">
        <f t="shared" ref="K255:K257" si="3059">K254+1</f>
        <v>2</v>
      </c>
      <c r="L255" s="150"/>
      <c r="M255" s="151">
        <f>IFERROR(VLOOKUP($L255,'2-2 引出数据_合同数据仓库'!$B$5:$BP$20,3,FALSE),0)</f>
        <v>0</v>
      </c>
      <c r="N255" s="125"/>
      <c r="O255" s="151">
        <f>IFERROR(VLOOKUP((LEFT(VLOOKUP($L255,'2-2 引出数据_合同数据仓库'!$B$5:$BP$20,64,FALSE),15)&amp;(RIGHT(VLOOKUP($L255,'2-2 引出数据_合同数据仓库'!$B$5:$BP$20,64,FALSE),4)+1)),'2-2 引出数据_合同数据仓库'!$B$5:$BP$20,3,FALSE),0)</f>
        <v>0</v>
      </c>
      <c r="P255" s="125"/>
      <c r="Q255" s="125">
        <f>IFERROR(VLOOKUP($L255,'2-2 引出数据_合同数据仓库'!$B$5:$BP$20,28,FALSE),0)</f>
        <v>0</v>
      </c>
      <c r="R255" s="125">
        <f>IFERROR(VLOOKUP($L255,'2-2 引出数据_合同数据仓库'!$B$5:$BP$20,29,FALSE),0)</f>
        <v>0</v>
      </c>
      <c r="S255" s="125">
        <f>IFERROR(VLOOKUP($L255,'2-2 引出数据_合同数据仓库'!$B$5:$BP$20,4,FALSE),0)</f>
        <v>0</v>
      </c>
      <c r="T255" s="125"/>
      <c r="U255" s="125">
        <f>IFERROR(VLOOKUP($L255,'2-2 引出数据_合同数据仓库'!$B$5:$BP$20,15,FALSE),0)</f>
        <v>0</v>
      </c>
      <c r="V255" s="125">
        <f t="shared" si="2988"/>
        <v>0</v>
      </c>
      <c r="W255" s="125"/>
      <c r="X255" s="157">
        <v>45658</v>
      </c>
      <c r="Y255" s="157">
        <f t="shared" si="2989"/>
        <v>45688</v>
      </c>
      <c r="Z255" s="161">
        <f t="shared" si="2990"/>
        <v>0</v>
      </c>
      <c r="AA255" s="157">
        <f t="shared" si="2991"/>
        <v>45689</v>
      </c>
      <c r="AB255" s="157">
        <f t="shared" si="2992"/>
        <v>45716</v>
      </c>
      <c r="AC255" s="161">
        <f t="shared" si="2993"/>
        <v>0</v>
      </c>
      <c r="AD255" s="157">
        <f t="shared" si="2994"/>
        <v>45717</v>
      </c>
      <c r="AE255" s="157">
        <f t="shared" si="2995"/>
        <v>45747</v>
      </c>
      <c r="AF255" s="161">
        <f t="shared" si="2996"/>
        <v>0</v>
      </c>
      <c r="AG255" s="157">
        <f t="shared" si="2997"/>
        <v>45748</v>
      </c>
      <c r="AH255" s="157">
        <f t="shared" si="2998"/>
        <v>45777</v>
      </c>
      <c r="AI255" s="161">
        <f t="shared" si="2999"/>
        <v>0</v>
      </c>
      <c r="AJ255" s="157">
        <f t="shared" si="3000"/>
        <v>45778</v>
      </c>
      <c r="AK255" s="157">
        <f t="shared" si="3001"/>
        <v>45808</v>
      </c>
      <c r="AL255" s="161">
        <f t="shared" si="3002"/>
        <v>0</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hidden="1" customHeight="1" outlineLevel="4" spans="1:95">
      <c r="A256" s="122"/>
      <c r="B256" s="123"/>
      <c r="C256" s="124"/>
      <c r="D256" s="122"/>
      <c r="E256" s="123"/>
      <c r="F256" s="123"/>
      <c r="G256" s="123"/>
      <c r="H256" s="125"/>
      <c r="I256" s="125"/>
      <c r="J256" s="125">
        <f t="shared" si="2339"/>
        <v>0</v>
      </c>
      <c r="K256" s="125">
        <f t="shared" si="3059"/>
        <v>3</v>
      </c>
      <c r="L256" s="150"/>
      <c r="M256" s="151">
        <f>IFERROR(VLOOKUP($L256,'2-2 引出数据_合同数据仓库'!$B$5:$BP$20,3,FALSE),0)</f>
        <v>0</v>
      </c>
      <c r="N256" s="125"/>
      <c r="O256" s="151">
        <f>IFERROR(VLOOKUP((LEFT(VLOOKUP($L256,'2-2 引出数据_合同数据仓库'!$B$5:$BP$20,64,FALSE),15)&amp;(RIGHT(VLOOKUP($L256,'2-2 引出数据_合同数据仓库'!$B$5:$BP$20,64,FALSE),4)+1)),'2-2 引出数据_合同数据仓库'!$B$5:$BP$20,3,FALSE),0)</f>
        <v>0</v>
      </c>
      <c r="P256" s="125"/>
      <c r="Q256" s="125">
        <f>IFERROR(VLOOKUP($L256,'2-2 引出数据_合同数据仓库'!$B$5:$BP$20,28,FALSE),0)</f>
        <v>0</v>
      </c>
      <c r="R256" s="125">
        <f>IFERROR(VLOOKUP($L256,'2-2 引出数据_合同数据仓库'!$B$5:$BP$20,29,FALSE),0)</f>
        <v>0</v>
      </c>
      <c r="S256" s="125">
        <f>IFERROR(VLOOKUP($L256,'2-2 引出数据_合同数据仓库'!$B$5:$BP$20,4,FALSE),0)</f>
        <v>0</v>
      </c>
      <c r="T256" s="125"/>
      <c r="U256" s="125">
        <f>IFERROR(VLOOKUP($L256,'2-2 引出数据_合同数据仓库'!$B$5:$BP$20,15,FALSE),0)</f>
        <v>0</v>
      </c>
      <c r="V256" s="125">
        <f t="shared" si="2988"/>
        <v>0</v>
      </c>
      <c r="W256" s="125"/>
      <c r="X256" s="157">
        <v>45658</v>
      </c>
      <c r="Y256" s="157">
        <f t="shared" si="2989"/>
        <v>45688</v>
      </c>
      <c r="Z256" s="161">
        <f t="shared" si="2990"/>
        <v>0</v>
      </c>
      <c r="AA256" s="157">
        <f t="shared" si="2991"/>
        <v>45689</v>
      </c>
      <c r="AB256" s="157">
        <f t="shared" si="2992"/>
        <v>45716</v>
      </c>
      <c r="AC256" s="161">
        <f t="shared" si="2993"/>
        <v>0</v>
      </c>
      <c r="AD256" s="157">
        <f t="shared" si="2994"/>
        <v>45717</v>
      </c>
      <c r="AE256" s="157">
        <f t="shared" si="2995"/>
        <v>45747</v>
      </c>
      <c r="AF256" s="161">
        <f t="shared" si="2996"/>
        <v>0</v>
      </c>
      <c r="AG256" s="157">
        <f t="shared" si="2997"/>
        <v>45748</v>
      </c>
      <c r="AH256" s="157">
        <f t="shared" si="2998"/>
        <v>45777</v>
      </c>
      <c r="AI256" s="161">
        <f t="shared" si="2999"/>
        <v>0</v>
      </c>
      <c r="AJ256" s="157">
        <f t="shared" si="3000"/>
        <v>45778</v>
      </c>
      <c r="AK256" s="157">
        <f t="shared" si="3001"/>
        <v>45808</v>
      </c>
      <c r="AL256" s="161">
        <f t="shared" si="3002"/>
        <v>0</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hidden="1"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引出数据_合同数据仓库'!$B$5:$BP$20,3,FALSE),0)</f>
        <v>0</v>
      </c>
      <c r="N257" s="125"/>
      <c r="O257" s="151">
        <f>IFERROR(VLOOKUP((LEFT(VLOOKUP($L257,'2-2 引出数据_合同数据仓库'!$B$5:$BP$20,64,FALSE),15)&amp;(RIGHT(VLOOKUP($L257,'2-2 引出数据_合同数据仓库'!$B$5:$BP$20,64,FALSE),4)+1)),'2-2 引出数据_合同数据仓库'!$B$5:$BP$20,3,FALSE),0)</f>
        <v>0</v>
      </c>
      <c r="P257" s="125"/>
      <c r="Q257" s="125">
        <f>IFERROR(VLOOKUP($L257,'2-2 引出数据_合同数据仓库'!$B$5:$BP$20,28,FALSE),0)</f>
        <v>0</v>
      </c>
      <c r="R257" s="125">
        <f>IFERROR(VLOOKUP($L257,'2-2 引出数据_合同数据仓库'!$B$5:$BP$20,29,FALSE),0)</f>
        <v>0</v>
      </c>
      <c r="S257" s="125">
        <f>IFERROR(VLOOKUP($L257,'2-2 引出数据_合同数据仓库'!$B$5:$BP$20,4,FALSE),0)</f>
        <v>0</v>
      </c>
      <c r="T257" s="125"/>
      <c r="U257" s="125">
        <f>IFERROR(VLOOKUP($L257,'2-2 引出数据_合同数据仓库'!$B$5:$BP$20,15,FALSE),0)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hidden="1" customHeight="1" outlineLevel="4" spans="1:95">
      <c r="A258" s="126" t="s">
        <v>2770</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hidden="1" customHeight="1" outlineLevel="3" collapsed="1" spans="1:95">
      <c r="A259" s="118"/>
      <c r="B259" s="119" t="s">
        <v>747</v>
      </c>
      <c r="C259" s="120" t="s">
        <v>1160</v>
      </c>
      <c r="D259" s="118" t="s">
        <v>1161</v>
      </c>
      <c r="E259" s="119" t="s">
        <v>1162</v>
      </c>
      <c r="F259" s="119"/>
      <c r="G259" s="119" t="s">
        <v>891</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hidden="1"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引出数据_合同数据仓库'!$B$5:$BP$20,3,FALSE),0)</f>
        <v>0</v>
      </c>
      <c r="N260" s="125"/>
      <c r="O260" s="151">
        <f>IFERROR(VLOOKUP((LEFT(VLOOKUP($L260,'2-2 引出数据_合同数据仓库'!$B$5:$BP$20,64,FALSE),15)&amp;(RIGHT(VLOOKUP($L260,'2-2 引出数据_合同数据仓库'!$B$5:$BP$20,64,FALSE),4)+1)),'2-2 引出数据_合同数据仓库'!$B$5:$BP$20,3,FALSE),0)</f>
        <v>0</v>
      </c>
      <c r="P260" s="125"/>
      <c r="Q260" s="125">
        <f>IFERROR(VLOOKUP($L260,'2-2 引出数据_合同数据仓库'!$B$5:$BP$20,28,FALSE),0)</f>
        <v>0</v>
      </c>
      <c r="R260" s="125">
        <f>IFERROR(VLOOKUP($L260,'2-2 引出数据_合同数据仓库'!$B$5:$BP$20,29,FALSE),0)</f>
        <v>0</v>
      </c>
      <c r="S260" s="125">
        <f>IFERROR(VLOOKUP($L260,'2-2 引出数据_合同数据仓库'!$B$5:$BP$20,4,FALSE),0)</f>
        <v>0</v>
      </c>
      <c r="T260" s="125"/>
      <c r="U260" s="125">
        <f>IFERROR(VLOOKUP($L260,'2-2 引出数据_合同数据仓库'!$B$5:$BP$20,15,FALSE),0)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hidden="1"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引出数据_合同数据仓库'!$B$5:$BP$20,3,FALSE),0)</f>
        <v>0</v>
      </c>
      <c r="N261" s="125"/>
      <c r="O261" s="151">
        <f>IFERROR(VLOOKUP((LEFT(VLOOKUP($L261,'2-2 引出数据_合同数据仓库'!$B$5:$BP$20,64,FALSE),15)&amp;(RIGHT(VLOOKUP($L261,'2-2 引出数据_合同数据仓库'!$B$5:$BP$20,64,FALSE),4)+1)),'2-2 引出数据_合同数据仓库'!$B$5:$BP$20,3,FALSE),0)</f>
        <v>0</v>
      </c>
      <c r="P261" s="125"/>
      <c r="Q261" s="125">
        <f>IFERROR(VLOOKUP($L261,'2-2 引出数据_合同数据仓库'!$B$5:$BP$20,28,FALSE),0)</f>
        <v>0</v>
      </c>
      <c r="R261" s="125">
        <f>IFERROR(VLOOKUP($L261,'2-2 引出数据_合同数据仓库'!$B$5:$BP$20,29,FALSE),0)</f>
        <v>0</v>
      </c>
      <c r="S261" s="125">
        <f>IFERROR(VLOOKUP($L261,'2-2 引出数据_合同数据仓库'!$B$5:$BP$20,4,FALSE),0)</f>
        <v>0</v>
      </c>
      <c r="T261" s="125"/>
      <c r="U261" s="125">
        <f>IFERROR(VLOOKUP($L261,'2-2 引出数据_合同数据仓库'!$B$5:$BP$20,15,FALSE),0)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hidden="1"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引出数据_合同数据仓库'!$B$5:$BP$20,3,FALSE),0)</f>
        <v>0</v>
      </c>
      <c r="N262" s="125"/>
      <c r="O262" s="151">
        <f>IFERROR(VLOOKUP((LEFT(VLOOKUP($L262,'2-2 引出数据_合同数据仓库'!$B$5:$BP$20,64,FALSE),15)&amp;(RIGHT(VLOOKUP($L262,'2-2 引出数据_合同数据仓库'!$B$5:$BP$20,64,FALSE),4)+1)),'2-2 引出数据_合同数据仓库'!$B$5:$BP$20,3,FALSE),0)</f>
        <v>0</v>
      </c>
      <c r="P262" s="125"/>
      <c r="Q262" s="125">
        <f>IFERROR(VLOOKUP($L262,'2-2 引出数据_合同数据仓库'!$B$5:$BP$20,28,FALSE),0)</f>
        <v>0</v>
      </c>
      <c r="R262" s="125">
        <f>IFERROR(VLOOKUP($L262,'2-2 引出数据_合同数据仓库'!$B$5:$BP$20,29,FALSE),0)</f>
        <v>0</v>
      </c>
      <c r="S262" s="125">
        <f>IFERROR(VLOOKUP($L262,'2-2 引出数据_合同数据仓库'!$B$5:$BP$20,4,FALSE),0)</f>
        <v>0</v>
      </c>
      <c r="T262" s="125"/>
      <c r="U262" s="125">
        <f>IFERROR(VLOOKUP($L262,'2-2 引出数据_合同数据仓库'!$B$5:$BP$20,15,FALSE),0)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hidden="1"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引出数据_合同数据仓库'!$B$5:$BP$20,3,FALSE),0)</f>
        <v>0</v>
      </c>
      <c r="N263" s="125"/>
      <c r="O263" s="151">
        <f>IFERROR(VLOOKUP((LEFT(VLOOKUP($L263,'2-2 引出数据_合同数据仓库'!$B$5:$BP$20,64,FALSE),15)&amp;(RIGHT(VLOOKUP($L263,'2-2 引出数据_合同数据仓库'!$B$5:$BP$20,64,FALSE),4)+1)),'2-2 引出数据_合同数据仓库'!$B$5:$BP$20,3,FALSE),0)</f>
        <v>0</v>
      </c>
      <c r="P263" s="125"/>
      <c r="Q263" s="125">
        <f>IFERROR(VLOOKUP($L263,'2-2 引出数据_合同数据仓库'!$B$5:$BP$20,28,FALSE),0)</f>
        <v>0</v>
      </c>
      <c r="R263" s="125">
        <f>IFERROR(VLOOKUP($L263,'2-2 引出数据_合同数据仓库'!$B$5:$BP$20,29,FALSE),0)</f>
        <v>0</v>
      </c>
      <c r="S263" s="125">
        <f>IFERROR(VLOOKUP($L263,'2-2 引出数据_合同数据仓库'!$B$5:$BP$20,4,FALSE),0)</f>
        <v>0</v>
      </c>
      <c r="T263" s="125"/>
      <c r="U263" s="125">
        <f>IFERROR(VLOOKUP($L263,'2-2 引出数据_合同数据仓库'!$B$5:$BP$20,15,FALSE),0)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hidden="1" customHeight="1" outlineLevel="4" spans="1:95">
      <c r="A264" s="126" t="s">
        <v>2770</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hidden="1" customHeight="1" outlineLevel="2" collapsed="1" spans="1:95">
      <c r="A265" s="48"/>
      <c r="B265" s="115" t="s">
        <v>742</v>
      </c>
      <c r="C265" s="116" t="s">
        <v>40</v>
      </c>
      <c r="D265" s="48" t="s">
        <v>41</v>
      </c>
      <c r="E265" s="115"/>
      <c r="F265" s="115"/>
      <c r="G265" s="115"/>
      <c r="H265" s="117">
        <f>X265+AA265+AD265+AG265+AJ265+AM265+AP265+AS265+AV265+AY265+BB265+BE265</f>
        <v>0</v>
      </c>
      <c r="I265" s="117">
        <f>Y265+AB265+AE265+AH265+AK265+AN265+AQ265+AT265+AW265+AZ265+BC265+BF265</f>
        <v>0</v>
      </c>
      <c r="J265" s="117">
        <f t="shared" si="3131"/>
        <v>0</v>
      </c>
      <c r="K265" s="117"/>
      <c r="L265" s="148"/>
      <c r="M265" s="148"/>
      <c r="N265" s="117"/>
      <c r="O265" s="117"/>
      <c r="P265" s="117"/>
      <c r="Q265" s="117"/>
      <c r="R265" s="117"/>
      <c r="S265" s="117"/>
      <c r="T265" s="117"/>
      <c r="U265" s="117"/>
      <c r="V265" s="117"/>
      <c r="W265" s="117"/>
      <c r="X265" s="117">
        <f>VLOOKUP($C265,'1 预算编制表单'!$C:$BJ,27,FALSE)</f>
        <v>0</v>
      </c>
      <c r="Y265" s="117">
        <f>X265-Z265</f>
        <v>0</v>
      </c>
      <c r="Z265" s="117">
        <f>Z266+Z272</f>
        <v>0</v>
      </c>
      <c r="AA265" s="117">
        <f>VLOOKUP($C265,'1 预算编制表单'!$C:$BJ,30,FALSE)</f>
        <v>0</v>
      </c>
      <c r="AB265" s="117">
        <f>AA265-AC265</f>
        <v>0</v>
      </c>
      <c r="AC265" s="117">
        <f>AC266+AC272</f>
        <v>0</v>
      </c>
      <c r="AD265" s="117">
        <f>VLOOKUP($C265,'1 预算编制表单'!$C:$BJ,33,FALSE)</f>
        <v>0</v>
      </c>
      <c r="AE265" s="117">
        <f>AD265-AF265</f>
        <v>0</v>
      </c>
      <c r="AF265" s="117">
        <f>AF266+AF272</f>
        <v>0</v>
      </c>
      <c r="AG265" s="117">
        <f>VLOOKUP($C265,'1 预算编制表单'!$C:$BJ,36,FALSE)</f>
        <v>0</v>
      </c>
      <c r="AH265" s="117">
        <f>AG265-AI265</f>
        <v>0</v>
      </c>
      <c r="AI265" s="117">
        <f>AI266+AI272</f>
        <v>0</v>
      </c>
      <c r="AJ265" s="117">
        <f>VLOOKUP($C265,'1 预算编制表单'!$C:$BJ,39,FALSE)</f>
        <v>0</v>
      </c>
      <c r="AK265" s="117">
        <f>AJ265-AL265</f>
        <v>0</v>
      </c>
      <c r="AL265" s="117">
        <f>AL266+AL272</f>
        <v>0</v>
      </c>
      <c r="AM265" s="117">
        <f>VLOOKUP($C265,'1 预算编制表单'!$C:$BJ,42,FALSE)</f>
        <v>0</v>
      </c>
      <c r="AN265" s="117">
        <f>AM265-AO265</f>
        <v>0</v>
      </c>
      <c r="AO265" s="117">
        <f>AO266+AO272</f>
        <v>0</v>
      </c>
      <c r="AP265" s="117">
        <f>VLOOKUP($C265,'1 预算编制表单'!$C:$BJ,45,FALSE)</f>
        <v>0</v>
      </c>
      <c r="AQ265" s="117">
        <f>AP265-AR265</f>
        <v>0</v>
      </c>
      <c r="AR265" s="117">
        <f>AR266+AR272</f>
        <v>0</v>
      </c>
      <c r="AS265" s="117">
        <f>VLOOKUP($C265,'1 预算编制表单'!$C:$BJ,48,FALSE)</f>
        <v>0</v>
      </c>
      <c r="AT265" s="117">
        <f>AS265-AU265</f>
        <v>0</v>
      </c>
      <c r="AU265" s="117">
        <f>AU266+AU272</f>
        <v>0</v>
      </c>
      <c r="AV265" s="117">
        <f>VLOOKUP($C265,'1 预算编制表单'!$C:$BJ,51,FALSE)</f>
        <v>0</v>
      </c>
      <c r="AW265" s="117">
        <f>AV265-AX265</f>
        <v>0</v>
      </c>
      <c r="AX265" s="117">
        <f>AX266+AX272</f>
        <v>0</v>
      </c>
      <c r="AY265" s="117">
        <f>VLOOKUP($C265,'1 预算编制表单'!$C:$BJ,54,FALSE)</f>
        <v>0</v>
      </c>
      <c r="AZ265" s="117">
        <f>AY265-BA265</f>
        <v>0</v>
      </c>
      <c r="BA265" s="117">
        <f>BA266+BA272</f>
        <v>0</v>
      </c>
      <c r="BB265" s="117">
        <f>VLOOKUP($C265,'1 预算编制表单'!$C:$BJ,57,FALSE)</f>
        <v>0</v>
      </c>
      <c r="BC265" s="117">
        <f>BB265-BD265</f>
        <v>0</v>
      </c>
      <c r="BD265" s="117">
        <f>BD266+BD272</f>
        <v>0</v>
      </c>
      <c r="BE265" s="117">
        <f>VLOOKUP($C265,'1 预算编制表单'!$C:$BJ,60,FALSE)</f>
        <v>0</v>
      </c>
      <c r="BF265" s="117">
        <f>BE265-BG265</f>
        <v>0</v>
      </c>
      <c r="BG265" s="117">
        <f>BG266+BG272</f>
        <v>0</v>
      </c>
      <c r="BH265" s="117">
        <f>VLOOKUP($C265,'1 预算编制表单'!$C:$BJ,27,FALSE)</f>
        <v>0</v>
      </c>
      <c r="BI265" s="117">
        <f>BH265-BJ265</f>
        <v>0</v>
      </c>
      <c r="BJ265" s="117">
        <f>BJ266+BJ272</f>
        <v>0</v>
      </c>
      <c r="BK265" s="117">
        <f>VLOOKUP($C265,'1 预算编制表单'!$C:$BJ,30,FALSE)</f>
        <v>0</v>
      </c>
      <c r="BL265" s="117">
        <f>BK265-BM265</f>
        <v>0</v>
      </c>
      <c r="BM265" s="117">
        <f>BM266+BM272</f>
        <v>0</v>
      </c>
      <c r="BN265" s="117">
        <f>VLOOKUP($C265,'1 预算编制表单'!$C:$BJ,33,FALSE)</f>
        <v>0</v>
      </c>
      <c r="BO265" s="117">
        <f>BN265-BP265</f>
        <v>0</v>
      </c>
      <c r="BP265" s="117">
        <f>BP266+BP272</f>
        <v>0</v>
      </c>
      <c r="BQ265" s="117">
        <f>VLOOKUP($C265,'1 预算编制表单'!$C:$BJ,36,FALSE)</f>
        <v>0</v>
      </c>
      <c r="BR265" s="117">
        <f>BQ265-BS265</f>
        <v>0</v>
      </c>
      <c r="BS265" s="117">
        <f>BS266+BS272</f>
        <v>0</v>
      </c>
      <c r="BT265" s="117">
        <f>VLOOKUP($C265,'1 预算编制表单'!$C:$BJ,39,FALSE)</f>
        <v>0</v>
      </c>
      <c r="BU265" s="117">
        <f>BT265-BV265</f>
        <v>0</v>
      </c>
      <c r="BV265" s="117">
        <f>BV266+BV272</f>
        <v>0</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hidden="1" customHeight="1" outlineLevel="3" collapsed="1" spans="1:95">
      <c r="A266" s="118"/>
      <c r="B266" s="119" t="s">
        <v>747</v>
      </c>
      <c r="C266" s="120" t="s">
        <v>1163</v>
      </c>
      <c r="D266" s="118" t="s">
        <v>1164</v>
      </c>
      <c r="E266" s="119" t="s">
        <v>1165</v>
      </c>
      <c r="F266" s="119"/>
      <c r="G266" s="119" t="s">
        <v>891</v>
      </c>
      <c r="H266" s="121">
        <f>X266+AA266+AD266+AG266+AJ266+AM266+AP266+AS266+AV266+AY266+BB266+BE266</f>
        <v>0</v>
      </c>
      <c r="I266" s="121">
        <f>Y266+AB266+AE266+AH266+AK266+AN266+AQ266+AT266+AW266+AZ266+BC266+BF266</f>
        <v>0</v>
      </c>
      <c r="J266" s="121">
        <f t="shared" si="3131"/>
        <v>0</v>
      </c>
      <c r="K266" s="121"/>
      <c r="L266" s="149"/>
      <c r="M266" s="149"/>
      <c r="N266" s="121"/>
      <c r="O266" s="121"/>
      <c r="P266" s="121"/>
      <c r="Q266" s="121"/>
      <c r="R266" s="121"/>
      <c r="S266" s="121"/>
      <c r="T266" s="121"/>
      <c r="U266" s="121"/>
      <c r="V266" s="121"/>
      <c r="W266" s="121"/>
      <c r="X266" s="121">
        <f>VLOOKUP($C266,'1 预算编制表单'!$C:$BJ,27,FALSE)</f>
        <v>0</v>
      </c>
      <c r="Y266" s="121">
        <f>X266-Z266</f>
        <v>0</v>
      </c>
      <c r="Z266" s="121">
        <f>SUM(Z267:Z271)</f>
        <v>0</v>
      </c>
      <c r="AA266" s="121">
        <f>VLOOKUP($C266,'1 预算编制表单'!$C:$BJ,30,FALSE)</f>
        <v>0</v>
      </c>
      <c r="AB266" s="121">
        <f>AA266-AC266</f>
        <v>0</v>
      </c>
      <c r="AC266" s="121">
        <f>SUM(AC267:AC271)</f>
        <v>0</v>
      </c>
      <c r="AD266" s="121">
        <f>VLOOKUP($C266,'1 预算编制表单'!$C:$BJ,33,FALSE)</f>
        <v>0</v>
      </c>
      <c r="AE266" s="121">
        <f>AD266-AF266</f>
        <v>0</v>
      </c>
      <c r="AF266" s="121">
        <f>SUM(AF267:AF271)</f>
        <v>0</v>
      </c>
      <c r="AG266" s="121">
        <f>VLOOKUP($C266,'1 预算编制表单'!$C:$BJ,36,FALSE)</f>
        <v>0</v>
      </c>
      <c r="AH266" s="121">
        <f>AG266-AI266</f>
        <v>0</v>
      </c>
      <c r="AI266" s="121">
        <f>SUM(AI267:AI271)</f>
        <v>0</v>
      </c>
      <c r="AJ266" s="121">
        <f>VLOOKUP($C266,'1 预算编制表单'!$C:$BJ,39,FALSE)</f>
        <v>0</v>
      </c>
      <c r="AK266" s="121">
        <f>AJ266-AL266</f>
        <v>0</v>
      </c>
      <c r="AL266" s="121">
        <f>SUM(AL267:AL271)</f>
        <v>0</v>
      </c>
      <c r="AM266" s="121">
        <f>VLOOKUP($C266,'1 预算编制表单'!$C:$BJ,42,FALSE)</f>
        <v>0</v>
      </c>
      <c r="AN266" s="121">
        <f>AM266-AO266</f>
        <v>0</v>
      </c>
      <c r="AO266" s="121">
        <f>SUM(AO267:AO271)</f>
        <v>0</v>
      </c>
      <c r="AP266" s="121">
        <f>VLOOKUP($C266,'1 预算编制表单'!$C:$BJ,45,FALSE)</f>
        <v>0</v>
      </c>
      <c r="AQ266" s="121">
        <f>AP266-AR266</f>
        <v>0</v>
      </c>
      <c r="AR266" s="121">
        <f>SUM(AR267:AR271)</f>
        <v>0</v>
      </c>
      <c r="AS266" s="121">
        <f>VLOOKUP($C266,'1 预算编制表单'!$C:$BJ,48,FALSE)</f>
        <v>0</v>
      </c>
      <c r="AT266" s="121">
        <f>AS266-AU266</f>
        <v>0</v>
      </c>
      <c r="AU266" s="121">
        <f>SUM(AU267:AU271)</f>
        <v>0</v>
      </c>
      <c r="AV266" s="121">
        <f>VLOOKUP($C266,'1 预算编制表单'!$C:$BJ,51,FALSE)</f>
        <v>0</v>
      </c>
      <c r="AW266" s="121">
        <f>AV266-AX266</f>
        <v>0</v>
      </c>
      <c r="AX266" s="121">
        <f>SUM(AX267:AX271)</f>
        <v>0</v>
      </c>
      <c r="AY266" s="121">
        <f>VLOOKUP($C266,'1 预算编制表单'!$C:$BJ,54,FALSE)</f>
        <v>0</v>
      </c>
      <c r="AZ266" s="121">
        <f>AY266-BA266</f>
        <v>0</v>
      </c>
      <c r="BA266" s="121">
        <f>SUM(BA267:BA271)</f>
        <v>0</v>
      </c>
      <c r="BB266" s="121">
        <f>VLOOKUP($C266,'1 预算编制表单'!$C:$BJ,57,FALSE)</f>
        <v>0</v>
      </c>
      <c r="BC266" s="121">
        <f>BB266-BD266</f>
        <v>0</v>
      </c>
      <c r="BD266" s="121">
        <f>SUM(BD267:BD271)</f>
        <v>0</v>
      </c>
      <c r="BE266" s="121">
        <f>VLOOKUP($C266,'1 预算编制表单'!$C:$BJ,60,FALSE)</f>
        <v>0</v>
      </c>
      <c r="BF266" s="121">
        <f>BE266-BG266</f>
        <v>0</v>
      </c>
      <c r="BG266" s="121">
        <f>SUM(BG267:BG271)</f>
        <v>0</v>
      </c>
      <c r="BH266" s="121">
        <f>VLOOKUP($C266,'1 预算编制表单'!$C:$BJ,27,FALSE)</f>
        <v>0</v>
      </c>
      <c r="BI266" s="121">
        <f>BH266-BJ266</f>
        <v>0</v>
      </c>
      <c r="BJ266" s="121">
        <f>SUM(BJ267:BJ271)</f>
        <v>0</v>
      </c>
      <c r="BK266" s="121">
        <f>VLOOKUP($C266,'1 预算编制表单'!$C:$BJ,30,FALSE)</f>
        <v>0</v>
      </c>
      <c r="BL266" s="121">
        <f>BK266-BM266</f>
        <v>0</v>
      </c>
      <c r="BM266" s="121">
        <f>SUM(BM267:BM271)</f>
        <v>0</v>
      </c>
      <c r="BN266" s="121">
        <f>VLOOKUP($C266,'1 预算编制表单'!$C:$BJ,33,FALSE)</f>
        <v>0</v>
      </c>
      <c r="BO266" s="121">
        <f>BN266-BP266</f>
        <v>0</v>
      </c>
      <c r="BP266" s="121">
        <f>SUM(BP267:BP271)</f>
        <v>0</v>
      </c>
      <c r="BQ266" s="121">
        <f>VLOOKUP($C266,'1 预算编制表单'!$C:$BJ,36,FALSE)</f>
        <v>0</v>
      </c>
      <c r="BR266" s="121">
        <f>BQ266-BS266</f>
        <v>0</v>
      </c>
      <c r="BS266" s="121">
        <f>SUM(BS267:BS271)</f>
        <v>0</v>
      </c>
      <c r="BT266" s="121">
        <f>VLOOKUP($C266,'1 预算编制表单'!$C:$BJ,39,FALSE)</f>
        <v>0</v>
      </c>
      <c r="BU266" s="121">
        <f>BT266-BV266</f>
        <v>0</v>
      </c>
      <c r="BV266" s="121">
        <f>SUM(BV267:BV271)</f>
        <v>0</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hidden="1" customHeight="1" outlineLevel="4" spans="1:95">
      <c r="A267" s="122"/>
      <c r="B267" s="123"/>
      <c r="C267" s="124"/>
      <c r="D267" s="122"/>
      <c r="E267" s="123"/>
      <c r="F267" s="123"/>
      <c r="G267" s="123"/>
      <c r="H267" s="125"/>
      <c r="I267" s="125"/>
      <c r="J267" s="125">
        <f t="shared" si="3131"/>
        <v>0</v>
      </c>
      <c r="K267" s="125">
        <v>1</v>
      </c>
      <c r="L267" s="150"/>
      <c r="M267" s="151">
        <f>IFERROR(VLOOKUP($L267,'2-2 引出数据_合同数据仓库'!$B$5:$BP$20,3,FALSE),0)</f>
        <v>0</v>
      </c>
      <c r="N267" s="125"/>
      <c r="O267" s="151">
        <f>IFERROR(VLOOKUP((LEFT(VLOOKUP($L267,'2-2 引出数据_合同数据仓库'!$B$5:$BP$20,64,FALSE),15)&amp;(RIGHT(VLOOKUP($L267,'2-2 引出数据_合同数据仓库'!$B$5:$BP$20,64,FALSE),4)+1)),'2-2 引出数据_合同数据仓库'!$B$5:$BP$20,3,FALSE),0)</f>
        <v>0</v>
      </c>
      <c r="P267" s="125"/>
      <c r="Q267" s="125">
        <f>IFERROR(VLOOKUP($L267,'2-2 引出数据_合同数据仓库'!$B$5:$BP$20,28,FALSE),0)</f>
        <v>0</v>
      </c>
      <c r="R267" s="125">
        <f>IFERROR(VLOOKUP($L267,'2-2 引出数据_合同数据仓库'!$B$5:$BP$20,29,FALSE),0)</f>
        <v>0</v>
      </c>
      <c r="S267" s="125">
        <f>IFERROR(VLOOKUP($L267,'2-2 引出数据_合同数据仓库'!$B$5:$BP$20,4,FALSE),0)</f>
        <v>0</v>
      </c>
      <c r="T267" s="125"/>
      <c r="U267" s="125">
        <f>IFERROR(VLOOKUP($L267,'2-2 引出数据_合同数据仓库'!$B$5:$BP$20,15,FALSE),0)</f>
        <v>0</v>
      </c>
      <c r="V267" s="125">
        <f t="shared" ref="V267:V270" si="3133">U267/(S267-R267+1)*365</f>
        <v>0</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0</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0</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0</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0</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0</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0</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0</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0</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0</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0</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0</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0</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0</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0</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0</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0</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0</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hidden="1"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引出数据_合同数据仓库'!$B$5:$BP$20,3,FALSE),0)</f>
        <v>0</v>
      </c>
      <c r="N268" s="125"/>
      <c r="O268" s="151">
        <f>IFERROR(VLOOKUP((LEFT(VLOOKUP($L268,'2-2 引出数据_合同数据仓库'!$B$5:$BP$20,64,FALSE),15)&amp;(RIGHT(VLOOKUP($L268,'2-2 引出数据_合同数据仓库'!$B$5:$BP$20,64,FALSE),4)+1)),'2-2 引出数据_合同数据仓库'!$B$5:$BP$20,3,FALSE),0)</f>
        <v>0</v>
      </c>
      <c r="P268" s="125"/>
      <c r="Q268" s="125">
        <f>IFERROR(VLOOKUP($L268,'2-2 引出数据_合同数据仓库'!$B$5:$BP$20,28,FALSE),0)</f>
        <v>0</v>
      </c>
      <c r="R268" s="125">
        <f>IFERROR(VLOOKUP($L268,'2-2 引出数据_合同数据仓库'!$B$5:$BP$20,29,FALSE),0)</f>
        <v>0</v>
      </c>
      <c r="S268" s="125">
        <f>IFERROR(VLOOKUP($L268,'2-2 引出数据_合同数据仓库'!$B$5:$BP$20,4,FALSE),0)</f>
        <v>0</v>
      </c>
      <c r="T268" s="125"/>
      <c r="U268" s="125">
        <f>IFERROR(VLOOKUP($L268,'2-2 引出数据_合同数据仓库'!$B$5:$BP$20,15,FALSE),0)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hidden="1"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引出数据_合同数据仓库'!$B$5:$BP$20,3,FALSE),0)</f>
        <v>0</v>
      </c>
      <c r="N269" s="125"/>
      <c r="O269" s="151">
        <f>IFERROR(VLOOKUP((LEFT(VLOOKUP($L269,'2-2 引出数据_合同数据仓库'!$B$5:$BP$20,64,FALSE),15)&amp;(RIGHT(VLOOKUP($L269,'2-2 引出数据_合同数据仓库'!$B$5:$BP$20,64,FALSE),4)+1)),'2-2 引出数据_合同数据仓库'!$B$5:$BP$20,3,FALSE),0)</f>
        <v>0</v>
      </c>
      <c r="P269" s="125"/>
      <c r="Q269" s="125">
        <f>IFERROR(VLOOKUP($L269,'2-2 引出数据_合同数据仓库'!$B$5:$BP$20,28,FALSE),0)</f>
        <v>0</v>
      </c>
      <c r="R269" s="125">
        <f>IFERROR(VLOOKUP($L269,'2-2 引出数据_合同数据仓库'!$B$5:$BP$20,29,FALSE),0)</f>
        <v>0</v>
      </c>
      <c r="S269" s="125">
        <f>IFERROR(VLOOKUP($L269,'2-2 引出数据_合同数据仓库'!$B$5:$BP$20,4,FALSE),0)</f>
        <v>0</v>
      </c>
      <c r="T269" s="125"/>
      <c r="U269" s="125">
        <f>IFERROR(VLOOKUP($L269,'2-2 引出数据_合同数据仓库'!$B$5:$BP$20,15,FALSE),0)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hidden="1"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引出数据_合同数据仓库'!$B$5:$BP$20,3,FALSE),0)</f>
        <v>0</v>
      </c>
      <c r="N270" s="125"/>
      <c r="O270" s="151">
        <f>IFERROR(VLOOKUP((LEFT(VLOOKUP($L270,'2-2 引出数据_合同数据仓库'!$B$5:$BP$20,64,FALSE),15)&amp;(RIGHT(VLOOKUP($L270,'2-2 引出数据_合同数据仓库'!$B$5:$BP$20,64,FALSE),4)+1)),'2-2 引出数据_合同数据仓库'!$B$5:$BP$20,3,FALSE),0)</f>
        <v>0</v>
      </c>
      <c r="P270" s="125"/>
      <c r="Q270" s="125">
        <f>IFERROR(VLOOKUP($L270,'2-2 引出数据_合同数据仓库'!$B$5:$BP$20,28,FALSE),0)</f>
        <v>0</v>
      </c>
      <c r="R270" s="125">
        <f>IFERROR(VLOOKUP($L270,'2-2 引出数据_合同数据仓库'!$B$5:$BP$20,29,FALSE),0)</f>
        <v>0</v>
      </c>
      <c r="S270" s="125">
        <f>IFERROR(VLOOKUP($L270,'2-2 引出数据_合同数据仓库'!$B$5:$BP$20,4,FALSE),0)</f>
        <v>0</v>
      </c>
      <c r="T270" s="125"/>
      <c r="U270" s="125">
        <f>IFERROR(VLOOKUP($L270,'2-2 引出数据_合同数据仓库'!$B$5:$BP$20,15,FALSE),0)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hidden="1" customHeight="1" outlineLevel="4" spans="1:95">
      <c r="A271" s="126" t="s">
        <v>2770</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hidden="1" customHeight="1" outlineLevel="3" collapsed="1" spans="1:95">
      <c r="A272" s="118"/>
      <c r="B272" s="119" t="s">
        <v>747</v>
      </c>
      <c r="C272" s="120" t="s">
        <v>1166</v>
      </c>
      <c r="D272" s="118" t="s">
        <v>1167</v>
      </c>
      <c r="E272" s="119"/>
      <c r="F272" s="119"/>
      <c r="G272" s="119"/>
      <c r="H272" s="121">
        <f>X272+AA272+AD272+AG272+AJ272+AM272+AP272+AS272+AV272+AY272+BB272+BE272</f>
        <v>0</v>
      </c>
      <c r="I272" s="121">
        <f>Y272+AB272+AE272+AH272+AK272+AN272+AQ272+AT272+AW272+AZ272+BC272+BF272</f>
        <v>0</v>
      </c>
      <c r="J272" s="121">
        <f t="shared" si="3131"/>
        <v>0</v>
      </c>
      <c r="K272" s="121"/>
      <c r="L272" s="149"/>
      <c r="M272" s="149"/>
      <c r="N272" s="121"/>
      <c r="O272" s="121"/>
      <c r="P272" s="121"/>
      <c r="Q272" s="121"/>
      <c r="R272" s="121"/>
      <c r="S272" s="121"/>
      <c r="T272" s="121"/>
      <c r="U272" s="121"/>
      <c r="V272" s="121"/>
      <c r="W272" s="121"/>
      <c r="X272" s="121">
        <f>VLOOKUP($C272,'1 预算编制表单'!$C:$BJ,27,FALSE)</f>
        <v>0</v>
      </c>
      <c r="Y272" s="121">
        <f>X272-Z272</f>
        <v>0</v>
      </c>
      <c r="Z272" s="121">
        <f>SUM(Z273:Z277)</f>
        <v>0</v>
      </c>
      <c r="AA272" s="121">
        <f>VLOOKUP($C272,'1 预算编制表单'!$C:$BJ,30,FALSE)</f>
        <v>0</v>
      </c>
      <c r="AB272" s="121">
        <f>AA272-AC272</f>
        <v>0</v>
      </c>
      <c r="AC272" s="121">
        <f>SUM(AC273:AC277)</f>
        <v>0</v>
      </c>
      <c r="AD272" s="121">
        <f>VLOOKUP($C272,'1 预算编制表单'!$C:$BJ,33,FALSE)</f>
        <v>0</v>
      </c>
      <c r="AE272" s="121">
        <f>AD272-AF272</f>
        <v>0</v>
      </c>
      <c r="AF272" s="121">
        <f>SUM(AF273:AF277)</f>
        <v>0</v>
      </c>
      <c r="AG272" s="121">
        <f>VLOOKUP($C272,'1 预算编制表单'!$C:$BJ,36,FALSE)</f>
        <v>0</v>
      </c>
      <c r="AH272" s="121">
        <f>AG272-AI272</f>
        <v>0</v>
      </c>
      <c r="AI272" s="121">
        <f>SUM(AI273:AI277)</f>
        <v>0</v>
      </c>
      <c r="AJ272" s="121">
        <f>VLOOKUP($C272,'1 预算编制表单'!$C:$BJ,39,FALSE)</f>
        <v>0</v>
      </c>
      <c r="AK272" s="121">
        <f>AJ272-AL272</f>
        <v>0</v>
      </c>
      <c r="AL272" s="121">
        <f>SUM(AL273:AL277)</f>
        <v>0</v>
      </c>
      <c r="AM272" s="121">
        <f>VLOOKUP($C272,'1 预算编制表单'!$C:$BJ,42,FALSE)</f>
        <v>0</v>
      </c>
      <c r="AN272" s="121">
        <f>AM272-AO272</f>
        <v>0</v>
      </c>
      <c r="AO272" s="121">
        <f>SUM(AO273:AO277)</f>
        <v>0</v>
      </c>
      <c r="AP272" s="121">
        <f>VLOOKUP($C272,'1 预算编制表单'!$C:$BJ,45,FALSE)</f>
        <v>0</v>
      </c>
      <c r="AQ272" s="121">
        <f>AP272-AR272</f>
        <v>0</v>
      </c>
      <c r="AR272" s="121">
        <f>SUM(AR273:AR277)</f>
        <v>0</v>
      </c>
      <c r="AS272" s="121">
        <f>VLOOKUP($C272,'1 预算编制表单'!$C:$BJ,48,FALSE)</f>
        <v>0</v>
      </c>
      <c r="AT272" s="121">
        <f>AS272-AU272</f>
        <v>0</v>
      </c>
      <c r="AU272" s="121">
        <f>SUM(AU273:AU277)</f>
        <v>0</v>
      </c>
      <c r="AV272" s="121">
        <f>VLOOKUP($C272,'1 预算编制表单'!$C:$BJ,51,FALSE)</f>
        <v>0</v>
      </c>
      <c r="AW272" s="121">
        <f>AV272-AX272</f>
        <v>0</v>
      </c>
      <c r="AX272" s="121">
        <f>SUM(AX273:AX277)</f>
        <v>0</v>
      </c>
      <c r="AY272" s="121">
        <f>VLOOKUP($C272,'1 预算编制表单'!$C:$BJ,54,FALSE)</f>
        <v>0</v>
      </c>
      <c r="AZ272" s="121">
        <f>AY272-BA272</f>
        <v>0</v>
      </c>
      <c r="BA272" s="121">
        <f>SUM(BA273:BA277)</f>
        <v>0</v>
      </c>
      <c r="BB272" s="121">
        <f>VLOOKUP($C272,'1 预算编制表单'!$C:$BJ,57,FALSE)</f>
        <v>0</v>
      </c>
      <c r="BC272" s="121">
        <f>BB272-BD272</f>
        <v>0</v>
      </c>
      <c r="BD272" s="121">
        <f>SUM(BD273:BD277)</f>
        <v>0</v>
      </c>
      <c r="BE272" s="121">
        <f>VLOOKUP($C272,'1 预算编制表单'!$C:$BJ,60,FALSE)</f>
        <v>0</v>
      </c>
      <c r="BF272" s="121">
        <f>BE272-BG272</f>
        <v>0</v>
      </c>
      <c r="BG272" s="121">
        <f>SUM(BG273:BG277)</f>
        <v>0</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hidden="1" customHeight="1" outlineLevel="4" spans="1:95">
      <c r="A273" s="122"/>
      <c r="B273" s="123"/>
      <c r="C273" s="124"/>
      <c r="D273" s="122"/>
      <c r="E273" s="123"/>
      <c r="F273" s="123"/>
      <c r="G273" s="123"/>
      <c r="H273" s="125"/>
      <c r="I273" s="125"/>
      <c r="J273" s="125">
        <f t="shared" si="3131"/>
        <v>0</v>
      </c>
      <c r="K273" s="125">
        <v>1</v>
      </c>
      <c r="L273" s="150" t="s">
        <v>2778</v>
      </c>
      <c r="M273" s="151">
        <f>IFERROR(VLOOKUP($L273,'2-2 引出数据_合同数据仓库'!$B$5:$BP$20,3,FALSE),0)</f>
        <v>0</v>
      </c>
      <c r="N273" s="125"/>
      <c r="O273" s="151">
        <f>IFERROR(VLOOKUP((LEFT(VLOOKUP($L273,'2-2 引出数据_合同数据仓库'!$B$5:$BP$20,64,FALSE),15)&amp;(RIGHT(VLOOKUP($L273,'2-2 引出数据_合同数据仓库'!$B$5:$BP$20,64,FALSE),4)+1)),'2-2 引出数据_合同数据仓库'!$B$5:$BP$20,3,FALSE),0)</f>
        <v>0</v>
      </c>
      <c r="P273" s="125"/>
      <c r="Q273" s="125">
        <f>IFERROR(VLOOKUP($L273,'2-2 引出数据_合同数据仓库'!$B$5:$BP$20,28,FALSE),0)</f>
        <v>0</v>
      </c>
      <c r="R273" s="125">
        <f>IFERROR(VLOOKUP($L273,'2-2 引出数据_合同数据仓库'!$B$5:$BP$20,29,FALSE),0)</f>
        <v>0</v>
      </c>
      <c r="S273" s="125">
        <f>IFERROR(VLOOKUP($L273,'2-2 引出数据_合同数据仓库'!$B$5:$BP$20,4,FALSE),0)</f>
        <v>0</v>
      </c>
      <c r="T273" s="125"/>
      <c r="U273" s="125">
        <f>IFERROR(VLOOKUP($L273,'2-2 引出数据_合同数据仓库'!$B$5:$BP$20,15,FALSE),0)</f>
        <v>0</v>
      </c>
      <c r="V273" s="125">
        <f t="shared" ref="V273:V276" si="3205">U273/(S273-R273+1)*365</f>
        <v>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0</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0</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0</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0</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0</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0</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0</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0</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0</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0</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0</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0</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hidden="1"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引出数据_合同数据仓库'!$B$5:$BP$20,3,FALSE),0)</f>
        <v>0</v>
      </c>
      <c r="N274" s="125"/>
      <c r="O274" s="151">
        <f>IFERROR(VLOOKUP((LEFT(VLOOKUP($L274,'2-2 引出数据_合同数据仓库'!$B$5:$BP$20,64,FALSE),15)&amp;(RIGHT(VLOOKUP($L274,'2-2 引出数据_合同数据仓库'!$B$5:$BP$20,64,FALSE),4)+1)),'2-2 引出数据_合同数据仓库'!$B$5:$BP$20,3,FALSE),0)</f>
        <v>0</v>
      </c>
      <c r="P274" s="125"/>
      <c r="Q274" s="125">
        <f>IFERROR(VLOOKUP($L274,'2-2 引出数据_合同数据仓库'!$B$5:$BP$20,28,FALSE),0)</f>
        <v>0</v>
      </c>
      <c r="R274" s="125">
        <f>IFERROR(VLOOKUP($L274,'2-2 引出数据_合同数据仓库'!$B$5:$BP$20,29,FALSE),0)</f>
        <v>0</v>
      </c>
      <c r="S274" s="125">
        <f>IFERROR(VLOOKUP($L274,'2-2 引出数据_合同数据仓库'!$B$5:$BP$20,4,FALSE),0)</f>
        <v>0</v>
      </c>
      <c r="T274" s="125"/>
      <c r="U274" s="125">
        <f>IFERROR(VLOOKUP($L274,'2-2 引出数据_合同数据仓库'!$B$5:$BP$20,15,FALSE),0)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hidden="1"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引出数据_合同数据仓库'!$B$5:$BP$20,3,FALSE),0)</f>
        <v>0</v>
      </c>
      <c r="N275" s="125"/>
      <c r="O275" s="151">
        <f>IFERROR(VLOOKUP((LEFT(VLOOKUP($L275,'2-2 引出数据_合同数据仓库'!$B$5:$BP$20,64,FALSE),15)&amp;(RIGHT(VLOOKUP($L275,'2-2 引出数据_合同数据仓库'!$B$5:$BP$20,64,FALSE),4)+1)),'2-2 引出数据_合同数据仓库'!$B$5:$BP$20,3,FALSE),0)</f>
        <v>0</v>
      </c>
      <c r="P275" s="125"/>
      <c r="Q275" s="125">
        <f>IFERROR(VLOOKUP($L275,'2-2 引出数据_合同数据仓库'!$B$5:$BP$20,28,FALSE),0)</f>
        <v>0</v>
      </c>
      <c r="R275" s="125">
        <f>IFERROR(VLOOKUP($L275,'2-2 引出数据_合同数据仓库'!$B$5:$BP$20,29,FALSE),0)</f>
        <v>0</v>
      </c>
      <c r="S275" s="125">
        <f>IFERROR(VLOOKUP($L275,'2-2 引出数据_合同数据仓库'!$B$5:$BP$20,4,FALSE),0)</f>
        <v>0</v>
      </c>
      <c r="T275" s="125"/>
      <c r="U275" s="125">
        <f>IFERROR(VLOOKUP($L275,'2-2 引出数据_合同数据仓库'!$B$5:$BP$20,15,FALSE),0)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hidden="1"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引出数据_合同数据仓库'!$B$5:$BP$20,3,FALSE),0)</f>
        <v>0</v>
      </c>
      <c r="N276" s="125"/>
      <c r="O276" s="151">
        <f>IFERROR(VLOOKUP((LEFT(VLOOKUP($L276,'2-2 引出数据_合同数据仓库'!$B$5:$BP$20,64,FALSE),15)&amp;(RIGHT(VLOOKUP($L276,'2-2 引出数据_合同数据仓库'!$B$5:$BP$20,64,FALSE),4)+1)),'2-2 引出数据_合同数据仓库'!$B$5:$BP$20,3,FALSE),0)</f>
        <v>0</v>
      </c>
      <c r="P276" s="125"/>
      <c r="Q276" s="125">
        <f>IFERROR(VLOOKUP($L276,'2-2 引出数据_合同数据仓库'!$B$5:$BP$20,28,FALSE),0)</f>
        <v>0</v>
      </c>
      <c r="R276" s="125">
        <f>IFERROR(VLOOKUP($L276,'2-2 引出数据_合同数据仓库'!$B$5:$BP$20,29,FALSE),0)</f>
        <v>0</v>
      </c>
      <c r="S276" s="125">
        <f>IFERROR(VLOOKUP($L276,'2-2 引出数据_合同数据仓库'!$B$5:$BP$20,4,FALSE),0)</f>
        <v>0</v>
      </c>
      <c r="T276" s="125"/>
      <c r="U276" s="125">
        <f>IFERROR(VLOOKUP($L276,'2-2 引出数据_合同数据仓库'!$B$5:$BP$20,15,FALSE),0)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hidden="1" customHeight="1" outlineLevel="4" spans="1:95">
      <c r="A277" s="126" t="s">
        <v>2770</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hidden="1" customHeight="1" outlineLevel="2" collapsed="1" spans="1:95">
      <c r="A278" s="48"/>
      <c r="B278" s="115" t="s">
        <v>742</v>
      </c>
      <c r="C278" s="116" t="s">
        <v>42</v>
      </c>
      <c r="D278" s="48" t="s">
        <v>43</v>
      </c>
      <c r="E278" s="115"/>
      <c r="F278" s="115"/>
      <c r="G278" s="115"/>
      <c r="H278" s="117">
        <f>X278+AA278+AD278+AG278+AJ278+AM278+AP278+AS278+AV278+AY278+BB278+BE278</f>
        <v>0</v>
      </c>
      <c r="I278" s="117">
        <f>Y278+AB278+AE278+AH278+AK278+AN278+AQ278+AT278+AW278+AZ278+BC278+BF278</f>
        <v>0</v>
      </c>
      <c r="J278" s="117">
        <f t="shared" si="3131"/>
        <v>0</v>
      </c>
      <c r="K278" s="117"/>
      <c r="L278" s="148"/>
      <c r="M278" s="148"/>
      <c r="N278" s="117"/>
      <c r="O278" s="117"/>
      <c r="P278" s="117"/>
      <c r="Q278" s="117"/>
      <c r="R278" s="117"/>
      <c r="S278" s="117"/>
      <c r="T278" s="117"/>
      <c r="U278" s="117"/>
      <c r="V278" s="117"/>
      <c r="W278" s="117"/>
      <c r="X278" s="117">
        <f>VLOOKUP($C278,'1 预算编制表单'!$C:$BJ,27,FALSE)</f>
        <v>0</v>
      </c>
      <c r="Y278" s="117">
        <f>X278-Z278</f>
        <v>0</v>
      </c>
      <c r="Z278" s="117">
        <f>Z279+Z285+Z291+Z297+Z303+Z309+Z315+Z321+Z327+Z333</f>
        <v>0</v>
      </c>
      <c r="AA278" s="117">
        <f>VLOOKUP($C278,'1 预算编制表单'!$C:$BJ,30,FALSE)</f>
        <v>0</v>
      </c>
      <c r="AB278" s="117">
        <f>AA278-AC278</f>
        <v>0</v>
      </c>
      <c r="AC278" s="117">
        <f>AC279+AC285+AC291+AC297+AC303+AC309+AC315+AC321+AC327+AC333</f>
        <v>0</v>
      </c>
      <c r="AD278" s="117">
        <f>VLOOKUP($C278,'1 预算编制表单'!$C:$BJ,33,FALSE)</f>
        <v>0</v>
      </c>
      <c r="AE278" s="117">
        <f>AD278-AF278</f>
        <v>0</v>
      </c>
      <c r="AF278" s="117">
        <f>AF279+AF285+AF291+AF297+AF303+AF309+AF315+AF321+AF327+AF333</f>
        <v>0</v>
      </c>
      <c r="AG278" s="117">
        <f>VLOOKUP($C278,'1 预算编制表单'!$C:$BJ,36,FALSE)</f>
        <v>0</v>
      </c>
      <c r="AH278" s="117">
        <f>AG278-AI278</f>
        <v>0</v>
      </c>
      <c r="AI278" s="117">
        <f>AI279+AI285+AI291+AI297+AI303+AI309+AI315+AI321+AI327+AI333</f>
        <v>0</v>
      </c>
      <c r="AJ278" s="117">
        <f>VLOOKUP($C278,'1 预算编制表单'!$C:$BJ,39,FALSE)</f>
        <v>0</v>
      </c>
      <c r="AK278" s="117">
        <f>AJ278-AL278</f>
        <v>0</v>
      </c>
      <c r="AL278" s="117">
        <f>AL279+AL285+AL291+AL297+AL303+AL309+AL315+AL321+AL327+AL333</f>
        <v>0</v>
      </c>
      <c r="AM278" s="117">
        <f>VLOOKUP($C278,'1 预算编制表单'!$C:$BJ,42,FALSE)</f>
        <v>0</v>
      </c>
      <c r="AN278" s="117">
        <f>AM278-AO278</f>
        <v>0</v>
      </c>
      <c r="AO278" s="117">
        <f>AO279+AO285+AO291+AO297+AO303+AO309+AO315+AO321+AO327+AO333</f>
        <v>0</v>
      </c>
      <c r="AP278" s="117">
        <f>VLOOKUP($C278,'1 预算编制表单'!$C:$BJ,45,FALSE)</f>
        <v>0</v>
      </c>
      <c r="AQ278" s="117">
        <f>AP278-AR278</f>
        <v>0</v>
      </c>
      <c r="AR278" s="117">
        <f>AR279+AR285+AR291+AR297+AR303+AR309+AR315+AR321+AR327+AR333</f>
        <v>0</v>
      </c>
      <c r="AS278" s="117">
        <f>VLOOKUP($C278,'1 预算编制表单'!$C:$BJ,48,FALSE)</f>
        <v>0</v>
      </c>
      <c r="AT278" s="117">
        <f>AS278-AU278</f>
        <v>0</v>
      </c>
      <c r="AU278" s="117">
        <f>AU279+AU285+AU291+AU297+AU303+AU309+AU315+AU321+AU327+AU333</f>
        <v>0</v>
      </c>
      <c r="AV278" s="117">
        <f>VLOOKUP($C278,'1 预算编制表单'!$C:$BJ,51,FALSE)</f>
        <v>0</v>
      </c>
      <c r="AW278" s="117">
        <f>AV278-AX278</f>
        <v>0</v>
      </c>
      <c r="AX278" s="117">
        <f>AX279+AX285+AX291+AX297+AX303+AX309+AX315+AX321+AX327+AX333</f>
        <v>0</v>
      </c>
      <c r="AY278" s="117">
        <f>VLOOKUP($C278,'1 预算编制表单'!$C:$BJ,54,FALSE)</f>
        <v>0</v>
      </c>
      <c r="AZ278" s="117">
        <f>AY278-BA278</f>
        <v>0</v>
      </c>
      <c r="BA278" s="117">
        <f>BA279+BA285+BA291+BA297+BA303+BA309+BA315+BA321+BA327+BA333</f>
        <v>0</v>
      </c>
      <c r="BB278" s="117">
        <f>VLOOKUP($C278,'1 预算编制表单'!$C:$BJ,57,FALSE)</f>
        <v>0</v>
      </c>
      <c r="BC278" s="117">
        <f>BB278-BD278</f>
        <v>0</v>
      </c>
      <c r="BD278" s="117">
        <f>BD279+BD285+BD291+BD297+BD303+BD309+BD315+BD321+BD327+BD333</f>
        <v>0</v>
      </c>
      <c r="BE278" s="117">
        <f>VLOOKUP($C278,'1 预算编制表单'!$C:$BJ,60,FALSE)</f>
        <v>0</v>
      </c>
      <c r="BF278" s="117">
        <f>BE278-BG278</f>
        <v>0</v>
      </c>
      <c r="BG278" s="117">
        <f>BG279+BG285+BG291+BG297+BG303+BG309+BG315+BG321+BG327+BG333</f>
        <v>0</v>
      </c>
      <c r="BH278" s="117">
        <f>VLOOKUP($C278,'1 预算编制表单'!$C:$BJ,27,FALSE)</f>
        <v>0</v>
      </c>
      <c r="BI278" s="117">
        <f>BH278-BJ278</f>
        <v>0</v>
      </c>
      <c r="BJ278" s="117">
        <f>BJ279+BJ285+BJ291+BJ297+BJ303+BJ309+BJ315+BJ321+BJ327+BJ333</f>
        <v>0</v>
      </c>
      <c r="BK278" s="117">
        <f>VLOOKUP($C278,'1 预算编制表单'!$C:$BJ,30,FALSE)</f>
        <v>0</v>
      </c>
      <c r="BL278" s="117">
        <f>BK278-BM278</f>
        <v>0</v>
      </c>
      <c r="BM278" s="117">
        <f>BM279+BM285+BM291+BM297+BM303+BM309+BM315+BM321+BM327+BM333</f>
        <v>0</v>
      </c>
      <c r="BN278" s="117">
        <f>VLOOKUP($C278,'1 预算编制表单'!$C:$BJ,33,FALSE)</f>
        <v>0</v>
      </c>
      <c r="BO278" s="117">
        <f>BN278-BP278</f>
        <v>0</v>
      </c>
      <c r="BP278" s="117">
        <f>BP279+BP285+BP291+BP297+BP303+BP309+BP315+BP321+BP327+BP333</f>
        <v>0</v>
      </c>
      <c r="BQ278" s="117">
        <f>VLOOKUP($C278,'1 预算编制表单'!$C:$BJ,36,FALSE)</f>
        <v>0</v>
      </c>
      <c r="BR278" s="117">
        <f>BQ278-BS278</f>
        <v>0</v>
      </c>
      <c r="BS278" s="117">
        <f>BS279+BS285+BS291+BS297+BS303+BS309+BS315+BS321+BS327+BS333</f>
        <v>0</v>
      </c>
      <c r="BT278" s="117">
        <f>VLOOKUP($C278,'1 预算编制表单'!$C:$BJ,39,FALSE)</f>
        <v>0</v>
      </c>
      <c r="BU278" s="117">
        <f>BT278-BV278</f>
        <v>0</v>
      </c>
      <c r="BV278" s="117">
        <f>BV279+BV285+BV291+BV297+BV303+BV309+BV315+BV321+BV327+BV333</f>
        <v>0</v>
      </c>
      <c r="BW278" s="117">
        <f>VLOOKUP($C278,'1 预算编制表单'!$C:$BJ,42,FALSE)</f>
        <v>0</v>
      </c>
      <c r="BX278" s="117">
        <f>BW278-BY278</f>
        <v>0</v>
      </c>
      <c r="BY278" s="117">
        <f>BY279+BY285+BY291+BY297+BY303+BY309+BY315+BY321+BY327+BY333</f>
        <v>0</v>
      </c>
      <c r="BZ278" s="117">
        <f>VLOOKUP($C278,'1 预算编制表单'!$C:$BJ,45,FALSE)</f>
        <v>0</v>
      </c>
      <c r="CA278" s="117">
        <f>BZ278-CB278</f>
        <v>0</v>
      </c>
      <c r="CB278" s="117">
        <f>CB279+CB285+CB291+CB297+CB303+CB309+CB315+CB321+CB327+CB333</f>
        <v>0</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hidden="1" customHeight="1" outlineLevel="3" collapsed="1" spans="1:95">
      <c r="A279" s="118"/>
      <c r="B279" s="119" t="s">
        <v>747</v>
      </c>
      <c r="C279" s="120" t="s">
        <v>1193</v>
      </c>
      <c r="D279" s="118" t="s">
        <v>1194</v>
      </c>
      <c r="E279" s="119" t="s">
        <v>1195</v>
      </c>
      <c r="F279" s="119"/>
      <c r="G279" s="119" t="s">
        <v>891</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hidden="1"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引出数据_合同数据仓库'!$B$5:$BP$20,3,FALSE),0)</f>
        <v>0</v>
      </c>
      <c r="N280" s="125"/>
      <c r="O280" s="151">
        <f>IFERROR(VLOOKUP((LEFT(VLOOKUP($L280,'2-2 引出数据_合同数据仓库'!$B$5:$BP$20,64,FALSE),15)&amp;(RIGHT(VLOOKUP($L280,'2-2 引出数据_合同数据仓库'!$B$5:$BP$20,64,FALSE),4)+1)),'2-2 引出数据_合同数据仓库'!$B$5:$BP$20,3,FALSE),0)</f>
        <v>0</v>
      </c>
      <c r="P280" s="125"/>
      <c r="Q280" s="125">
        <f>IFERROR(VLOOKUP($L280,'2-2 引出数据_合同数据仓库'!$B$5:$BP$20,28,FALSE),0)</f>
        <v>0</v>
      </c>
      <c r="R280" s="125">
        <f>IFERROR(VLOOKUP($L280,'2-2 引出数据_合同数据仓库'!$B$5:$BP$20,29,FALSE),0)</f>
        <v>0</v>
      </c>
      <c r="S280" s="125">
        <f>IFERROR(VLOOKUP($L280,'2-2 引出数据_合同数据仓库'!$B$5:$BP$20,4,FALSE),0)</f>
        <v>0</v>
      </c>
      <c r="T280" s="125"/>
      <c r="U280" s="125">
        <f>IFERROR(VLOOKUP($L280,'2-2 引出数据_合同数据仓库'!$B$5:$BP$20,15,FALSE),0)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hidden="1"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引出数据_合同数据仓库'!$B$5:$BP$20,3,FALSE),0)</f>
        <v>0</v>
      </c>
      <c r="N281" s="125"/>
      <c r="O281" s="151">
        <f>IFERROR(VLOOKUP((LEFT(VLOOKUP($L281,'2-2 引出数据_合同数据仓库'!$B$5:$BP$20,64,FALSE),15)&amp;(RIGHT(VLOOKUP($L281,'2-2 引出数据_合同数据仓库'!$B$5:$BP$20,64,FALSE),4)+1)),'2-2 引出数据_合同数据仓库'!$B$5:$BP$20,3,FALSE),0)</f>
        <v>0</v>
      </c>
      <c r="P281" s="125"/>
      <c r="Q281" s="125">
        <f>IFERROR(VLOOKUP($L281,'2-2 引出数据_合同数据仓库'!$B$5:$BP$20,28,FALSE),0)</f>
        <v>0</v>
      </c>
      <c r="R281" s="125">
        <f>IFERROR(VLOOKUP($L281,'2-2 引出数据_合同数据仓库'!$B$5:$BP$20,29,FALSE),0)</f>
        <v>0</v>
      </c>
      <c r="S281" s="125">
        <f>IFERROR(VLOOKUP($L281,'2-2 引出数据_合同数据仓库'!$B$5:$BP$20,4,FALSE),0)</f>
        <v>0</v>
      </c>
      <c r="T281" s="125"/>
      <c r="U281" s="125">
        <f>IFERROR(VLOOKUP($L281,'2-2 引出数据_合同数据仓库'!$B$5:$BP$20,15,FALSE),0)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hidden="1"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引出数据_合同数据仓库'!$B$5:$BP$20,3,FALSE),0)</f>
        <v>0</v>
      </c>
      <c r="N282" s="125"/>
      <c r="O282" s="151">
        <f>IFERROR(VLOOKUP((LEFT(VLOOKUP($L282,'2-2 引出数据_合同数据仓库'!$B$5:$BP$20,64,FALSE),15)&amp;(RIGHT(VLOOKUP($L282,'2-2 引出数据_合同数据仓库'!$B$5:$BP$20,64,FALSE),4)+1)),'2-2 引出数据_合同数据仓库'!$B$5:$BP$20,3,FALSE),0)</f>
        <v>0</v>
      </c>
      <c r="P282" s="125"/>
      <c r="Q282" s="125">
        <f>IFERROR(VLOOKUP($L282,'2-2 引出数据_合同数据仓库'!$B$5:$BP$20,28,FALSE),0)</f>
        <v>0</v>
      </c>
      <c r="R282" s="125">
        <f>IFERROR(VLOOKUP($L282,'2-2 引出数据_合同数据仓库'!$B$5:$BP$20,29,FALSE),0)</f>
        <v>0</v>
      </c>
      <c r="S282" s="125">
        <f>IFERROR(VLOOKUP($L282,'2-2 引出数据_合同数据仓库'!$B$5:$BP$20,4,FALSE),0)</f>
        <v>0</v>
      </c>
      <c r="T282" s="125"/>
      <c r="U282" s="125">
        <f>IFERROR(VLOOKUP($L282,'2-2 引出数据_合同数据仓库'!$B$5:$BP$20,15,FALSE),0)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hidden="1"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引出数据_合同数据仓库'!$B$5:$BP$20,3,FALSE),0)</f>
        <v>0</v>
      </c>
      <c r="N283" s="125"/>
      <c r="O283" s="151">
        <f>IFERROR(VLOOKUP((LEFT(VLOOKUP($L283,'2-2 引出数据_合同数据仓库'!$B$5:$BP$20,64,FALSE),15)&amp;(RIGHT(VLOOKUP($L283,'2-2 引出数据_合同数据仓库'!$B$5:$BP$20,64,FALSE),4)+1)),'2-2 引出数据_合同数据仓库'!$B$5:$BP$20,3,FALSE),0)</f>
        <v>0</v>
      </c>
      <c r="P283" s="125"/>
      <c r="Q283" s="125">
        <f>IFERROR(VLOOKUP($L283,'2-2 引出数据_合同数据仓库'!$B$5:$BP$20,28,FALSE),0)</f>
        <v>0</v>
      </c>
      <c r="R283" s="125">
        <f>IFERROR(VLOOKUP($L283,'2-2 引出数据_合同数据仓库'!$B$5:$BP$20,29,FALSE),0)</f>
        <v>0</v>
      </c>
      <c r="S283" s="125">
        <f>IFERROR(VLOOKUP($L283,'2-2 引出数据_合同数据仓库'!$B$5:$BP$20,4,FALSE),0)</f>
        <v>0</v>
      </c>
      <c r="T283" s="125"/>
      <c r="U283" s="125">
        <f>IFERROR(VLOOKUP($L283,'2-2 引出数据_合同数据仓库'!$B$5:$BP$20,15,FALSE),0)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hidden="1" customHeight="1" outlineLevel="4" spans="1:95">
      <c r="A284" s="126" t="s">
        <v>2770</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hidden="1" customHeight="1" outlineLevel="3" collapsed="1" spans="1:95">
      <c r="A285" s="118"/>
      <c r="B285" s="119" t="s">
        <v>747</v>
      </c>
      <c r="C285" s="120" t="s">
        <v>1196</v>
      </c>
      <c r="D285" s="118" t="s">
        <v>1197</v>
      </c>
      <c r="E285" s="119" t="s">
        <v>1198</v>
      </c>
      <c r="F285" s="119"/>
      <c r="G285" s="119" t="s">
        <v>891</v>
      </c>
      <c r="H285" s="121">
        <f>X285+AA285+AD285+AG285+AJ285+AM285+AP285+AS285+AV285+AY285+BB285+BE285</f>
        <v>0</v>
      </c>
      <c r="I285" s="121">
        <f>Y285+AB285+AE285+AH285+AK285+AN285+AQ285+AT285+AW285+AZ285+BC285+BF285</f>
        <v>0</v>
      </c>
      <c r="J285" s="121">
        <f t="shared" si="3131"/>
        <v>0</v>
      </c>
      <c r="K285" s="121"/>
      <c r="L285" s="149"/>
      <c r="M285" s="149"/>
      <c r="N285" s="121"/>
      <c r="O285" s="121"/>
      <c r="P285" s="121"/>
      <c r="Q285" s="121"/>
      <c r="R285" s="121"/>
      <c r="S285" s="121"/>
      <c r="T285" s="121"/>
      <c r="U285" s="121"/>
      <c r="V285" s="121"/>
      <c r="W285" s="121"/>
      <c r="X285" s="121">
        <f>VLOOKUP($C285,'1 预算编制表单'!$C:$BJ,27,FALSE)</f>
        <v>0</v>
      </c>
      <c r="Y285" s="121">
        <f>X285-Z285</f>
        <v>0</v>
      </c>
      <c r="Z285" s="121">
        <f>SUM(Z286:Z290)</f>
        <v>0</v>
      </c>
      <c r="AA285" s="121">
        <f>VLOOKUP($C285,'1 预算编制表单'!$C:$BJ,30,FALSE)</f>
        <v>0</v>
      </c>
      <c r="AB285" s="121">
        <f>AA285-AC285</f>
        <v>0</v>
      </c>
      <c r="AC285" s="121">
        <f>SUM(AC286:AC290)</f>
        <v>0</v>
      </c>
      <c r="AD285" s="121">
        <f>VLOOKUP($C285,'1 预算编制表单'!$C:$BJ,33,FALSE)</f>
        <v>0</v>
      </c>
      <c r="AE285" s="121">
        <f>AD285-AF285</f>
        <v>0</v>
      </c>
      <c r="AF285" s="121">
        <f>SUM(AF286:AF290)</f>
        <v>0</v>
      </c>
      <c r="AG285" s="121">
        <f>VLOOKUP($C285,'1 预算编制表单'!$C:$BJ,36,FALSE)</f>
        <v>0</v>
      </c>
      <c r="AH285" s="121">
        <f>AG285-AI285</f>
        <v>0</v>
      </c>
      <c r="AI285" s="121">
        <f>SUM(AI286:AI290)</f>
        <v>0</v>
      </c>
      <c r="AJ285" s="121">
        <f>VLOOKUP($C285,'1 预算编制表单'!$C:$BJ,39,FALSE)</f>
        <v>0</v>
      </c>
      <c r="AK285" s="121">
        <f>AJ285-AL285</f>
        <v>0</v>
      </c>
      <c r="AL285" s="121">
        <f>SUM(AL286:AL290)</f>
        <v>0</v>
      </c>
      <c r="AM285" s="121">
        <f>VLOOKUP($C285,'1 预算编制表单'!$C:$BJ,42,FALSE)</f>
        <v>0</v>
      </c>
      <c r="AN285" s="121">
        <f>AM285-AO285</f>
        <v>0</v>
      </c>
      <c r="AO285" s="121">
        <f>SUM(AO286:AO290)</f>
        <v>0</v>
      </c>
      <c r="AP285" s="121">
        <f>VLOOKUP($C285,'1 预算编制表单'!$C:$BJ,45,FALSE)</f>
        <v>0</v>
      </c>
      <c r="AQ285" s="121">
        <f>AP285-AR285</f>
        <v>0</v>
      </c>
      <c r="AR285" s="121">
        <f>SUM(AR286:AR290)</f>
        <v>0</v>
      </c>
      <c r="AS285" s="121">
        <f>VLOOKUP($C285,'1 预算编制表单'!$C:$BJ,48,FALSE)</f>
        <v>0</v>
      </c>
      <c r="AT285" s="121">
        <f>AS285-AU285</f>
        <v>0</v>
      </c>
      <c r="AU285" s="121">
        <f>SUM(AU286:AU290)</f>
        <v>0</v>
      </c>
      <c r="AV285" s="121">
        <f>VLOOKUP($C285,'1 预算编制表单'!$C:$BJ,51,FALSE)</f>
        <v>0</v>
      </c>
      <c r="AW285" s="121">
        <f>AV285-AX285</f>
        <v>0</v>
      </c>
      <c r="AX285" s="121">
        <f>SUM(AX286:AX290)</f>
        <v>0</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hidden="1" customHeight="1" outlineLevel="4" spans="1:95">
      <c r="A286" s="122"/>
      <c r="B286" s="123"/>
      <c r="C286" s="124"/>
      <c r="D286" s="122"/>
      <c r="E286" s="123"/>
      <c r="F286" s="123"/>
      <c r="G286" s="123"/>
      <c r="H286" s="125"/>
      <c r="I286" s="125"/>
      <c r="J286" s="125">
        <f t="shared" si="3131"/>
        <v>0</v>
      </c>
      <c r="K286" s="125">
        <v>1</v>
      </c>
      <c r="L286" s="150" t="s">
        <v>2779</v>
      </c>
      <c r="M286" s="151">
        <f>IFERROR(VLOOKUP($L286,'2-2 引出数据_合同数据仓库'!$B$5:$BP$20,3,FALSE),0)</f>
        <v>0</v>
      </c>
      <c r="N286" s="125"/>
      <c r="O286" s="151">
        <f>IFERROR(VLOOKUP((LEFT(VLOOKUP($L286,'2-2 引出数据_合同数据仓库'!$B$5:$BP$20,64,FALSE),15)&amp;(RIGHT(VLOOKUP($L286,'2-2 引出数据_合同数据仓库'!$B$5:$BP$20,64,FALSE),4)+1)),'2-2 引出数据_合同数据仓库'!$B$5:$BP$20,3,FALSE),0)</f>
        <v>0</v>
      </c>
      <c r="P286" s="125"/>
      <c r="Q286" s="125">
        <f>IFERROR(VLOOKUP($L286,'2-2 引出数据_合同数据仓库'!$B$5:$BP$20,28,FALSE),0)</f>
        <v>0</v>
      </c>
      <c r="R286" s="125">
        <f>IFERROR(VLOOKUP($L286,'2-2 引出数据_合同数据仓库'!$B$5:$BP$20,29,FALSE),0)</f>
        <v>0</v>
      </c>
      <c r="S286" s="125">
        <f>IFERROR(VLOOKUP($L286,'2-2 引出数据_合同数据仓库'!$B$5:$BP$20,4,FALSE),0)</f>
        <v>0</v>
      </c>
      <c r="T286" s="125"/>
      <c r="U286" s="125">
        <f>IFERROR(VLOOKUP($L286,'2-2 引出数据_合同数据仓库'!$B$5:$BP$20,15,FALSE),0)</f>
        <v>0</v>
      </c>
      <c r="V286" s="125">
        <f t="shared" ref="V286:V289" si="3349">U286/(S286-R286+1)*365</f>
        <v>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0</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0</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0</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0</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0</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0</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0</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0</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0</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hidden="1"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引出数据_合同数据仓库'!$B$5:$BP$20,3,FALSE),0)</f>
        <v>0</v>
      </c>
      <c r="N287" s="125"/>
      <c r="O287" s="151">
        <f>IFERROR(VLOOKUP((LEFT(VLOOKUP($L287,'2-2 引出数据_合同数据仓库'!$B$5:$BP$20,64,FALSE),15)&amp;(RIGHT(VLOOKUP($L287,'2-2 引出数据_合同数据仓库'!$B$5:$BP$20,64,FALSE),4)+1)),'2-2 引出数据_合同数据仓库'!$B$5:$BP$20,3,FALSE),0)</f>
        <v>0</v>
      </c>
      <c r="P287" s="125"/>
      <c r="Q287" s="125">
        <f>IFERROR(VLOOKUP($L287,'2-2 引出数据_合同数据仓库'!$B$5:$BP$20,28,FALSE),0)</f>
        <v>0</v>
      </c>
      <c r="R287" s="125">
        <f>IFERROR(VLOOKUP($L287,'2-2 引出数据_合同数据仓库'!$B$5:$BP$20,29,FALSE),0)</f>
        <v>0</v>
      </c>
      <c r="S287" s="125">
        <f>IFERROR(VLOOKUP($L287,'2-2 引出数据_合同数据仓库'!$B$5:$BP$20,4,FALSE),0)</f>
        <v>0</v>
      </c>
      <c r="T287" s="125"/>
      <c r="U287" s="125">
        <f>IFERROR(VLOOKUP($L287,'2-2 引出数据_合同数据仓库'!$B$5:$BP$20,15,FALSE),0)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hidden="1"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引出数据_合同数据仓库'!$B$5:$BP$20,3,FALSE),0)</f>
        <v>0</v>
      </c>
      <c r="N288" s="125"/>
      <c r="O288" s="151">
        <f>IFERROR(VLOOKUP((LEFT(VLOOKUP($L288,'2-2 引出数据_合同数据仓库'!$B$5:$BP$20,64,FALSE),15)&amp;(RIGHT(VLOOKUP($L288,'2-2 引出数据_合同数据仓库'!$B$5:$BP$20,64,FALSE),4)+1)),'2-2 引出数据_合同数据仓库'!$B$5:$BP$20,3,FALSE),0)</f>
        <v>0</v>
      </c>
      <c r="P288" s="125"/>
      <c r="Q288" s="125">
        <f>IFERROR(VLOOKUP($L288,'2-2 引出数据_合同数据仓库'!$B$5:$BP$20,28,FALSE),0)</f>
        <v>0</v>
      </c>
      <c r="R288" s="125">
        <f>IFERROR(VLOOKUP($L288,'2-2 引出数据_合同数据仓库'!$B$5:$BP$20,29,FALSE),0)</f>
        <v>0</v>
      </c>
      <c r="S288" s="125">
        <f>IFERROR(VLOOKUP($L288,'2-2 引出数据_合同数据仓库'!$B$5:$BP$20,4,FALSE),0)</f>
        <v>0</v>
      </c>
      <c r="T288" s="125"/>
      <c r="U288" s="125">
        <f>IFERROR(VLOOKUP($L288,'2-2 引出数据_合同数据仓库'!$B$5:$BP$20,15,FALSE),0)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hidden="1"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引出数据_合同数据仓库'!$B$5:$BP$20,3,FALSE),0)</f>
        <v>0</v>
      </c>
      <c r="N289" s="125"/>
      <c r="O289" s="151">
        <f>IFERROR(VLOOKUP((LEFT(VLOOKUP($L289,'2-2 引出数据_合同数据仓库'!$B$5:$BP$20,64,FALSE),15)&amp;(RIGHT(VLOOKUP($L289,'2-2 引出数据_合同数据仓库'!$B$5:$BP$20,64,FALSE),4)+1)),'2-2 引出数据_合同数据仓库'!$B$5:$BP$20,3,FALSE),0)</f>
        <v>0</v>
      </c>
      <c r="P289" s="125"/>
      <c r="Q289" s="125">
        <f>IFERROR(VLOOKUP($L289,'2-2 引出数据_合同数据仓库'!$B$5:$BP$20,28,FALSE),0)</f>
        <v>0</v>
      </c>
      <c r="R289" s="125">
        <f>IFERROR(VLOOKUP($L289,'2-2 引出数据_合同数据仓库'!$B$5:$BP$20,29,FALSE),0)</f>
        <v>0</v>
      </c>
      <c r="S289" s="125">
        <f>IFERROR(VLOOKUP($L289,'2-2 引出数据_合同数据仓库'!$B$5:$BP$20,4,FALSE),0)</f>
        <v>0</v>
      </c>
      <c r="T289" s="125"/>
      <c r="U289" s="125">
        <f>IFERROR(VLOOKUP($L289,'2-2 引出数据_合同数据仓库'!$B$5:$BP$20,15,FALSE),0)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hidden="1" customHeight="1" outlineLevel="4" spans="1:95">
      <c r="A290" s="126" t="s">
        <v>2770</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hidden="1" customHeight="1" outlineLevel="3" collapsed="1" spans="1:95">
      <c r="A291" s="118"/>
      <c r="B291" s="119" t="s">
        <v>747</v>
      </c>
      <c r="C291" s="120" t="s">
        <v>1199</v>
      </c>
      <c r="D291" s="118" t="s">
        <v>1200</v>
      </c>
      <c r="E291" s="119"/>
      <c r="F291" s="119"/>
      <c r="G291" s="119" t="s">
        <v>891</v>
      </c>
      <c r="H291" s="121">
        <f>X291+AA291+AD291+AG291+AJ291+AM291+AP291+AS291+AV291+AY291+BB291+BE291</f>
        <v>0</v>
      </c>
      <c r="I291" s="121">
        <f>Y291+AB291+AE291+AH291+AK291+AN291+AQ291+AT291+AW291+AZ291+BC291+BF291</f>
        <v>0</v>
      </c>
      <c r="J291" s="121">
        <f t="shared" si="3131"/>
        <v>0</v>
      </c>
      <c r="K291" s="121"/>
      <c r="L291" s="149"/>
      <c r="M291" s="149"/>
      <c r="N291" s="121"/>
      <c r="O291" s="121"/>
      <c r="P291" s="121"/>
      <c r="Q291" s="121"/>
      <c r="R291" s="121"/>
      <c r="S291" s="121"/>
      <c r="T291" s="121"/>
      <c r="U291" s="121"/>
      <c r="V291" s="121"/>
      <c r="W291" s="121"/>
      <c r="X291" s="121">
        <f>VLOOKUP($C291,'1 预算编制表单'!$C:$BJ,27,FALSE)</f>
        <v>0</v>
      </c>
      <c r="Y291" s="121">
        <f>X291-Z291</f>
        <v>0</v>
      </c>
      <c r="Z291" s="121">
        <f>SUM(Z292:Z296)</f>
        <v>0</v>
      </c>
      <c r="AA291" s="121">
        <f>VLOOKUP($C291,'1 预算编制表单'!$C:$BJ,30,FALSE)</f>
        <v>0</v>
      </c>
      <c r="AB291" s="121">
        <f>AA291-AC291</f>
        <v>0</v>
      </c>
      <c r="AC291" s="121">
        <f>SUM(AC292:AC296)</f>
        <v>0</v>
      </c>
      <c r="AD291" s="121">
        <f>VLOOKUP($C291,'1 预算编制表单'!$C:$BJ,33,FALSE)</f>
        <v>0</v>
      </c>
      <c r="AE291" s="121">
        <f>AD291-AF291</f>
        <v>0</v>
      </c>
      <c r="AF291" s="121">
        <f>SUM(AF292:AF296)</f>
        <v>0</v>
      </c>
      <c r="AG291" s="121">
        <f>VLOOKUP($C291,'1 预算编制表单'!$C:$BJ,36,FALSE)</f>
        <v>0</v>
      </c>
      <c r="AH291" s="121">
        <f>AG291-AI291</f>
        <v>0</v>
      </c>
      <c r="AI291" s="121">
        <f>SUM(AI292:AI296)</f>
        <v>0</v>
      </c>
      <c r="AJ291" s="121">
        <f>VLOOKUP($C291,'1 预算编制表单'!$C:$BJ,39,FALSE)</f>
        <v>0</v>
      </c>
      <c r="AK291" s="121">
        <f>AJ291-AL291</f>
        <v>0</v>
      </c>
      <c r="AL291" s="121">
        <f>SUM(AL292:AL296)</f>
        <v>0</v>
      </c>
      <c r="AM291" s="121">
        <f>VLOOKUP($C291,'1 预算编制表单'!$C:$BJ,42,FALSE)</f>
        <v>0</v>
      </c>
      <c r="AN291" s="121">
        <f>AM291-AO291</f>
        <v>0</v>
      </c>
      <c r="AO291" s="121">
        <f>SUM(AO292:AO296)</f>
        <v>0</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hidden="1" customHeight="1" outlineLevel="4" spans="1:95">
      <c r="A292" s="122"/>
      <c r="B292" s="123"/>
      <c r="C292" s="124"/>
      <c r="D292" s="122"/>
      <c r="E292" s="123"/>
      <c r="F292" s="123"/>
      <c r="G292" s="123"/>
      <c r="H292" s="125"/>
      <c r="I292" s="125"/>
      <c r="J292" s="125">
        <f t="shared" si="3131"/>
        <v>0</v>
      </c>
      <c r="K292" s="125">
        <v>1</v>
      </c>
      <c r="L292" s="150"/>
      <c r="M292" s="151">
        <f>IFERROR(VLOOKUP($L292,'2-2 引出数据_合同数据仓库'!$B$5:$BP$20,3,FALSE),0)</f>
        <v>0</v>
      </c>
      <c r="N292" s="125"/>
      <c r="O292" s="151">
        <f>IFERROR(VLOOKUP((LEFT(VLOOKUP($L292,'2-2 引出数据_合同数据仓库'!$B$5:$BP$20,64,FALSE),15)&amp;(RIGHT(VLOOKUP($L292,'2-2 引出数据_合同数据仓库'!$B$5:$BP$20,64,FALSE),4)+1)),'2-2 引出数据_合同数据仓库'!$B$5:$BP$20,3,FALSE),0)</f>
        <v>0</v>
      </c>
      <c r="P292" s="125"/>
      <c r="Q292" s="125">
        <f>IFERROR(VLOOKUP($L292,'2-2 引出数据_合同数据仓库'!$B$5:$BP$20,28,FALSE),0)</f>
        <v>0</v>
      </c>
      <c r="R292" s="125">
        <f>IFERROR(VLOOKUP($L292,'2-2 引出数据_合同数据仓库'!$B$5:$BP$20,29,FALSE),0)</f>
        <v>0</v>
      </c>
      <c r="S292" s="125">
        <f>IFERROR(VLOOKUP($L292,'2-2 引出数据_合同数据仓库'!$B$5:$BP$20,4,FALSE),0)</f>
        <v>0</v>
      </c>
      <c r="T292" s="125"/>
      <c r="U292" s="125">
        <f>IFERROR(VLOOKUP($L292,'2-2 引出数据_合同数据仓库'!$B$5:$BP$20,15,FALSE),0)</f>
        <v>0</v>
      </c>
      <c r="V292" s="125">
        <f t="shared" ref="V292:V295" si="3421">U292/(S292-R292+1)*365</f>
        <v>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0</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0</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0</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0</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0</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0</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hidden="1"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引出数据_合同数据仓库'!$B$5:$BP$20,3,FALSE),0)</f>
        <v>0</v>
      </c>
      <c r="N293" s="125"/>
      <c r="O293" s="151">
        <f>IFERROR(VLOOKUP((LEFT(VLOOKUP($L293,'2-2 引出数据_合同数据仓库'!$B$5:$BP$20,64,FALSE),15)&amp;(RIGHT(VLOOKUP($L293,'2-2 引出数据_合同数据仓库'!$B$5:$BP$20,64,FALSE),4)+1)),'2-2 引出数据_合同数据仓库'!$B$5:$BP$20,3,FALSE),0)</f>
        <v>0</v>
      </c>
      <c r="P293" s="125"/>
      <c r="Q293" s="125">
        <f>IFERROR(VLOOKUP($L293,'2-2 引出数据_合同数据仓库'!$B$5:$BP$20,28,FALSE),0)</f>
        <v>0</v>
      </c>
      <c r="R293" s="125">
        <f>IFERROR(VLOOKUP($L293,'2-2 引出数据_合同数据仓库'!$B$5:$BP$20,29,FALSE),0)</f>
        <v>0</v>
      </c>
      <c r="S293" s="125">
        <f>IFERROR(VLOOKUP($L293,'2-2 引出数据_合同数据仓库'!$B$5:$BP$20,4,FALSE),0)</f>
        <v>0</v>
      </c>
      <c r="T293" s="125"/>
      <c r="U293" s="125">
        <f>IFERROR(VLOOKUP($L293,'2-2 引出数据_合同数据仓库'!$B$5:$BP$20,15,FALSE),0)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hidden="1"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引出数据_合同数据仓库'!$B$5:$BP$20,3,FALSE),0)</f>
        <v>0</v>
      </c>
      <c r="N294" s="125"/>
      <c r="O294" s="151">
        <f>IFERROR(VLOOKUP((LEFT(VLOOKUP($L294,'2-2 引出数据_合同数据仓库'!$B$5:$BP$20,64,FALSE),15)&amp;(RIGHT(VLOOKUP($L294,'2-2 引出数据_合同数据仓库'!$B$5:$BP$20,64,FALSE),4)+1)),'2-2 引出数据_合同数据仓库'!$B$5:$BP$20,3,FALSE),0)</f>
        <v>0</v>
      </c>
      <c r="P294" s="125"/>
      <c r="Q294" s="125">
        <f>IFERROR(VLOOKUP($L294,'2-2 引出数据_合同数据仓库'!$B$5:$BP$20,28,FALSE),0)</f>
        <v>0</v>
      </c>
      <c r="R294" s="125">
        <f>IFERROR(VLOOKUP($L294,'2-2 引出数据_合同数据仓库'!$B$5:$BP$20,29,FALSE),0)</f>
        <v>0</v>
      </c>
      <c r="S294" s="125">
        <f>IFERROR(VLOOKUP($L294,'2-2 引出数据_合同数据仓库'!$B$5:$BP$20,4,FALSE),0)</f>
        <v>0</v>
      </c>
      <c r="T294" s="125"/>
      <c r="U294" s="125">
        <f>IFERROR(VLOOKUP($L294,'2-2 引出数据_合同数据仓库'!$B$5:$BP$20,15,FALSE),0)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hidden="1"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引出数据_合同数据仓库'!$B$5:$BP$20,3,FALSE),0)</f>
        <v>0</v>
      </c>
      <c r="N295" s="125"/>
      <c r="O295" s="151">
        <f>IFERROR(VLOOKUP((LEFT(VLOOKUP($L295,'2-2 引出数据_合同数据仓库'!$B$5:$BP$20,64,FALSE),15)&amp;(RIGHT(VLOOKUP($L295,'2-2 引出数据_合同数据仓库'!$B$5:$BP$20,64,FALSE),4)+1)),'2-2 引出数据_合同数据仓库'!$B$5:$BP$20,3,FALSE),0)</f>
        <v>0</v>
      </c>
      <c r="P295" s="125"/>
      <c r="Q295" s="125">
        <f>IFERROR(VLOOKUP($L295,'2-2 引出数据_合同数据仓库'!$B$5:$BP$20,28,FALSE),0)</f>
        <v>0</v>
      </c>
      <c r="R295" s="125">
        <f>IFERROR(VLOOKUP($L295,'2-2 引出数据_合同数据仓库'!$B$5:$BP$20,29,FALSE),0)</f>
        <v>0</v>
      </c>
      <c r="S295" s="125">
        <f>IFERROR(VLOOKUP($L295,'2-2 引出数据_合同数据仓库'!$B$5:$BP$20,4,FALSE),0)</f>
        <v>0</v>
      </c>
      <c r="T295" s="125"/>
      <c r="U295" s="125">
        <f>IFERROR(VLOOKUP($L295,'2-2 引出数据_合同数据仓库'!$B$5:$BP$20,15,FALSE),0)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hidden="1" customHeight="1" outlineLevel="4" spans="1:95">
      <c r="A296" s="126" t="s">
        <v>2770</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hidden="1" customHeight="1" outlineLevel="3" collapsed="1" spans="1:95">
      <c r="A297" s="118"/>
      <c r="B297" s="119" t="s">
        <v>747</v>
      </c>
      <c r="C297" s="120" t="s">
        <v>1201</v>
      </c>
      <c r="D297" s="118" t="s">
        <v>1202</v>
      </c>
      <c r="E297" s="119" t="s">
        <v>1203</v>
      </c>
      <c r="F297" s="119"/>
      <c r="G297" s="119" t="s">
        <v>891</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hidden="1"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引出数据_合同数据仓库'!$B$5:$BP$20,3,FALSE),0)</f>
        <v>0</v>
      </c>
      <c r="N298" s="125"/>
      <c r="O298" s="151">
        <f>IFERROR(VLOOKUP((LEFT(VLOOKUP($L298,'2-2 引出数据_合同数据仓库'!$B$5:$BP$20,64,FALSE),15)&amp;(RIGHT(VLOOKUP($L298,'2-2 引出数据_合同数据仓库'!$B$5:$BP$20,64,FALSE),4)+1)),'2-2 引出数据_合同数据仓库'!$B$5:$BP$20,3,FALSE),0)</f>
        <v>0</v>
      </c>
      <c r="P298" s="125"/>
      <c r="Q298" s="125">
        <f>IFERROR(VLOOKUP($L298,'2-2 引出数据_合同数据仓库'!$B$5:$BP$20,28,FALSE),0)</f>
        <v>0</v>
      </c>
      <c r="R298" s="125">
        <f>IFERROR(VLOOKUP($L298,'2-2 引出数据_合同数据仓库'!$B$5:$BP$20,29,FALSE),0)</f>
        <v>0</v>
      </c>
      <c r="S298" s="125">
        <f>IFERROR(VLOOKUP($L298,'2-2 引出数据_合同数据仓库'!$B$5:$BP$20,4,FALSE),0)</f>
        <v>0</v>
      </c>
      <c r="T298" s="125"/>
      <c r="U298" s="125">
        <f>IFERROR(VLOOKUP($L298,'2-2 引出数据_合同数据仓库'!$B$5:$BP$20,15,FALSE),0)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hidden="1"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引出数据_合同数据仓库'!$B$5:$BP$20,3,FALSE),0)</f>
        <v>0</v>
      </c>
      <c r="N299" s="125"/>
      <c r="O299" s="151">
        <f>IFERROR(VLOOKUP((LEFT(VLOOKUP($L299,'2-2 引出数据_合同数据仓库'!$B$5:$BP$20,64,FALSE),15)&amp;(RIGHT(VLOOKUP($L299,'2-2 引出数据_合同数据仓库'!$B$5:$BP$20,64,FALSE),4)+1)),'2-2 引出数据_合同数据仓库'!$B$5:$BP$20,3,FALSE),0)</f>
        <v>0</v>
      </c>
      <c r="P299" s="125"/>
      <c r="Q299" s="125">
        <f>IFERROR(VLOOKUP($L299,'2-2 引出数据_合同数据仓库'!$B$5:$BP$20,28,FALSE),0)</f>
        <v>0</v>
      </c>
      <c r="R299" s="125">
        <f>IFERROR(VLOOKUP($L299,'2-2 引出数据_合同数据仓库'!$B$5:$BP$20,29,FALSE),0)</f>
        <v>0</v>
      </c>
      <c r="S299" s="125">
        <f>IFERROR(VLOOKUP($L299,'2-2 引出数据_合同数据仓库'!$B$5:$BP$20,4,FALSE),0)</f>
        <v>0</v>
      </c>
      <c r="T299" s="125"/>
      <c r="U299" s="125">
        <f>IFERROR(VLOOKUP($L299,'2-2 引出数据_合同数据仓库'!$B$5:$BP$20,15,FALSE),0)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hidden="1"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引出数据_合同数据仓库'!$B$5:$BP$20,3,FALSE),0)</f>
        <v>0</v>
      </c>
      <c r="N300" s="125"/>
      <c r="O300" s="151">
        <f>IFERROR(VLOOKUP((LEFT(VLOOKUP($L300,'2-2 引出数据_合同数据仓库'!$B$5:$BP$20,64,FALSE),15)&amp;(RIGHT(VLOOKUP($L300,'2-2 引出数据_合同数据仓库'!$B$5:$BP$20,64,FALSE),4)+1)),'2-2 引出数据_合同数据仓库'!$B$5:$BP$20,3,FALSE),0)</f>
        <v>0</v>
      </c>
      <c r="P300" s="125"/>
      <c r="Q300" s="125">
        <f>IFERROR(VLOOKUP($L300,'2-2 引出数据_合同数据仓库'!$B$5:$BP$20,28,FALSE),0)</f>
        <v>0</v>
      </c>
      <c r="R300" s="125">
        <f>IFERROR(VLOOKUP($L300,'2-2 引出数据_合同数据仓库'!$B$5:$BP$20,29,FALSE),0)</f>
        <v>0</v>
      </c>
      <c r="S300" s="125">
        <f>IFERROR(VLOOKUP($L300,'2-2 引出数据_合同数据仓库'!$B$5:$BP$20,4,FALSE),0)</f>
        <v>0</v>
      </c>
      <c r="T300" s="125"/>
      <c r="U300" s="125">
        <f>IFERROR(VLOOKUP($L300,'2-2 引出数据_合同数据仓库'!$B$5:$BP$20,15,FALSE),0)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hidden="1"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引出数据_合同数据仓库'!$B$5:$BP$20,3,FALSE),0)</f>
        <v>0</v>
      </c>
      <c r="N301" s="125"/>
      <c r="O301" s="151">
        <f>IFERROR(VLOOKUP((LEFT(VLOOKUP($L301,'2-2 引出数据_合同数据仓库'!$B$5:$BP$20,64,FALSE),15)&amp;(RIGHT(VLOOKUP($L301,'2-2 引出数据_合同数据仓库'!$B$5:$BP$20,64,FALSE),4)+1)),'2-2 引出数据_合同数据仓库'!$B$5:$BP$20,3,FALSE),0)</f>
        <v>0</v>
      </c>
      <c r="P301" s="125"/>
      <c r="Q301" s="125">
        <f>IFERROR(VLOOKUP($L301,'2-2 引出数据_合同数据仓库'!$B$5:$BP$20,28,FALSE),0)</f>
        <v>0</v>
      </c>
      <c r="R301" s="125">
        <f>IFERROR(VLOOKUP($L301,'2-2 引出数据_合同数据仓库'!$B$5:$BP$20,29,FALSE),0)</f>
        <v>0</v>
      </c>
      <c r="S301" s="125">
        <f>IFERROR(VLOOKUP($L301,'2-2 引出数据_合同数据仓库'!$B$5:$BP$20,4,FALSE),0)</f>
        <v>0</v>
      </c>
      <c r="T301" s="125"/>
      <c r="U301" s="125">
        <f>IFERROR(VLOOKUP($L301,'2-2 引出数据_合同数据仓库'!$B$5:$BP$20,15,FALSE),0)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hidden="1" customHeight="1" outlineLevel="4" spans="1:95">
      <c r="A302" s="126" t="s">
        <v>2770</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hidden="1" customHeight="1" outlineLevel="3" collapsed="1" spans="1:95">
      <c r="A303" s="118"/>
      <c r="B303" s="119" t="s">
        <v>747</v>
      </c>
      <c r="C303" s="120" t="s">
        <v>1204</v>
      </c>
      <c r="D303" s="118" t="s">
        <v>1205</v>
      </c>
      <c r="E303" s="119" t="s">
        <v>1206</v>
      </c>
      <c r="F303" s="119"/>
      <c r="G303" s="119" t="s">
        <v>891</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hidden="1"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引出数据_合同数据仓库'!$B$5:$BP$20,3,FALSE),0)</f>
        <v>0</v>
      </c>
      <c r="N304" s="125"/>
      <c r="O304" s="151">
        <f>IFERROR(VLOOKUP((LEFT(VLOOKUP($L304,'2-2 引出数据_合同数据仓库'!$B$5:$BP$20,64,FALSE),15)&amp;(RIGHT(VLOOKUP($L304,'2-2 引出数据_合同数据仓库'!$B$5:$BP$20,64,FALSE),4)+1)),'2-2 引出数据_合同数据仓库'!$B$5:$BP$20,3,FALSE),0)</f>
        <v>0</v>
      </c>
      <c r="P304" s="125"/>
      <c r="Q304" s="125">
        <f>IFERROR(VLOOKUP($L304,'2-2 引出数据_合同数据仓库'!$B$5:$BP$20,28,FALSE),0)</f>
        <v>0</v>
      </c>
      <c r="R304" s="125">
        <f>IFERROR(VLOOKUP($L304,'2-2 引出数据_合同数据仓库'!$B$5:$BP$20,29,FALSE),0)</f>
        <v>0</v>
      </c>
      <c r="S304" s="125">
        <f>IFERROR(VLOOKUP($L304,'2-2 引出数据_合同数据仓库'!$B$5:$BP$20,4,FALSE),0)</f>
        <v>0</v>
      </c>
      <c r="T304" s="125"/>
      <c r="U304" s="125">
        <f>IFERROR(VLOOKUP($L304,'2-2 引出数据_合同数据仓库'!$B$5:$BP$20,15,FALSE),0)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hidden="1"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引出数据_合同数据仓库'!$B$5:$BP$20,3,FALSE),0)</f>
        <v>0</v>
      </c>
      <c r="N305" s="125"/>
      <c r="O305" s="151">
        <f>IFERROR(VLOOKUP((LEFT(VLOOKUP($L305,'2-2 引出数据_合同数据仓库'!$B$5:$BP$20,64,FALSE),15)&amp;(RIGHT(VLOOKUP($L305,'2-2 引出数据_合同数据仓库'!$B$5:$BP$20,64,FALSE),4)+1)),'2-2 引出数据_合同数据仓库'!$B$5:$BP$20,3,FALSE),0)</f>
        <v>0</v>
      </c>
      <c r="P305" s="125"/>
      <c r="Q305" s="125">
        <f>IFERROR(VLOOKUP($L305,'2-2 引出数据_合同数据仓库'!$B$5:$BP$20,28,FALSE),0)</f>
        <v>0</v>
      </c>
      <c r="R305" s="125">
        <f>IFERROR(VLOOKUP($L305,'2-2 引出数据_合同数据仓库'!$B$5:$BP$20,29,FALSE),0)</f>
        <v>0</v>
      </c>
      <c r="S305" s="125">
        <f>IFERROR(VLOOKUP($L305,'2-2 引出数据_合同数据仓库'!$B$5:$BP$20,4,FALSE),0)</f>
        <v>0</v>
      </c>
      <c r="T305" s="125"/>
      <c r="U305" s="125">
        <f>IFERROR(VLOOKUP($L305,'2-2 引出数据_合同数据仓库'!$B$5:$BP$20,15,FALSE),0)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hidden="1"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引出数据_合同数据仓库'!$B$5:$BP$20,3,FALSE),0)</f>
        <v>0</v>
      </c>
      <c r="N306" s="125"/>
      <c r="O306" s="151">
        <f>IFERROR(VLOOKUP((LEFT(VLOOKUP($L306,'2-2 引出数据_合同数据仓库'!$B$5:$BP$20,64,FALSE),15)&amp;(RIGHT(VLOOKUP($L306,'2-2 引出数据_合同数据仓库'!$B$5:$BP$20,64,FALSE),4)+1)),'2-2 引出数据_合同数据仓库'!$B$5:$BP$20,3,FALSE),0)</f>
        <v>0</v>
      </c>
      <c r="P306" s="125"/>
      <c r="Q306" s="125">
        <f>IFERROR(VLOOKUP($L306,'2-2 引出数据_合同数据仓库'!$B$5:$BP$20,28,FALSE),0)</f>
        <v>0</v>
      </c>
      <c r="R306" s="125">
        <f>IFERROR(VLOOKUP($L306,'2-2 引出数据_合同数据仓库'!$B$5:$BP$20,29,FALSE),0)</f>
        <v>0</v>
      </c>
      <c r="S306" s="125">
        <f>IFERROR(VLOOKUP($L306,'2-2 引出数据_合同数据仓库'!$B$5:$BP$20,4,FALSE),0)</f>
        <v>0</v>
      </c>
      <c r="T306" s="125"/>
      <c r="U306" s="125">
        <f>IFERROR(VLOOKUP($L306,'2-2 引出数据_合同数据仓库'!$B$5:$BP$20,15,FALSE),0)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hidden="1"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引出数据_合同数据仓库'!$B$5:$BP$20,3,FALSE),0)</f>
        <v>0</v>
      </c>
      <c r="N307" s="125"/>
      <c r="O307" s="151">
        <f>IFERROR(VLOOKUP((LEFT(VLOOKUP($L307,'2-2 引出数据_合同数据仓库'!$B$5:$BP$20,64,FALSE),15)&amp;(RIGHT(VLOOKUP($L307,'2-2 引出数据_合同数据仓库'!$B$5:$BP$20,64,FALSE),4)+1)),'2-2 引出数据_合同数据仓库'!$B$5:$BP$20,3,FALSE),0)</f>
        <v>0</v>
      </c>
      <c r="P307" s="125"/>
      <c r="Q307" s="125">
        <f>IFERROR(VLOOKUP($L307,'2-2 引出数据_合同数据仓库'!$B$5:$BP$20,28,FALSE),0)</f>
        <v>0</v>
      </c>
      <c r="R307" s="125">
        <f>IFERROR(VLOOKUP($L307,'2-2 引出数据_合同数据仓库'!$B$5:$BP$20,29,FALSE),0)</f>
        <v>0</v>
      </c>
      <c r="S307" s="125">
        <f>IFERROR(VLOOKUP($L307,'2-2 引出数据_合同数据仓库'!$B$5:$BP$20,4,FALSE),0)</f>
        <v>0</v>
      </c>
      <c r="T307" s="125"/>
      <c r="U307" s="125">
        <f>IFERROR(VLOOKUP($L307,'2-2 引出数据_合同数据仓库'!$B$5:$BP$20,15,FALSE),0)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hidden="1" customHeight="1" outlineLevel="4" spans="1:95">
      <c r="A308" s="126" t="s">
        <v>2770</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hidden="1" customHeight="1" outlineLevel="3" collapsed="1" spans="1:95">
      <c r="A309" s="118"/>
      <c r="B309" s="119" t="s">
        <v>747</v>
      </c>
      <c r="C309" s="120" t="s">
        <v>1207</v>
      </c>
      <c r="D309" s="118" t="s">
        <v>1208</v>
      </c>
      <c r="E309" s="119" t="s">
        <v>1209</v>
      </c>
      <c r="F309" s="119"/>
      <c r="G309" s="119" t="s">
        <v>891</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hidden="1"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引出数据_合同数据仓库'!$B$5:$BP$20,3,FALSE),0)</f>
        <v>0</v>
      </c>
      <c r="N310" s="125"/>
      <c r="O310" s="151">
        <f>IFERROR(VLOOKUP((LEFT(VLOOKUP($L310,'2-2 引出数据_合同数据仓库'!$B$5:$BP$20,64,FALSE),15)&amp;(RIGHT(VLOOKUP($L310,'2-2 引出数据_合同数据仓库'!$B$5:$BP$20,64,FALSE),4)+1)),'2-2 引出数据_合同数据仓库'!$B$5:$BP$20,3,FALSE),0)</f>
        <v>0</v>
      </c>
      <c r="P310" s="125"/>
      <c r="Q310" s="125">
        <f>IFERROR(VLOOKUP($L310,'2-2 引出数据_合同数据仓库'!$B$5:$BP$20,28,FALSE),0)</f>
        <v>0</v>
      </c>
      <c r="R310" s="125">
        <f>IFERROR(VLOOKUP($L310,'2-2 引出数据_合同数据仓库'!$B$5:$BP$20,29,FALSE),0)</f>
        <v>0</v>
      </c>
      <c r="S310" s="125">
        <f>IFERROR(VLOOKUP($L310,'2-2 引出数据_合同数据仓库'!$B$5:$BP$20,4,FALSE),0)</f>
        <v>0</v>
      </c>
      <c r="T310" s="125"/>
      <c r="U310" s="125">
        <f>IFERROR(VLOOKUP($L310,'2-2 引出数据_合同数据仓库'!$B$5:$BP$20,15,FALSE),0)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hidden="1"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引出数据_合同数据仓库'!$B$5:$BP$20,3,FALSE),0)</f>
        <v>0</v>
      </c>
      <c r="N311" s="125"/>
      <c r="O311" s="151">
        <f>IFERROR(VLOOKUP((LEFT(VLOOKUP($L311,'2-2 引出数据_合同数据仓库'!$B$5:$BP$20,64,FALSE),15)&amp;(RIGHT(VLOOKUP($L311,'2-2 引出数据_合同数据仓库'!$B$5:$BP$20,64,FALSE),4)+1)),'2-2 引出数据_合同数据仓库'!$B$5:$BP$20,3,FALSE),0)</f>
        <v>0</v>
      </c>
      <c r="P311" s="125"/>
      <c r="Q311" s="125">
        <f>IFERROR(VLOOKUP($L311,'2-2 引出数据_合同数据仓库'!$B$5:$BP$20,28,FALSE),0)</f>
        <v>0</v>
      </c>
      <c r="R311" s="125">
        <f>IFERROR(VLOOKUP($L311,'2-2 引出数据_合同数据仓库'!$B$5:$BP$20,29,FALSE),0)</f>
        <v>0</v>
      </c>
      <c r="S311" s="125">
        <f>IFERROR(VLOOKUP($L311,'2-2 引出数据_合同数据仓库'!$B$5:$BP$20,4,FALSE),0)</f>
        <v>0</v>
      </c>
      <c r="T311" s="125"/>
      <c r="U311" s="125">
        <f>IFERROR(VLOOKUP($L311,'2-2 引出数据_合同数据仓库'!$B$5:$BP$20,15,FALSE),0)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hidden="1"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引出数据_合同数据仓库'!$B$5:$BP$20,3,FALSE),0)</f>
        <v>0</v>
      </c>
      <c r="N312" s="125"/>
      <c r="O312" s="151">
        <f>IFERROR(VLOOKUP((LEFT(VLOOKUP($L312,'2-2 引出数据_合同数据仓库'!$B$5:$BP$20,64,FALSE),15)&amp;(RIGHT(VLOOKUP($L312,'2-2 引出数据_合同数据仓库'!$B$5:$BP$20,64,FALSE),4)+1)),'2-2 引出数据_合同数据仓库'!$B$5:$BP$20,3,FALSE),0)</f>
        <v>0</v>
      </c>
      <c r="P312" s="125"/>
      <c r="Q312" s="125">
        <f>IFERROR(VLOOKUP($L312,'2-2 引出数据_合同数据仓库'!$B$5:$BP$20,28,FALSE),0)</f>
        <v>0</v>
      </c>
      <c r="R312" s="125">
        <f>IFERROR(VLOOKUP($L312,'2-2 引出数据_合同数据仓库'!$B$5:$BP$20,29,FALSE),0)</f>
        <v>0</v>
      </c>
      <c r="S312" s="125">
        <f>IFERROR(VLOOKUP($L312,'2-2 引出数据_合同数据仓库'!$B$5:$BP$20,4,FALSE),0)</f>
        <v>0</v>
      </c>
      <c r="T312" s="125"/>
      <c r="U312" s="125">
        <f>IFERROR(VLOOKUP($L312,'2-2 引出数据_合同数据仓库'!$B$5:$BP$20,15,FALSE),0)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hidden="1"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引出数据_合同数据仓库'!$B$5:$BP$20,3,FALSE),0)</f>
        <v>0</v>
      </c>
      <c r="N313" s="125"/>
      <c r="O313" s="151">
        <f>IFERROR(VLOOKUP((LEFT(VLOOKUP($L313,'2-2 引出数据_合同数据仓库'!$B$5:$BP$20,64,FALSE),15)&amp;(RIGHT(VLOOKUP($L313,'2-2 引出数据_合同数据仓库'!$B$5:$BP$20,64,FALSE),4)+1)),'2-2 引出数据_合同数据仓库'!$B$5:$BP$20,3,FALSE),0)</f>
        <v>0</v>
      </c>
      <c r="P313" s="125"/>
      <c r="Q313" s="125">
        <f>IFERROR(VLOOKUP($L313,'2-2 引出数据_合同数据仓库'!$B$5:$BP$20,28,FALSE),0)</f>
        <v>0</v>
      </c>
      <c r="R313" s="125">
        <f>IFERROR(VLOOKUP($L313,'2-2 引出数据_合同数据仓库'!$B$5:$BP$20,29,FALSE),0)</f>
        <v>0</v>
      </c>
      <c r="S313" s="125">
        <f>IFERROR(VLOOKUP($L313,'2-2 引出数据_合同数据仓库'!$B$5:$BP$20,4,FALSE),0)</f>
        <v>0</v>
      </c>
      <c r="T313" s="125"/>
      <c r="U313" s="125">
        <f>IFERROR(VLOOKUP($L313,'2-2 引出数据_合同数据仓库'!$B$5:$BP$20,15,FALSE),0)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hidden="1" customHeight="1" outlineLevel="4" spans="1:95">
      <c r="A314" s="126" t="s">
        <v>2770</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hidden="1" customHeight="1" outlineLevel="3" collapsed="1" spans="1:95">
      <c r="A315" s="118"/>
      <c r="B315" s="119" t="s">
        <v>747</v>
      </c>
      <c r="C315" s="120" t="s">
        <v>1210</v>
      </c>
      <c r="D315" s="118" t="s">
        <v>1211</v>
      </c>
      <c r="E315" s="119" t="s">
        <v>1212</v>
      </c>
      <c r="F315" s="119"/>
      <c r="G315" s="119" t="s">
        <v>891</v>
      </c>
      <c r="H315" s="121">
        <f>X315+AA315+AD315+AG315+AJ315+AM315+AP315+AS315+AV315+AY315+BB315+BE315</f>
        <v>0</v>
      </c>
      <c r="I315" s="121">
        <f>Y315+AB315+AE315+AH315+AK315+AN315+AQ315+AT315+AW315+AZ315+BC315+BF315</f>
        <v>0</v>
      </c>
      <c r="J315" s="121">
        <f t="shared" si="3131"/>
        <v>0</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0</v>
      </c>
      <c r="AR315" s="121">
        <f>SUM(AR316:AR320)</f>
        <v>0</v>
      </c>
      <c r="AS315" s="121">
        <f>VLOOKUP($C315,'1 预算编制表单'!$C:$BJ,48,FALSE)</f>
        <v>0</v>
      </c>
      <c r="AT315" s="121">
        <f>AS315-AU315</f>
        <v>0</v>
      </c>
      <c r="AU315" s="121">
        <f>SUM(AU316:AU320)</f>
        <v>0</v>
      </c>
      <c r="AV315" s="121">
        <f>VLOOKUP($C315,'1 预算编制表单'!$C:$BJ,51,FALSE)</f>
        <v>0</v>
      </c>
      <c r="AW315" s="121">
        <f>AV315-AX315</f>
        <v>0</v>
      </c>
      <c r="AX315" s="121">
        <f>SUM(AX316:AX320)</f>
        <v>0</v>
      </c>
      <c r="AY315" s="121">
        <f>VLOOKUP($C315,'1 预算编制表单'!$C:$BJ,54,FALSE)</f>
        <v>0</v>
      </c>
      <c r="AZ315" s="121">
        <f>AY315-BA315</f>
        <v>0</v>
      </c>
      <c r="BA315" s="121">
        <f>SUM(BA316:BA320)</f>
        <v>0</v>
      </c>
      <c r="BB315" s="121">
        <f>VLOOKUP($C315,'1 预算编制表单'!$C:$BJ,57,FALSE)</f>
        <v>0</v>
      </c>
      <c r="BC315" s="121">
        <f>BB315-BD315</f>
        <v>0</v>
      </c>
      <c r="BD315" s="121">
        <f>SUM(BD316:BD320)</f>
        <v>0</v>
      </c>
      <c r="BE315" s="121">
        <f>VLOOKUP($C315,'1 预算编制表单'!$C:$BJ,60,FALSE)</f>
        <v>0</v>
      </c>
      <c r="BF315" s="121">
        <f>BE315-BG315</f>
        <v>0</v>
      </c>
      <c r="BG315" s="121">
        <f>SUM(BG316:BG320)</f>
        <v>0</v>
      </c>
      <c r="BH315" s="121">
        <f>VLOOKUP($C315,'1 预算编制表单'!$C:$BJ,27,FALSE)</f>
        <v>0</v>
      </c>
      <c r="BI315" s="121">
        <f>BH315-BJ315</f>
        <v>0</v>
      </c>
      <c r="BJ315" s="121">
        <f>SUM(BJ316:BJ320)</f>
        <v>0</v>
      </c>
      <c r="BK315" s="121">
        <f>VLOOKUP($C315,'1 预算编制表单'!$C:$BJ,30,FALSE)</f>
        <v>0</v>
      </c>
      <c r="BL315" s="121">
        <f>BK315-BM315</f>
        <v>0</v>
      </c>
      <c r="BM315" s="121">
        <f>SUM(BM316:BM320)</f>
        <v>0</v>
      </c>
      <c r="BN315" s="121">
        <f>VLOOKUP($C315,'1 预算编制表单'!$C:$BJ,33,FALSE)</f>
        <v>0</v>
      </c>
      <c r="BO315" s="121">
        <f>BN315-BP315</f>
        <v>0</v>
      </c>
      <c r="BP315" s="121">
        <f>SUM(BP316:BP320)</f>
        <v>0</v>
      </c>
      <c r="BQ315" s="121">
        <f>VLOOKUP($C315,'1 预算编制表单'!$C:$BJ,36,FALSE)</f>
        <v>0</v>
      </c>
      <c r="BR315" s="121">
        <f>BQ315-BS315</f>
        <v>0</v>
      </c>
      <c r="BS315" s="121">
        <f>SUM(BS316:BS320)</f>
        <v>0</v>
      </c>
      <c r="BT315" s="121">
        <f>VLOOKUP($C315,'1 预算编制表单'!$C:$BJ,39,FALSE)</f>
        <v>0</v>
      </c>
      <c r="BU315" s="121">
        <f>BT315-BV315</f>
        <v>0</v>
      </c>
      <c r="BV315" s="121">
        <f>SUM(BV316:BV320)</f>
        <v>0</v>
      </c>
      <c r="BW315" s="121">
        <f>VLOOKUP($C315,'1 预算编制表单'!$C:$BJ,42,FALSE)</f>
        <v>0</v>
      </c>
      <c r="BX315" s="121">
        <f>BW315-BY315</f>
        <v>0</v>
      </c>
      <c r="BY315" s="121">
        <f>SUM(BY316:BY320)</f>
        <v>0</v>
      </c>
      <c r="BZ315" s="121">
        <f>VLOOKUP($C315,'1 预算编制表单'!$C:$BJ,45,FALSE)</f>
        <v>0</v>
      </c>
      <c r="CA315" s="121">
        <f>BZ315-CB315</f>
        <v>0</v>
      </c>
      <c r="CB315" s="121">
        <f>SUM(CB316:CB320)</f>
        <v>0</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hidden="1" customHeight="1" outlineLevel="4" spans="1:95">
      <c r="A316" s="122"/>
      <c r="B316" s="123"/>
      <c r="C316" s="124"/>
      <c r="D316" s="122"/>
      <c r="E316" s="123"/>
      <c r="F316" s="123"/>
      <c r="G316" s="123"/>
      <c r="H316" s="125"/>
      <c r="I316" s="125"/>
      <c r="J316" s="125">
        <f t="shared" si="3131"/>
        <v>0</v>
      </c>
      <c r="K316" s="125">
        <v>1</v>
      </c>
      <c r="L316" s="150"/>
      <c r="M316" s="151">
        <f>IFERROR(VLOOKUP($L316,'2-2 引出数据_合同数据仓库'!$B$5:$BP$20,3,FALSE),0)</f>
        <v>0</v>
      </c>
      <c r="N316" s="125"/>
      <c r="O316" s="151">
        <f>IFERROR(VLOOKUP((LEFT(VLOOKUP($L316,'2-2 引出数据_合同数据仓库'!$B$5:$BP$20,64,FALSE),15)&amp;(RIGHT(VLOOKUP($L316,'2-2 引出数据_合同数据仓库'!$B$5:$BP$20,64,FALSE),4)+1)),'2-2 引出数据_合同数据仓库'!$B$5:$BP$20,3,FALSE),0)</f>
        <v>0</v>
      </c>
      <c r="P316" s="125"/>
      <c r="Q316" s="125">
        <f>IFERROR(VLOOKUP($L316,'2-2 引出数据_合同数据仓库'!$B$5:$BP$20,28,FALSE),0)</f>
        <v>0</v>
      </c>
      <c r="R316" s="125">
        <f>IFERROR(VLOOKUP($L316,'2-2 引出数据_合同数据仓库'!$B$5:$BP$20,29,FALSE),0)</f>
        <v>0</v>
      </c>
      <c r="S316" s="125">
        <f>IFERROR(VLOOKUP($L316,'2-2 引出数据_合同数据仓库'!$B$5:$BP$20,4,FALSE),0)</f>
        <v>0</v>
      </c>
      <c r="T316" s="125"/>
      <c r="U316" s="125">
        <f>IFERROR(VLOOKUP($L316,'2-2 引出数据_合同数据仓库'!$B$5:$BP$20,15,FALSE),0)</f>
        <v>0</v>
      </c>
      <c r="V316" s="125">
        <f t="shared" ref="V316:V319" si="3709">U316/(S316-R316+1)*365</f>
        <v>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0</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0</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0</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0</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0</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0</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0</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0</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0</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0</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0</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0</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0</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hidden="1"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引出数据_合同数据仓库'!$B$5:$BP$20,3,FALSE),0)</f>
        <v>0</v>
      </c>
      <c r="N317" s="125"/>
      <c r="O317" s="151">
        <f>IFERROR(VLOOKUP((LEFT(VLOOKUP($L317,'2-2 引出数据_合同数据仓库'!$B$5:$BP$20,64,FALSE),15)&amp;(RIGHT(VLOOKUP($L317,'2-2 引出数据_合同数据仓库'!$B$5:$BP$20,64,FALSE),4)+1)),'2-2 引出数据_合同数据仓库'!$B$5:$BP$20,3,FALSE),0)</f>
        <v>0</v>
      </c>
      <c r="P317" s="125"/>
      <c r="Q317" s="125">
        <f>IFERROR(VLOOKUP($L317,'2-2 引出数据_合同数据仓库'!$B$5:$BP$20,28,FALSE),0)</f>
        <v>0</v>
      </c>
      <c r="R317" s="125">
        <f>IFERROR(VLOOKUP($L317,'2-2 引出数据_合同数据仓库'!$B$5:$BP$20,29,FALSE),0)</f>
        <v>0</v>
      </c>
      <c r="S317" s="125">
        <f>IFERROR(VLOOKUP($L317,'2-2 引出数据_合同数据仓库'!$B$5:$BP$20,4,FALSE),0)</f>
        <v>0</v>
      </c>
      <c r="T317" s="125"/>
      <c r="U317" s="125">
        <f>IFERROR(VLOOKUP($L317,'2-2 引出数据_合同数据仓库'!$B$5:$BP$20,15,FALSE),0)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hidden="1"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引出数据_合同数据仓库'!$B$5:$BP$20,3,FALSE),0)</f>
        <v>0</v>
      </c>
      <c r="N318" s="125"/>
      <c r="O318" s="151">
        <f>IFERROR(VLOOKUP((LEFT(VLOOKUP($L318,'2-2 引出数据_合同数据仓库'!$B$5:$BP$20,64,FALSE),15)&amp;(RIGHT(VLOOKUP($L318,'2-2 引出数据_合同数据仓库'!$B$5:$BP$20,64,FALSE),4)+1)),'2-2 引出数据_合同数据仓库'!$B$5:$BP$20,3,FALSE),0)</f>
        <v>0</v>
      </c>
      <c r="P318" s="125"/>
      <c r="Q318" s="125">
        <f>IFERROR(VLOOKUP($L318,'2-2 引出数据_合同数据仓库'!$B$5:$BP$20,28,FALSE),0)</f>
        <v>0</v>
      </c>
      <c r="R318" s="125">
        <f>IFERROR(VLOOKUP($L318,'2-2 引出数据_合同数据仓库'!$B$5:$BP$20,29,FALSE),0)</f>
        <v>0</v>
      </c>
      <c r="S318" s="125">
        <f>IFERROR(VLOOKUP($L318,'2-2 引出数据_合同数据仓库'!$B$5:$BP$20,4,FALSE),0)</f>
        <v>0</v>
      </c>
      <c r="T318" s="125"/>
      <c r="U318" s="125">
        <f>IFERROR(VLOOKUP($L318,'2-2 引出数据_合同数据仓库'!$B$5:$BP$20,15,FALSE),0)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hidden="1"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引出数据_合同数据仓库'!$B$5:$BP$20,3,FALSE),0)</f>
        <v>0</v>
      </c>
      <c r="N319" s="125"/>
      <c r="O319" s="151">
        <f>IFERROR(VLOOKUP((LEFT(VLOOKUP($L319,'2-2 引出数据_合同数据仓库'!$B$5:$BP$20,64,FALSE),15)&amp;(RIGHT(VLOOKUP($L319,'2-2 引出数据_合同数据仓库'!$B$5:$BP$20,64,FALSE),4)+1)),'2-2 引出数据_合同数据仓库'!$B$5:$BP$20,3,FALSE),0)</f>
        <v>0</v>
      </c>
      <c r="P319" s="125"/>
      <c r="Q319" s="125">
        <f>IFERROR(VLOOKUP($L319,'2-2 引出数据_合同数据仓库'!$B$5:$BP$20,28,FALSE),0)</f>
        <v>0</v>
      </c>
      <c r="R319" s="125">
        <f>IFERROR(VLOOKUP($L319,'2-2 引出数据_合同数据仓库'!$B$5:$BP$20,29,FALSE),0)</f>
        <v>0</v>
      </c>
      <c r="S319" s="125">
        <f>IFERROR(VLOOKUP($L319,'2-2 引出数据_合同数据仓库'!$B$5:$BP$20,4,FALSE),0)</f>
        <v>0</v>
      </c>
      <c r="T319" s="125"/>
      <c r="U319" s="125">
        <f>IFERROR(VLOOKUP($L319,'2-2 引出数据_合同数据仓库'!$B$5:$BP$20,15,FALSE),0)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hidden="1" customHeight="1" outlineLevel="4" spans="1:95">
      <c r="A320" s="126" t="s">
        <v>2770</v>
      </c>
      <c r="B320" s="127"/>
      <c r="C320" s="127"/>
      <c r="D320" s="127"/>
      <c r="E320" s="127"/>
      <c r="F320" s="127"/>
      <c r="G320" s="128"/>
      <c r="H320" s="129"/>
      <c r="I320" s="129"/>
      <c r="J320" s="129"/>
      <c r="K320" s="129"/>
      <c r="L320" s="152"/>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hidden="1" customHeight="1" outlineLevel="3" collapsed="1" spans="1:95">
      <c r="A321" s="118"/>
      <c r="B321" s="119" t="s">
        <v>747</v>
      </c>
      <c r="C321" s="120" t="s">
        <v>1213</v>
      </c>
      <c r="D321" s="118" t="s">
        <v>1214</v>
      </c>
      <c r="E321" s="119" t="s">
        <v>1212</v>
      </c>
      <c r="F321" s="119"/>
      <c r="G321" s="119" t="s">
        <v>891</v>
      </c>
      <c r="H321" s="121">
        <f>X321+AA321+AD321+AG321+AJ321+AM321+AP321+AS321+AV321+AY321+BB321+BE321</f>
        <v>0</v>
      </c>
      <c r="I321" s="121">
        <f>Y321+AB321+AE321+AH321+AK321+AN321+AQ321+AT321+AW321+AZ321+BC321+BF321</f>
        <v>0</v>
      </c>
      <c r="J321" s="121">
        <f t="shared" si="3131"/>
        <v>0</v>
      </c>
      <c r="K321" s="121"/>
      <c r="L321" s="149"/>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hidden="1"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引出数据_合同数据仓库'!$B$5:$BP$20,3,FALSE),0)</f>
        <v>0</v>
      </c>
      <c r="N322" s="125"/>
      <c r="O322" s="151">
        <f>IFERROR(VLOOKUP((LEFT(VLOOKUP($L322,'2-2 引出数据_合同数据仓库'!$B$5:$BP$20,64,FALSE),15)&amp;(RIGHT(VLOOKUP($L322,'2-2 引出数据_合同数据仓库'!$B$5:$BP$20,64,FALSE),4)+1)),'2-2 引出数据_合同数据仓库'!$B$5:$BP$20,3,FALSE),0)</f>
        <v>0</v>
      </c>
      <c r="P322" s="125"/>
      <c r="Q322" s="125">
        <f>IFERROR(VLOOKUP($L322,'2-2 引出数据_合同数据仓库'!$B$5:$BP$20,28,FALSE),0)</f>
        <v>0</v>
      </c>
      <c r="R322" s="125">
        <f>IFERROR(VLOOKUP($L322,'2-2 引出数据_合同数据仓库'!$B$5:$BP$20,29,FALSE),0)</f>
        <v>0</v>
      </c>
      <c r="S322" s="125">
        <f>IFERROR(VLOOKUP($L322,'2-2 引出数据_合同数据仓库'!$B$5:$BP$20,4,FALSE),0)</f>
        <v>0</v>
      </c>
      <c r="T322" s="125"/>
      <c r="U322" s="125">
        <f>IFERROR(VLOOKUP($L322,'2-2 引出数据_合同数据仓库'!$B$5:$BP$20,15,FALSE),0)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hidden="1"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引出数据_合同数据仓库'!$B$5:$BP$20,3,FALSE),0)</f>
        <v>0</v>
      </c>
      <c r="N323" s="125"/>
      <c r="O323" s="151">
        <f>IFERROR(VLOOKUP((LEFT(VLOOKUP($L323,'2-2 引出数据_合同数据仓库'!$B$5:$BP$20,64,FALSE),15)&amp;(RIGHT(VLOOKUP($L323,'2-2 引出数据_合同数据仓库'!$B$5:$BP$20,64,FALSE),4)+1)),'2-2 引出数据_合同数据仓库'!$B$5:$BP$20,3,FALSE),0)</f>
        <v>0</v>
      </c>
      <c r="P323" s="125"/>
      <c r="Q323" s="125">
        <f>IFERROR(VLOOKUP($L323,'2-2 引出数据_合同数据仓库'!$B$5:$BP$20,28,FALSE),0)</f>
        <v>0</v>
      </c>
      <c r="R323" s="125">
        <f>IFERROR(VLOOKUP($L323,'2-2 引出数据_合同数据仓库'!$B$5:$BP$20,29,FALSE),0)</f>
        <v>0</v>
      </c>
      <c r="S323" s="125">
        <f>IFERROR(VLOOKUP($L323,'2-2 引出数据_合同数据仓库'!$B$5:$BP$20,4,FALSE),0)</f>
        <v>0</v>
      </c>
      <c r="T323" s="125"/>
      <c r="U323" s="125">
        <f>IFERROR(VLOOKUP($L323,'2-2 引出数据_合同数据仓库'!$B$5:$BP$20,15,FALSE),0)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hidden="1"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引出数据_合同数据仓库'!$B$5:$BP$20,3,FALSE),0)</f>
        <v>0</v>
      </c>
      <c r="N324" s="125"/>
      <c r="O324" s="151">
        <f>IFERROR(VLOOKUP((LEFT(VLOOKUP($L324,'2-2 引出数据_合同数据仓库'!$B$5:$BP$20,64,FALSE),15)&amp;(RIGHT(VLOOKUP($L324,'2-2 引出数据_合同数据仓库'!$B$5:$BP$20,64,FALSE),4)+1)),'2-2 引出数据_合同数据仓库'!$B$5:$BP$20,3,FALSE),0)</f>
        <v>0</v>
      </c>
      <c r="P324" s="125"/>
      <c r="Q324" s="125">
        <f>IFERROR(VLOOKUP($L324,'2-2 引出数据_合同数据仓库'!$B$5:$BP$20,28,FALSE),0)</f>
        <v>0</v>
      </c>
      <c r="R324" s="125">
        <f>IFERROR(VLOOKUP($L324,'2-2 引出数据_合同数据仓库'!$B$5:$BP$20,29,FALSE),0)</f>
        <v>0</v>
      </c>
      <c r="S324" s="125">
        <f>IFERROR(VLOOKUP($L324,'2-2 引出数据_合同数据仓库'!$B$5:$BP$20,4,FALSE),0)</f>
        <v>0</v>
      </c>
      <c r="T324" s="125"/>
      <c r="U324" s="125">
        <f>IFERROR(VLOOKUP($L324,'2-2 引出数据_合同数据仓库'!$B$5:$BP$20,15,FALSE),0)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hidden="1"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引出数据_合同数据仓库'!$B$5:$BP$20,3,FALSE),0)</f>
        <v>0</v>
      </c>
      <c r="N325" s="125"/>
      <c r="O325" s="151">
        <f>IFERROR(VLOOKUP((LEFT(VLOOKUP($L325,'2-2 引出数据_合同数据仓库'!$B$5:$BP$20,64,FALSE),15)&amp;(RIGHT(VLOOKUP($L325,'2-2 引出数据_合同数据仓库'!$B$5:$BP$20,64,FALSE),4)+1)),'2-2 引出数据_合同数据仓库'!$B$5:$BP$20,3,FALSE),0)</f>
        <v>0</v>
      </c>
      <c r="P325" s="125"/>
      <c r="Q325" s="125">
        <f>IFERROR(VLOOKUP($L325,'2-2 引出数据_合同数据仓库'!$B$5:$BP$20,28,FALSE),0)</f>
        <v>0</v>
      </c>
      <c r="R325" s="125">
        <f>IFERROR(VLOOKUP($L325,'2-2 引出数据_合同数据仓库'!$B$5:$BP$20,29,FALSE),0)</f>
        <v>0</v>
      </c>
      <c r="S325" s="125">
        <f>IFERROR(VLOOKUP($L325,'2-2 引出数据_合同数据仓库'!$B$5:$BP$20,4,FALSE),0)</f>
        <v>0</v>
      </c>
      <c r="T325" s="125"/>
      <c r="U325" s="125">
        <f>IFERROR(VLOOKUP($L325,'2-2 引出数据_合同数据仓库'!$B$5:$BP$20,15,FALSE),0)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hidden="1" customHeight="1" outlineLevel="4" spans="1:95">
      <c r="A326" s="126" t="s">
        <v>2770</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hidden="1" customHeight="1" outlineLevel="3" collapsed="1" spans="1:95">
      <c r="A327" s="118"/>
      <c r="B327" s="119" t="s">
        <v>747</v>
      </c>
      <c r="C327" s="120" t="s">
        <v>1215</v>
      </c>
      <c r="D327" s="118" t="s">
        <v>1216</v>
      </c>
      <c r="E327" s="119" t="s">
        <v>1217</v>
      </c>
      <c r="F327" s="119"/>
      <c r="G327" s="119" t="s">
        <v>891</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hidden="1"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引出数据_合同数据仓库'!$B$5:$BP$20,3,FALSE),0)</f>
        <v>0</v>
      </c>
      <c r="N328" s="125"/>
      <c r="O328" s="151">
        <f>IFERROR(VLOOKUP((LEFT(VLOOKUP($L328,'2-2 引出数据_合同数据仓库'!$B$5:$BP$20,64,FALSE),15)&amp;(RIGHT(VLOOKUP($L328,'2-2 引出数据_合同数据仓库'!$B$5:$BP$20,64,FALSE),4)+1)),'2-2 引出数据_合同数据仓库'!$B$5:$BP$20,3,FALSE),0)</f>
        <v>0</v>
      </c>
      <c r="P328" s="125"/>
      <c r="Q328" s="125">
        <f>IFERROR(VLOOKUP($L328,'2-2 引出数据_合同数据仓库'!$B$5:$BP$20,28,FALSE),0)</f>
        <v>0</v>
      </c>
      <c r="R328" s="125">
        <f>IFERROR(VLOOKUP($L328,'2-2 引出数据_合同数据仓库'!$B$5:$BP$20,29,FALSE),0)</f>
        <v>0</v>
      </c>
      <c r="S328" s="125">
        <f>IFERROR(VLOOKUP($L328,'2-2 引出数据_合同数据仓库'!$B$5:$BP$20,4,FALSE),0)</f>
        <v>0</v>
      </c>
      <c r="T328" s="125"/>
      <c r="U328" s="125">
        <f>IFERROR(VLOOKUP($L328,'2-2 引出数据_合同数据仓库'!$B$5:$BP$20,15,FALSE),0)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hidden="1"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引出数据_合同数据仓库'!$B$5:$BP$20,3,FALSE),0)</f>
        <v>0</v>
      </c>
      <c r="N329" s="125"/>
      <c r="O329" s="151">
        <f>IFERROR(VLOOKUP((LEFT(VLOOKUP($L329,'2-2 引出数据_合同数据仓库'!$B$5:$BP$20,64,FALSE),15)&amp;(RIGHT(VLOOKUP($L329,'2-2 引出数据_合同数据仓库'!$B$5:$BP$20,64,FALSE),4)+1)),'2-2 引出数据_合同数据仓库'!$B$5:$BP$20,3,FALSE),0)</f>
        <v>0</v>
      </c>
      <c r="P329" s="125"/>
      <c r="Q329" s="125">
        <f>IFERROR(VLOOKUP($L329,'2-2 引出数据_合同数据仓库'!$B$5:$BP$20,28,FALSE),0)</f>
        <v>0</v>
      </c>
      <c r="R329" s="125">
        <f>IFERROR(VLOOKUP($L329,'2-2 引出数据_合同数据仓库'!$B$5:$BP$20,29,FALSE),0)</f>
        <v>0</v>
      </c>
      <c r="S329" s="125">
        <f>IFERROR(VLOOKUP($L329,'2-2 引出数据_合同数据仓库'!$B$5:$BP$20,4,FALSE),0)</f>
        <v>0</v>
      </c>
      <c r="T329" s="125"/>
      <c r="U329" s="125">
        <f>IFERROR(VLOOKUP($L329,'2-2 引出数据_合同数据仓库'!$B$5:$BP$20,15,FALSE),0)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hidden="1"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引出数据_合同数据仓库'!$B$5:$BP$20,3,FALSE),0)</f>
        <v>0</v>
      </c>
      <c r="N330" s="125"/>
      <c r="O330" s="151">
        <f>IFERROR(VLOOKUP((LEFT(VLOOKUP($L330,'2-2 引出数据_合同数据仓库'!$B$5:$BP$20,64,FALSE),15)&amp;(RIGHT(VLOOKUP($L330,'2-2 引出数据_合同数据仓库'!$B$5:$BP$20,64,FALSE),4)+1)),'2-2 引出数据_合同数据仓库'!$B$5:$BP$20,3,FALSE),0)</f>
        <v>0</v>
      </c>
      <c r="P330" s="125"/>
      <c r="Q330" s="125">
        <f>IFERROR(VLOOKUP($L330,'2-2 引出数据_合同数据仓库'!$B$5:$BP$20,28,FALSE),0)</f>
        <v>0</v>
      </c>
      <c r="R330" s="125">
        <f>IFERROR(VLOOKUP($L330,'2-2 引出数据_合同数据仓库'!$B$5:$BP$20,29,FALSE),0)</f>
        <v>0</v>
      </c>
      <c r="S330" s="125">
        <f>IFERROR(VLOOKUP($L330,'2-2 引出数据_合同数据仓库'!$B$5:$BP$20,4,FALSE),0)</f>
        <v>0</v>
      </c>
      <c r="T330" s="125"/>
      <c r="U330" s="125">
        <f>IFERROR(VLOOKUP($L330,'2-2 引出数据_合同数据仓库'!$B$5:$BP$20,15,FALSE),0)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hidden="1"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引出数据_合同数据仓库'!$B$5:$BP$20,3,FALSE),0)</f>
        <v>0</v>
      </c>
      <c r="N331" s="125"/>
      <c r="O331" s="151">
        <f>IFERROR(VLOOKUP((LEFT(VLOOKUP($L331,'2-2 引出数据_合同数据仓库'!$B$5:$BP$20,64,FALSE),15)&amp;(RIGHT(VLOOKUP($L331,'2-2 引出数据_合同数据仓库'!$B$5:$BP$20,64,FALSE),4)+1)),'2-2 引出数据_合同数据仓库'!$B$5:$BP$20,3,FALSE),0)</f>
        <v>0</v>
      </c>
      <c r="P331" s="125"/>
      <c r="Q331" s="125">
        <f>IFERROR(VLOOKUP($L331,'2-2 引出数据_合同数据仓库'!$B$5:$BP$20,28,FALSE),0)</f>
        <v>0</v>
      </c>
      <c r="R331" s="125">
        <f>IFERROR(VLOOKUP($L331,'2-2 引出数据_合同数据仓库'!$B$5:$BP$20,29,FALSE),0)</f>
        <v>0</v>
      </c>
      <c r="S331" s="125">
        <f>IFERROR(VLOOKUP($L331,'2-2 引出数据_合同数据仓库'!$B$5:$BP$20,4,FALSE),0)</f>
        <v>0</v>
      </c>
      <c r="T331" s="125"/>
      <c r="U331" s="125">
        <f>IFERROR(VLOOKUP($L331,'2-2 引出数据_合同数据仓库'!$B$5:$BP$20,15,FALSE),0)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hidden="1" customHeight="1" outlineLevel="4" spans="1:95">
      <c r="A332" s="126" t="s">
        <v>2770</v>
      </c>
      <c r="B332" s="127"/>
      <c r="C332" s="127"/>
      <c r="D332" s="127"/>
      <c r="E332" s="127"/>
      <c r="F332" s="127"/>
      <c r="G332" s="128"/>
      <c r="H332" s="129"/>
      <c r="I332" s="129"/>
      <c r="J332" s="129"/>
      <c r="K332" s="129"/>
      <c r="L332" s="152"/>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hidden="1" customHeight="1" outlineLevel="3" collapsed="1" spans="1:95">
      <c r="A333" s="118"/>
      <c r="B333" s="119" t="s">
        <v>747</v>
      </c>
      <c r="C333" s="120" t="s">
        <v>1218</v>
      </c>
      <c r="D333" s="118" t="s">
        <v>1219</v>
      </c>
      <c r="E333" s="119"/>
      <c r="F333" s="119"/>
      <c r="G333" s="119"/>
      <c r="H333" s="121">
        <f>X333+AA333+AD333+AG333+AJ333+AM333+AP333+AS333+AV333+AY333+BB333+BE333</f>
        <v>0</v>
      </c>
      <c r="I333" s="121">
        <f>Y333+AB333+AE333+AH333+AK333+AN333+AQ333+AT333+AW333+AZ333+BC333+BF333</f>
        <v>0</v>
      </c>
      <c r="J333" s="121">
        <f t="shared" si="3853"/>
        <v>0</v>
      </c>
      <c r="K333" s="121"/>
      <c r="L333" s="149"/>
      <c r="M333" s="149"/>
      <c r="N333" s="121"/>
      <c r="O333" s="121"/>
      <c r="P333" s="121"/>
      <c r="Q333" s="121"/>
      <c r="R333" s="121"/>
      <c r="S333" s="121"/>
      <c r="T333" s="121"/>
      <c r="U333" s="121"/>
      <c r="V333" s="121"/>
      <c r="W333" s="121"/>
      <c r="X333" s="121">
        <f>VLOOKUP($C333,'1 预算编制表单'!$C:$BJ,27,FALSE)</f>
        <v>0</v>
      </c>
      <c r="Y333" s="121">
        <f>X333-Z333</f>
        <v>0</v>
      </c>
      <c r="Z333" s="121">
        <f>SUM(Z334:Z338)</f>
        <v>0</v>
      </c>
      <c r="AA333" s="121">
        <f>VLOOKUP($C333,'1 预算编制表单'!$C:$BJ,30,FALSE)</f>
        <v>0</v>
      </c>
      <c r="AB333" s="121">
        <f>AA333-AC333</f>
        <v>0</v>
      </c>
      <c r="AC333" s="121">
        <f>SUM(AC334:AC338)</f>
        <v>0</v>
      </c>
      <c r="AD333" s="121">
        <f>VLOOKUP($C333,'1 预算编制表单'!$C:$BJ,33,FALSE)</f>
        <v>0</v>
      </c>
      <c r="AE333" s="121">
        <f>AD333-AF333</f>
        <v>0</v>
      </c>
      <c r="AF333" s="121">
        <f>SUM(AF334:AF338)</f>
        <v>0</v>
      </c>
      <c r="AG333" s="121">
        <f>VLOOKUP($C333,'1 预算编制表单'!$C:$BJ,36,FALSE)</f>
        <v>0</v>
      </c>
      <c r="AH333" s="121">
        <f>AG333-AI333</f>
        <v>0</v>
      </c>
      <c r="AI333" s="121">
        <f>SUM(AI334:AI338)</f>
        <v>0</v>
      </c>
      <c r="AJ333" s="121">
        <f>VLOOKUP($C333,'1 预算编制表单'!$C:$BJ,39,FALSE)</f>
        <v>0</v>
      </c>
      <c r="AK333" s="121">
        <f>AJ333-AL333</f>
        <v>0</v>
      </c>
      <c r="AL333" s="121">
        <f>SUM(AL334:AL338)</f>
        <v>0</v>
      </c>
      <c r="AM333" s="121">
        <f>VLOOKUP($C333,'1 预算编制表单'!$C:$BJ,42,FALSE)</f>
        <v>0</v>
      </c>
      <c r="AN333" s="121">
        <f>AM333-AO333</f>
        <v>0</v>
      </c>
      <c r="AO333" s="121">
        <f>SUM(AO334:AO338)</f>
        <v>0</v>
      </c>
      <c r="AP333" s="121">
        <f>VLOOKUP($C333,'1 预算编制表单'!$C:$BJ,45,FALSE)</f>
        <v>0</v>
      </c>
      <c r="AQ333" s="121">
        <f>AP333-AR333</f>
        <v>0</v>
      </c>
      <c r="AR333" s="121">
        <f>SUM(AR334:AR338)</f>
        <v>0</v>
      </c>
      <c r="AS333" s="121">
        <f>VLOOKUP($C333,'1 预算编制表单'!$C:$BJ,48,FALSE)</f>
        <v>0</v>
      </c>
      <c r="AT333" s="121">
        <f>AS333-AU333</f>
        <v>0</v>
      </c>
      <c r="AU333" s="121">
        <f>SUM(AU334:AU338)</f>
        <v>0</v>
      </c>
      <c r="AV333" s="121">
        <f>VLOOKUP($C333,'1 预算编制表单'!$C:$BJ,51,FALSE)</f>
        <v>0</v>
      </c>
      <c r="AW333" s="121">
        <f>AV333-AX333</f>
        <v>0</v>
      </c>
      <c r="AX333" s="121">
        <f>SUM(AX334:AX338)</f>
        <v>0</v>
      </c>
      <c r="AY333" s="121">
        <f>VLOOKUP($C333,'1 预算编制表单'!$C:$BJ,54,FALSE)</f>
        <v>0</v>
      </c>
      <c r="AZ333" s="121">
        <f>AY333-BA333</f>
        <v>0</v>
      </c>
      <c r="BA333" s="121">
        <f>SUM(BA334:BA338)</f>
        <v>0</v>
      </c>
      <c r="BB333" s="121">
        <f>VLOOKUP($C333,'1 预算编制表单'!$C:$BJ,57,FALSE)</f>
        <v>0</v>
      </c>
      <c r="BC333" s="121">
        <f>BB333-BD333</f>
        <v>0</v>
      </c>
      <c r="BD333" s="121">
        <f>SUM(BD334:BD338)</f>
        <v>0</v>
      </c>
      <c r="BE333" s="121">
        <f>VLOOKUP($C333,'1 预算编制表单'!$C:$BJ,60,FALSE)</f>
        <v>0</v>
      </c>
      <c r="BF333" s="121">
        <f>BE333-BG333</f>
        <v>0</v>
      </c>
      <c r="BG333" s="121">
        <f>SUM(BG334:BG338)</f>
        <v>0</v>
      </c>
      <c r="BH333" s="121">
        <f>VLOOKUP($C333,'1 预算编制表单'!$C:$BJ,27,FALSE)</f>
        <v>0</v>
      </c>
      <c r="BI333" s="121">
        <f>BH333-BJ333</f>
        <v>0</v>
      </c>
      <c r="BJ333" s="121">
        <f>SUM(BJ334:BJ338)</f>
        <v>0</v>
      </c>
      <c r="BK333" s="121">
        <f>VLOOKUP($C333,'1 预算编制表单'!$C:$BJ,30,FALSE)</f>
        <v>0</v>
      </c>
      <c r="BL333" s="121">
        <f>BK333-BM333</f>
        <v>0</v>
      </c>
      <c r="BM333" s="121">
        <f>SUM(BM334:BM338)</f>
        <v>0</v>
      </c>
      <c r="BN333" s="121">
        <f>VLOOKUP($C333,'1 预算编制表单'!$C:$BJ,33,FALSE)</f>
        <v>0</v>
      </c>
      <c r="BO333" s="121">
        <f>BN333-BP333</f>
        <v>0</v>
      </c>
      <c r="BP333" s="121">
        <f>SUM(BP334:BP338)</f>
        <v>0</v>
      </c>
      <c r="BQ333" s="121">
        <f>VLOOKUP($C333,'1 预算编制表单'!$C:$BJ,36,FALSE)</f>
        <v>0</v>
      </c>
      <c r="BR333" s="121">
        <f>BQ333-BS333</f>
        <v>0</v>
      </c>
      <c r="BS333" s="121">
        <f>SUM(BS334:BS338)</f>
        <v>0</v>
      </c>
      <c r="BT333" s="121">
        <f>VLOOKUP($C333,'1 预算编制表单'!$C:$BJ,39,FALSE)</f>
        <v>0</v>
      </c>
      <c r="BU333" s="121">
        <f>BT333-BV333</f>
        <v>0</v>
      </c>
      <c r="BV333" s="121">
        <f>SUM(BV334:BV338)</f>
        <v>0</v>
      </c>
      <c r="BW333" s="121">
        <f>VLOOKUP($C333,'1 预算编制表单'!$C:$BJ,42,FALSE)</f>
        <v>0</v>
      </c>
      <c r="BX333" s="121">
        <f>BW333-BY333</f>
        <v>0</v>
      </c>
      <c r="BY333" s="121">
        <f>SUM(BY334:BY338)</f>
        <v>0</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hidden="1" customHeight="1" outlineLevel="4" spans="1:95">
      <c r="A334" s="122"/>
      <c r="B334" s="123"/>
      <c r="C334" s="124"/>
      <c r="D334" s="122"/>
      <c r="E334" s="123"/>
      <c r="F334" s="123"/>
      <c r="G334" s="123"/>
      <c r="H334" s="125"/>
      <c r="I334" s="125"/>
      <c r="J334" s="125">
        <f t="shared" si="3853"/>
        <v>0</v>
      </c>
      <c r="K334" s="125">
        <v>1</v>
      </c>
      <c r="L334" s="150"/>
      <c r="M334" s="151">
        <f>IFERROR(VLOOKUP($L334,'2-2 引出数据_合同数据仓库'!$B$5:$BP$20,3,FALSE),0)</f>
        <v>0</v>
      </c>
      <c r="N334" s="125"/>
      <c r="O334" s="151">
        <f>IFERROR(VLOOKUP((LEFT(VLOOKUP($L334,'2-2 引出数据_合同数据仓库'!$B$5:$BP$20,64,FALSE),15)&amp;(RIGHT(VLOOKUP($L334,'2-2 引出数据_合同数据仓库'!$B$5:$BP$20,64,FALSE),4)+1)),'2-2 引出数据_合同数据仓库'!$B$5:$BP$20,3,FALSE),0)</f>
        <v>0</v>
      </c>
      <c r="P334" s="125"/>
      <c r="Q334" s="125">
        <f>IFERROR(VLOOKUP($L334,'2-2 引出数据_合同数据仓库'!$B$5:$BP$20,28,FALSE),0)</f>
        <v>0</v>
      </c>
      <c r="R334" s="125">
        <f>IFERROR(VLOOKUP($L334,'2-2 引出数据_合同数据仓库'!$B$5:$BP$20,29,FALSE),0)</f>
        <v>0</v>
      </c>
      <c r="S334" s="125">
        <f>IFERROR(VLOOKUP($L334,'2-2 引出数据_合同数据仓库'!$B$5:$BP$20,4,FALSE),0)</f>
        <v>0</v>
      </c>
      <c r="T334" s="125"/>
      <c r="U334" s="125">
        <f>IFERROR(VLOOKUP($L334,'2-2 引出数据_合同数据仓库'!$B$5:$BP$20,15,FALSE),0)</f>
        <v>0</v>
      </c>
      <c r="V334" s="125">
        <f t="shared" ref="V334:V337" si="3926">U334/(S334-R334+1)*365</f>
        <v>0</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0</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0</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0</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0</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0</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0</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0</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0</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0</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0</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0</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0</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0</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0</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0</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0</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0</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0</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hidden="1" customHeight="1" outlineLevel="4" spans="1:95">
      <c r="A335" s="122"/>
      <c r="B335" s="123"/>
      <c r="C335" s="124"/>
      <c r="D335" s="122"/>
      <c r="E335" s="123"/>
      <c r="F335" s="123"/>
      <c r="G335" s="123"/>
      <c r="H335" s="125"/>
      <c r="I335" s="125"/>
      <c r="J335" s="125">
        <f t="shared" si="3853"/>
        <v>0</v>
      </c>
      <c r="K335" s="125">
        <f t="shared" ref="K335:K337" si="3997">K334+1</f>
        <v>2</v>
      </c>
      <c r="L335" s="150"/>
      <c r="M335" s="151">
        <f>IFERROR(VLOOKUP($L335,'2-2 引出数据_合同数据仓库'!$B$5:$BP$20,3,FALSE),0)</f>
        <v>0</v>
      </c>
      <c r="N335" s="125"/>
      <c r="O335" s="151">
        <f>IFERROR(VLOOKUP((LEFT(VLOOKUP($L335,'2-2 引出数据_合同数据仓库'!$B$5:$BP$20,64,FALSE),15)&amp;(RIGHT(VLOOKUP($L335,'2-2 引出数据_合同数据仓库'!$B$5:$BP$20,64,FALSE),4)+1)),'2-2 引出数据_合同数据仓库'!$B$5:$BP$20,3,FALSE),0)</f>
        <v>0</v>
      </c>
      <c r="P335" s="125"/>
      <c r="Q335" s="125">
        <f>IFERROR(VLOOKUP($L335,'2-2 引出数据_合同数据仓库'!$B$5:$BP$20,28,FALSE),0)</f>
        <v>0</v>
      </c>
      <c r="R335" s="125">
        <f>IFERROR(VLOOKUP($L335,'2-2 引出数据_合同数据仓库'!$B$5:$BP$20,29,FALSE),0)</f>
        <v>0</v>
      </c>
      <c r="S335" s="125">
        <f>IFERROR(VLOOKUP($L335,'2-2 引出数据_合同数据仓库'!$B$5:$BP$20,4,FALSE),0)</f>
        <v>0</v>
      </c>
      <c r="T335" s="125"/>
      <c r="U335" s="125">
        <f>IFERROR(VLOOKUP($L335,'2-2 引出数据_合同数据仓库'!$B$5:$BP$20,15,FALSE),0)</f>
        <v>0</v>
      </c>
      <c r="V335" s="125">
        <f t="shared" si="3926"/>
        <v>0</v>
      </c>
      <c r="W335" s="125"/>
      <c r="X335" s="157">
        <v>45658</v>
      </c>
      <c r="Y335" s="157">
        <f t="shared" si="3927"/>
        <v>45688</v>
      </c>
      <c r="Z335" s="161">
        <f t="shared" si="3928"/>
        <v>0</v>
      </c>
      <c r="AA335" s="157">
        <f t="shared" si="3929"/>
        <v>45689</v>
      </c>
      <c r="AB335" s="157">
        <f t="shared" si="3930"/>
        <v>45716</v>
      </c>
      <c r="AC335" s="161">
        <f t="shared" si="3931"/>
        <v>0</v>
      </c>
      <c r="AD335" s="157">
        <f t="shared" si="3932"/>
        <v>45717</v>
      </c>
      <c r="AE335" s="157">
        <f t="shared" si="3933"/>
        <v>45747</v>
      </c>
      <c r="AF335" s="161">
        <f t="shared" si="3934"/>
        <v>0</v>
      </c>
      <c r="AG335" s="157">
        <f t="shared" si="3935"/>
        <v>45748</v>
      </c>
      <c r="AH335" s="157">
        <f t="shared" si="3936"/>
        <v>45777</v>
      </c>
      <c r="AI335" s="161">
        <f t="shared" si="3937"/>
        <v>0</v>
      </c>
      <c r="AJ335" s="157">
        <f t="shared" si="3938"/>
        <v>45778</v>
      </c>
      <c r="AK335" s="157">
        <f t="shared" si="3939"/>
        <v>45808</v>
      </c>
      <c r="AL335" s="161">
        <f t="shared" si="3940"/>
        <v>0</v>
      </c>
      <c r="AM335" s="157">
        <f t="shared" si="3941"/>
        <v>45809</v>
      </c>
      <c r="AN335" s="157">
        <f t="shared" si="3942"/>
        <v>45838</v>
      </c>
      <c r="AO335" s="161">
        <f t="shared" si="3943"/>
        <v>0</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hidden="1"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引出数据_合同数据仓库'!$B$5:$BP$20,3,FALSE),0)</f>
        <v>0</v>
      </c>
      <c r="N336" s="125"/>
      <c r="O336" s="151">
        <f>IFERROR(VLOOKUP((LEFT(VLOOKUP($L336,'2-2 引出数据_合同数据仓库'!$B$5:$BP$20,64,FALSE),15)&amp;(RIGHT(VLOOKUP($L336,'2-2 引出数据_合同数据仓库'!$B$5:$BP$20,64,FALSE),4)+1)),'2-2 引出数据_合同数据仓库'!$B$5:$BP$20,3,FALSE),0)</f>
        <v>0</v>
      </c>
      <c r="P336" s="125"/>
      <c r="Q336" s="125">
        <f>IFERROR(VLOOKUP($L336,'2-2 引出数据_合同数据仓库'!$B$5:$BP$20,28,FALSE),0)</f>
        <v>0</v>
      </c>
      <c r="R336" s="125">
        <f>IFERROR(VLOOKUP($L336,'2-2 引出数据_合同数据仓库'!$B$5:$BP$20,29,FALSE),0)</f>
        <v>0</v>
      </c>
      <c r="S336" s="125">
        <f>IFERROR(VLOOKUP($L336,'2-2 引出数据_合同数据仓库'!$B$5:$BP$20,4,FALSE),0)</f>
        <v>0</v>
      </c>
      <c r="T336" s="125"/>
      <c r="U336" s="125">
        <f>IFERROR(VLOOKUP($L336,'2-2 引出数据_合同数据仓库'!$B$5:$BP$20,15,FALSE),0)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hidden="1"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引出数据_合同数据仓库'!$B$5:$BP$20,3,FALSE),0)</f>
        <v>0</v>
      </c>
      <c r="N337" s="125"/>
      <c r="O337" s="151">
        <f>IFERROR(VLOOKUP((LEFT(VLOOKUP($L337,'2-2 引出数据_合同数据仓库'!$B$5:$BP$20,64,FALSE),15)&amp;(RIGHT(VLOOKUP($L337,'2-2 引出数据_合同数据仓库'!$B$5:$BP$20,64,FALSE),4)+1)),'2-2 引出数据_合同数据仓库'!$B$5:$BP$20,3,FALSE),0)</f>
        <v>0</v>
      </c>
      <c r="P337" s="125"/>
      <c r="Q337" s="125">
        <f>IFERROR(VLOOKUP($L337,'2-2 引出数据_合同数据仓库'!$B$5:$BP$20,28,FALSE),0)</f>
        <v>0</v>
      </c>
      <c r="R337" s="125">
        <f>IFERROR(VLOOKUP($L337,'2-2 引出数据_合同数据仓库'!$B$5:$BP$20,29,FALSE),0)</f>
        <v>0</v>
      </c>
      <c r="S337" s="125">
        <f>IFERROR(VLOOKUP($L337,'2-2 引出数据_合同数据仓库'!$B$5:$BP$20,4,FALSE),0)</f>
        <v>0</v>
      </c>
      <c r="T337" s="125"/>
      <c r="U337" s="125">
        <f>IFERROR(VLOOKUP($L337,'2-2 引出数据_合同数据仓库'!$B$5:$BP$20,15,FALSE),0)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hidden="1" customHeight="1" outlineLevel="4" spans="1:95">
      <c r="A338" s="126" t="s">
        <v>2770</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hidden="1" customHeight="1" outlineLevel="2" collapsed="1" spans="1:95">
      <c r="A339" s="48"/>
      <c r="B339" s="115" t="s">
        <v>742</v>
      </c>
      <c r="C339" s="116" t="s">
        <v>1235</v>
      </c>
      <c r="D339" s="48" t="s">
        <v>1236</v>
      </c>
      <c r="E339" s="115" t="s">
        <v>1237</v>
      </c>
      <c r="F339" s="115"/>
      <c r="G339" s="115" t="s">
        <v>891</v>
      </c>
      <c r="H339" s="117">
        <f>X339+AA339+AD339+AG339+AJ339+AM339+AP339+AS339+AV339+AY339+BB339+BE339</f>
        <v>0</v>
      </c>
      <c r="I339" s="117">
        <f>Y339+AB339+AE339+AH339+AK339+AN339+AQ339+AT339+AW339+AZ339+BC339+BF339</f>
        <v>-38617.92</v>
      </c>
      <c r="J339" s="117">
        <f t="shared" si="3853"/>
        <v>38617.92</v>
      </c>
      <c r="K339" s="117"/>
      <c r="L339" s="148"/>
      <c r="M339" s="148"/>
      <c r="N339" s="117"/>
      <c r="O339" s="117"/>
      <c r="P339" s="117"/>
      <c r="Q339" s="117"/>
      <c r="R339" s="117"/>
      <c r="S339" s="117"/>
      <c r="T339" s="117"/>
      <c r="U339" s="117"/>
      <c r="V339" s="117"/>
      <c r="W339" s="117"/>
      <c r="X339" s="117">
        <f>VLOOKUP($C339,'1 预算编制表单'!$C:$BJ,27,FALSE)</f>
        <v>0</v>
      </c>
      <c r="Y339" s="117">
        <f>X339-Z339</f>
        <v>-5646.96</v>
      </c>
      <c r="Z339" s="117">
        <f>Z340+Z346+Z355+Z361+Z367+Z373+Z379+Z385+Z391</f>
        <v>5646.96</v>
      </c>
      <c r="AA339" s="117">
        <f>VLOOKUP($C339,'1 预算编制表单'!$C:$BJ,30,FALSE)</f>
        <v>0</v>
      </c>
      <c r="AB339" s="117">
        <f>AA339-AC339</f>
        <v>-5100.48</v>
      </c>
      <c r="AC339" s="117">
        <f>AC340+AC346+AC355+AC361+AC367+AC373+AC379+AC385+AC391</f>
        <v>5100.48</v>
      </c>
      <c r="AD339" s="117">
        <f>VLOOKUP($C339,'1 预算编制表单'!$C:$BJ,33,FALSE)</f>
        <v>0</v>
      </c>
      <c r="AE339" s="117">
        <f>AD339-AF339</f>
        <v>-5646.96</v>
      </c>
      <c r="AF339" s="117">
        <f>AF340+AF346+AF355+AF361+AF367+AF373+AF379+AF385+AF391</f>
        <v>5646.96</v>
      </c>
      <c r="AG339" s="117">
        <f>VLOOKUP($C339,'1 预算编制表单'!$C:$BJ,36,FALSE)</f>
        <v>0</v>
      </c>
      <c r="AH339" s="117">
        <f>AG339-AI339</f>
        <v>-5464.8</v>
      </c>
      <c r="AI339" s="117">
        <f>AI340+AI346+AI355+AI361+AI367+AI373+AI379+AI385+AI391</f>
        <v>5464.8</v>
      </c>
      <c r="AJ339" s="117">
        <f>VLOOKUP($C339,'1 预算编制表单'!$C:$BJ,39,FALSE)</f>
        <v>0</v>
      </c>
      <c r="AK339" s="117">
        <f>AJ339-AL339</f>
        <v>-5646.96</v>
      </c>
      <c r="AL339" s="117">
        <f>AL340+AL346+AL355+AL361+AL367+AL373+AL379+AL385+AL391</f>
        <v>5646.96</v>
      </c>
      <c r="AM339" s="117">
        <f>VLOOKUP($C339,'1 预算编制表单'!$C:$BJ,42,FALSE)</f>
        <v>0</v>
      </c>
      <c r="AN339" s="117">
        <f>AM339-AO339</f>
        <v>-5464.8</v>
      </c>
      <c r="AO339" s="117">
        <f>AO340+AO346+AO355+AO361+AO367+AO373+AO379+AO385+AO391</f>
        <v>5464.8</v>
      </c>
      <c r="AP339" s="117">
        <f>VLOOKUP($C339,'1 预算编制表单'!$C:$BJ,45,FALSE)</f>
        <v>0</v>
      </c>
      <c r="AQ339" s="117">
        <f>AP339-AR339</f>
        <v>-5646.96</v>
      </c>
      <c r="AR339" s="117">
        <f>AR340+AR346+AR355+AR361+AR367+AR373+AR379+AR385+AR391</f>
        <v>5646.96</v>
      </c>
      <c r="AS339" s="117">
        <f>VLOOKUP($C339,'1 预算编制表单'!$C:$BJ,48,FALSE)</f>
        <v>0</v>
      </c>
      <c r="AT339" s="117">
        <f>AS339-AU339</f>
        <v>0</v>
      </c>
      <c r="AU339" s="117">
        <f>AU340+AU346+AU355+AU361+AU367+AU373+AU379+AU385+AU391</f>
        <v>0</v>
      </c>
      <c r="AV339" s="117">
        <f>VLOOKUP($C339,'1 预算编制表单'!$C:$BJ,51,FALSE)</f>
        <v>0</v>
      </c>
      <c r="AW339" s="117">
        <f>AV339-AX339</f>
        <v>0</v>
      </c>
      <c r="AX339" s="117">
        <f>AX340+AX346+AX355+AX361+AX367+AX373+AX379+AX385+AX391</f>
        <v>0</v>
      </c>
      <c r="AY339" s="117">
        <f>VLOOKUP($C339,'1 预算编制表单'!$C:$BJ,54,FALSE)</f>
        <v>0</v>
      </c>
      <c r="AZ339" s="117">
        <f>AY339-BA339</f>
        <v>0</v>
      </c>
      <c r="BA339" s="117">
        <f>BA340+BA346+BA355+BA361+BA367+BA373+BA379+BA385+BA391</f>
        <v>0</v>
      </c>
      <c r="BB339" s="117">
        <f>VLOOKUP($C339,'1 预算编制表单'!$C:$BJ,57,FALSE)</f>
        <v>0</v>
      </c>
      <c r="BC339" s="117">
        <f>BB339-BD339</f>
        <v>0</v>
      </c>
      <c r="BD339" s="117">
        <f>BD340+BD346+BD355+BD361+BD367+BD373+BD379+BD385+BD391</f>
        <v>0</v>
      </c>
      <c r="BE339" s="117">
        <f>VLOOKUP($C339,'1 预算编制表单'!$C:$BJ,60,FALSE)</f>
        <v>0</v>
      </c>
      <c r="BF339" s="117">
        <f>BE339-BG339</f>
        <v>0</v>
      </c>
      <c r="BG339" s="117">
        <f>BG340+BG346+BG355+BG361+BG367+BG373+BG379+BG385+BG391</f>
        <v>0</v>
      </c>
      <c r="BH339" s="117">
        <f>VLOOKUP($C339,'1 预算编制表单'!$C:$BJ,27,FALSE)</f>
        <v>0</v>
      </c>
      <c r="BI339" s="117">
        <f>BH339-BJ339</f>
        <v>0</v>
      </c>
      <c r="BJ339" s="117">
        <f>BJ340+BJ346+BJ355+BJ361+BJ367+BJ373+BJ379+BJ385+BJ391</f>
        <v>0</v>
      </c>
      <c r="BK339" s="117">
        <f>VLOOKUP($C339,'1 预算编制表单'!$C:$BJ,30,FALSE)</f>
        <v>0</v>
      </c>
      <c r="BL339" s="117">
        <f>BK339-BM339</f>
        <v>0</v>
      </c>
      <c r="BM339" s="117">
        <f>BM340+BM346+BM355+BM361+BM367+BM373+BM379+BM385+BM391</f>
        <v>0</v>
      </c>
      <c r="BN339" s="117">
        <f>VLOOKUP($C339,'1 预算编制表单'!$C:$BJ,33,FALSE)</f>
        <v>0</v>
      </c>
      <c r="BO339" s="117">
        <f>BN339-BP339</f>
        <v>0</v>
      </c>
      <c r="BP339" s="117">
        <f>BP340+BP346+BP355+BP361+BP367+BP373+BP379+BP385+BP391</f>
        <v>0</v>
      </c>
      <c r="BQ339" s="117">
        <f>VLOOKUP($C339,'1 预算编制表单'!$C:$BJ,36,FALSE)</f>
        <v>0</v>
      </c>
      <c r="BR339" s="117">
        <f>BQ339-BS339</f>
        <v>0</v>
      </c>
      <c r="BS339" s="117">
        <f>BS340+BS346+BS355+BS361+BS367+BS373+BS379+BS385+BS391</f>
        <v>0</v>
      </c>
      <c r="BT339" s="117">
        <f>VLOOKUP($C339,'1 预算编制表单'!$C:$BJ,39,FALSE)</f>
        <v>0</v>
      </c>
      <c r="BU339" s="117">
        <f>BT339-BV339</f>
        <v>0</v>
      </c>
      <c r="BV339" s="117">
        <f>BV340+BV346+BV355+BV361+BV367+BV373+BV379+BV385+BV391</f>
        <v>0</v>
      </c>
      <c r="BW339" s="117">
        <f>VLOOKUP($C339,'1 预算编制表单'!$C:$BJ,42,FALSE)</f>
        <v>0</v>
      </c>
      <c r="BX339" s="117">
        <f>BW339-BY339</f>
        <v>0</v>
      </c>
      <c r="BY339" s="117">
        <f>BY340+BY346+BY355+BY361+BY367+BY373+BY379+BY385+BY391</f>
        <v>0</v>
      </c>
      <c r="BZ339" s="117">
        <f>VLOOKUP($C339,'1 预算编制表单'!$C:$BJ,45,FALSE)</f>
        <v>0</v>
      </c>
      <c r="CA339" s="117">
        <f>BZ339-CB339</f>
        <v>0</v>
      </c>
      <c r="CB339" s="117">
        <f>CB340+CB346+CB355+CB361+CB367+CB373+CB379+CB385+CB391</f>
        <v>0</v>
      </c>
      <c r="CC339" s="117">
        <f>VLOOKUP($C339,'1 预算编制表单'!$C:$BJ,48,FALSE)</f>
        <v>0</v>
      </c>
      <c r="CD339" s="117">
        <f>CC339-CE339</f>
        <v>0</v>
      </c>
      <c r="CE339" s="117">
        <f>CE340+CE346+CE355+CE361+CE367+CE373+CE379+CE385+CE391</f>
        <v>0</v>
      </c>
      <c r="CF339" s="117">
        <f>VLOOKUP($C339,'1 预算编制表单'!$C:$BJ,51,FALSE)</f>
        <v>0</v>
      </c>
      <c r="CG339" s="117">
        <f>CF339-CH339</f>
        <v>0</v>
      </c>
      <c r="CH339" s="117">
        <f>CH340+CH346+CH355+CH361+CH367+CH373+CH379+CH385+CH391</f>
        <v>0</v>
      </c>
      <c r="CI339" s="117">
        <f>VLOOKUP($C339,'1 预算编制表单'!$C:$BJ,54,FALSE)</f>
        <v>0</v>
      </c>
      <c r="CJ339" s="117">
        <f>CI339-CK339</f>
        <v>0</v>
      </c>
      <c r="CK339" s="117">
        <f>CK340+CK346+CK355+CK361+CK367+CK373+CK379+CK385+CK391</f>
        <v>0</v>
      </c>
      <c r="CL339" s="117">
        <f>VLOOKUP($C339,'1 预算编制表单'!$C:$BJ,57,FALSE)</f>
        <v>0</v>
      </c>
      <c r="CM339" s="117">
        <f>CL339-CN339</f>
        <v>0</v>
      </c>
      <c r="CN339" s="117">
        <f>CN340+CN346+CN355+CN361+CN367+CN373+CN379+CN385+CN391</f>
        <v>0</v>
      </c>
      <c r="CO339" s="117">
        <f>VLOOKUP($C339,'1 预算编制表单'!$C:$BJ,60,FALSE)</f>
        <v>0</v>
      </c>
      <c r="CP339" s="117">
        <f>CO339-CQ339</f>
        <v>0</v>
      </c>
      <c r="CQ339" s="117">
        <f>CQ340+CQ346+CQ355+CQ361+CQ367+CQ373+CQ379+CQ385+CQ391</f>
        <v>0</v>
      </c>
    </row>
    <row r="340" ht="24" hidden="1" customHeight="1" outlineLevel="3" collapsed="1" spans="1:95">
      <c r="A340" s="118"/>
      <c r="B340" s="119" t="s">
        <v>747</v>
      </c>
      <c r="C340" s="120" t="s">
        <v>28</v>
      </c>
      <c r="D340" s="118" t="s">
        <v>29</v>
      </c>
      <c r="E340" s="119" t="s">
        <v>1238</v>
      </c>
      <c r="F340" s="119"/>
      <c r="G340" s="119" t="s">
        <v>891</v>
      </c>
      <c r="H340" s="121">
        <f>X340+AA340+AD340+AG340+AJ340+AM340+AP340+AS340+AV340+AY340+BB340+BE340</f>
        <v>0</v>
      </c>
      <c r="I340" s="121">
        <f>Y340+AB340+AE340+AH340+AK340+AN340+AQ340+AT340+AW340+AZ340+BC340+BF340</f>
        <v>0</v>
      </c>
      <c r="J340" s="121">
        <f t="shared" si="3853"/>
        <v>0</v>
      </c>
      <c r="K340" s="121"/>
      <c r="L340" s="149"/>
      <c r="M340" s="149"/>
      <c r="N340" s="121"/>
      <c r="O340" s="121"/>
      <c r="P340" s="121"/>
      <c r="Q340" s="121"/>
      <c r="R340" s="121"/>
      <c r="S340" s="121"/>
      <c r="T340" s="121"/>
      <c r="U340" s="121"/>
      <c r="V340" s="121"/>
      <c r="W340" s="121"/>
      <c r="X340" s="121">
        <f>VLOOKUP($C340,'1 预算编制表单'!$C:$BJ,27,FALSE)</f>
        <v>0</v>
      </c>
      <c r="Y340" s="121">
        <f>X340-Z340</f>
        <v>0</v>
      </c>
      <c r="Z340" s="121">
        <f>SUM(Z341:Z345)</f>
        <v>0</v>
      </c>
      <c r="AA340" s="121">
        <f>VLOOKUP($C340,'1 预算编制表单'!$C:$BJ,30,FALSE)</f>
        <v>0</v>
      </c>
      <c r="AB340" s="121">
        <f>AA340-AC340</f>
        <v>0</v>
      </c>
      <c r="AC340" s="121">
        <f>SUM(AC341:AC345)</f>
        <v>0</v>
      </c>
      <c r="AD340" s="121">
        <f>VLOOKUP($C340,'1 预算编制表单'!$C:$BJ,33,FALSE)</f>
        <v>0</v>
      </c>
      <c r="AE340" s="121">
        <f>AD340-AF340</f>
        <v>0</v>
      </c>
      <c r="AF340" s="121">
        <f>SUM(AF341:AF345)</f>
        <v>0</v>
      </c>
      <c r="AG340" s="121">
        <f>VLOOKUP($C340,'1 预算编制表单'!$C:$BJ,36,FALSE)</f>
        <v>0</v>
      </c>
      <c r="AH340" s="121">
        <f>AG340-AI340</f>
        <v>0</v>
      </c>
      <c r="AI340" s="121">
        <f>SUM(AI341:AI345)</f>
        <v>0</v>
      </c>
      <c r="AJ340" s="121">
        <f>VLOOKUP($C340,'1 预算编制表单'!$C:$BJ,39,FALSE)</f>
        <v>0</v>
      </c>
      <c r="AK340" s="121">
        <f>AJ340-AL340</f>
        <v>0</v>
      </c>
      <c r="AL340" s="121">
        <f>SUM(AL341:AL345)</f>
        <v>0</v>
      </c>
      <c r="AM340" s="121">
        <f>VLOOKUP($C340,'1 预算编制表单'!$C:$BJ,42,FALSE)</f>
        <v>0</v>
      </c>
      <c r="AN340" s="121">
        <f>AM340-AO340</f>
        <v>0</v>
      </c>
      <c r="AO340" s="121">
        <f>SUM(AO341:AO345)</f>
        <v>0</v>
      </c>
      <c r="AP340" s="121">
        <f>VLOOKUP($C340,'1 预算编制表单'!$C:$BJ,45,FALSE)</f>
        <v>0</v>
      </c>
      <c r="AQ340" s="121">
        <f>AP340-AR340</f>
        <v>0</v>
      </c>
      <c r="AR340" s="121">
        <f>SUM(AR341:AR345)</f>
        <v>0</v>
      </c>
      <c r="AS340" s="121">
        <f>VLOOKUP($C340,'1 预算编制表单'!$C:$BJ,48,FALSE)</f>
        <v>0</v>
      </c>
      <c r="AT340" s="121">
        <f>AS340-AU340</f>
        <v>0</v>
      </c>
      <c r="AU340" s="121">
        <f>SUM(AU341:AU345)</f>
        <v>0</v>
      </c>
      <c r="AV340" s="121">
        <f>VLOOKUP($C340,'1 预算编制表单'!$C:$BJ,51,FALSE)</f>
        <v>0</v>
      </c>
      <c r="AW340" s="121">
        <f>AV340-AX340</f>
        <v>0</v>
      </c>
      <c r="AX340" s="121">
        <f>SUM(AX341:AX345)</f>
        <v>0</v>
      </c>
      <c r="AY340" s="121">
        <f>VLOOKUP($C340,'1 预算编制表单'!$C:$BJ,54,FALSE)</f>
        <v>0</v>
      </c>
      <c r="AZ340" s="121">
        <f>AY340-BA340</f>
        <v>0</v>
      </c>
      <c r="BA340" s="121">
        <f>SUM(BA341:BA345)</f>
        <v>0</v>
      </c>
      <c r="BB340" s="121">
        <f>VLOOKUP($C340,'1 预算编制表单'!$C:$BJ,57,FALSE)</f>
        <v>0</v>
      </c>
      <c r="BC340" s="121">
        <f>BB340-BD340</f>
        <v>0</v>
      </c>
      <c r="BD340" s="121">
        <f>SUM(BD341:BD345)</f>
        <v>0</v>
      </c>
      <c r="BE340" s="121">
        <f>VLOOKUP($C340,'1 预算编制表单'!$C:$BJ,60,FALSE)</f>
        <v>0</v>
      </c>
      <c r="BF340" s="121">
        <f>BE340-BG340</f>
        <v>0</v>
      </c>
      <c r="BG340" s="121">
        <f>SUM(BG341:BG345)</f>
        <v>0</v>
      </c>
      <c r="BH340" s="121">
        <f>VLOOKUP($C340,'1 预算编制表单'!$C:$BJ,27,FALSE)</f>
        <v>0</v>
      </c>
      <c r="BI340" s="121">
        <f>BH340-BJ340</f>
        <v>0</v>
      </c>
      <c r="BJ340" s="121">
        <f>SUM(BJ341:BJ345)</f>
        <v>0</v>
      </c>
      <c r="BK340" s="121">
        <f>VLOOKUP($C340,'1 预算编制表单'!$C:$BJ,30,FALSE)</f>
        <v>0</v>
      </c>
      <c r="BL340" s="121">
        <f>BK340-BM340</f>
        <v>0</v>
      </c>
      <c r="BM340" s="121">
        <f>SUM(BM341:BM345)</f>
        <v>0</v>
      </c>
      <c r="BN340" s="121">
        <f>VLOOKUP($C340,'1 预算编制表单'!$C:$BJ,33,FALSE)</f>
        <v>0</v>
      </c>
      <c r="BO340" s="121">
        <f>BN340-BP340</f>
        <v>0</v>
      </c>
      <c r="BP340" s="121">
        <f>SUM(BP341:BP345)</f>
        <v>0</v>
      </c>
      <c r="BQ340" s="121">
        <f>VLOOKUP($C340,'1 预算编制表单'!$C:$BJ,36,FALSE)</f>
        <v>0</v>
      </c>
      <c r="BR340" s="121">
        <f>BQ340-BS340</f>
        <v>0</v>
      </c>
      <c r="BS340" s="121">
        <f>SUM(BS341:BS345)</f>
        <v>0</v>
      </c>
      <c r="BT340" s="121">
        <f>VLOOKUP($C340,'1 预算编制表单'!$C:$BJ,39,FALSE)</f>
        <v>0</v>
      </c>
      <c r="BU340" s="121">
        <f>BT340-BV340</f>
        <v>0</v>
      </c>
      <c r="BV340" s="121">
        <f>SUM(BV341:BV345)</f>
        <v>0</v>
      </c>
      <c r="BW340" s="121">
        <f>VLOOKUP($C340,'1 预算编制表单'!$C:$BJ,42,FALSE)</f>
        <v>0</v>
      </c>
      <c r="BX340" s="121">
        <f>BW340-BY340</f>
        <v>0</v>
      </c>
      <c r="BY340" s="121">
        <f>SUM(BY341:BY345)</f>
        <v>0</v>
      </c>
      <c r="BZ340" s="121">
        <f>VLOOKUP($C340,'1 预算编制表单'!$C:$BJ,45,FALSE)</f>
        <v>0</v>
      </c>
      <c r="CA340" s="121">
        <f>BZ340-CB340</f>
        <v>0</v>
      </c>
      <c r="CB340" s="121">
        <f>SUM(CB341:CB345)</f>
        <v>0</v>
      </c>
      <c r="CC340" s="121">
        <f>VLOOKUP($C340,'1 预算编制表单'!$C:$BJ,48,FALSE)</f>
        <v>0</v>
      </c>
      <c r="CD340" s="121">
        <f>CC340-CE340</f>
        <v>0</v>
      </c>
      <c r="CE340" s="121">
        <f>SUM(CE341:CE345)</f>
        <v>0</v>
      </c>
      <c r="CF340" s="121">
        <f>VLOOKUP($C340,'1 预算编制表单'!$C:$BJ,51,FALSE)</f>
        <v>0</v>
      </c>
      <c r="CG340" s="121">
        <f>CF340-CH340</f>
        <v>0</v>
      </c>
      <c r="CH340" s="121">
        <f>SUM(CH341:CH345)</f>
        <v>0</v>
      </c>
      <c r="CI340" s="121">
        <f>VLOOKUP($C340,'1 预算编制表单'!$C:$BJ,54,FALSE)</f>
        <v>0</v>
      </c>
      <c r="CJ340" s="121">
        <f>CI340-CK340</f>
        <v>0</v>
      </c>
      <c r="CK340" s="121">
        <f>SUM(CK341:CK345)</f>
        <v>0</v>
      </c>
      <c r="CL340" s="121">
        <f>VLOOKUP($C340,'1 预算编制表单'!$C:$BJ,57,FALSE)</f>
        <v>0</v>
      </c>
      <c r="CM340" s="121">
        <f>CL340-CN340</f>
        <v>0</v>
      </c>
      <c r="CN340" s="121">
        <f>SUM(CN341:CN345)</f>
        <v>0</v>
      </c>
      <c r="CO340" s="121">
        <f>VLOOKUP($C340,'1 预算编制表单'!$C:$BJ,60,FALSE)</f>
        <v>0</v>
      </c>
      <c r="CP340" s="121">
        <f>CO340-CQ340</f>
        <v>0</v>
      </c>
      <c r="CQ340" s="121">
        <f>SUM(CQ341:CQ345)</f>
        <v>0</v>
      </c>
    </row>
    <row r="341" s="83" customFormat="1" ht="24" hidden="1" customHeight="1" outlineLevel="4" spans="1:95">
      <c r="A341" s="122"/>
      <c r="B341" s="123"/>
      <c r="C341" s="124"/>
      <c r="D341" s="122"/>
      <c r="E341" s="123"/>
      <c r="F341" s="123"/>
      <c r="G341" s="123"/>
      <c r="H341" s="125"/>
      <c r="I341" s="125"/>
      <c r="J341" s="125">
        <f t="shared" si="3853"/>
        <v>0</v>
      </c>
      <c r="K341" s="125">
        <v>1</v>
      </c>
      <c r="L341" s="150" t="s">
        <v>2780</v>
      </c>
      <c r="M341" s="151">
        <f>IFERROR(VLOOKUP($L341,'2-2 引出数据_合同数据仓库'!$B$5:$BP$20,3,FALSE),0)</f>
        <v>0</v>
      </c>
      <c r="N341" s="125"/>
      <c r="O341" s="151">
        <f>IFERROR(VLOOKUP((LEFT(VLOOKUP($L341,'2-2 引出数据_合同数据仓库'!$B$5:$BP$20,64,FALSE),15)&amp;(RIGHT(VLOOKUP($L341,'2-2 引出数据_合同数据仓库'!$B$5:$BP$20,64,FALSE),4)+1)),'2-2 引出数据_合同数据仓库'!$B$5:$BP$20,3,FALSE),0)</f>
        <v>0</v>
      </c>
      <c r="P341" s="125"/>
      <c r="Q341" s="125">
        <f>IFERROR(VLOOKUP($L341,'2-2 引出数据_合同数据仓库'!$B$5:$BP$20,28,FALSE),0)</f>
        <v>0</v>
      </c>
      <c r="R341" s="125">
        <f>IFERROR(VLOOKUP($L341,'2-2 引出数据_合同数据仓库'!$B$5:$BP$20,29,FALSE),0)</f>
        <v>0</v>
      </c>
      <c r="S341" s="125">
        <f>IFERROR(VLOOKUP($L341,'2-2 引出数据_合同数据仓库'!$B$5:$BP$20,4,FALSE),0)</f>
        <v>0</v>
      </c>
      <c r="T341" s="125"/>
      <c r="U341" s="125">
        <f>IFERROR(VLOOKUP($L341,'2-2 引出数据_合同数据仓库'!$B$5:$BP$20,15,FALSE),0)</f>
        <v>0</v>
      </c>
      <c r="V341" s="125">
        <f t="shared" ref="V341:V344" si="3998">U341/(S341-R341+1)*365</f>
        <v>0</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0</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0</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0</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0</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0</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0</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0</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0</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0</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0</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0</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0</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0</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0</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hidden="1" customHeight="1" outlineLevel="4" spans="1:95">
      <c r="A342" s="122"/>
      <c r="B342" s="123"/>
      <c r="C342" s="124"/>
      <c r="D342" s="122"/>
      <c r="E342" s="123"/>
      <c r="F342" s="123"/>
      <c r="G342" s="123"/>
      <c r="H342" s="125"/>
      <c r="I342" s="125"/>
      <c r="J342" s="125">
        <f t="shared" si="3853"/>
        <v>0</v>
      </c>
      <c r="K342" s="125">
        <f t="shared" ref="K342:K344" si="4069">K341+1</f>
        <v>2</v>
      </c>
      <c r="L342" s="150" t="s">
        <v>2781</v>
      </c>
      <c r="M342" s="151">
        <f>IFERROR(VLOOKUP($L342,'2-2 引出数据_合同数据仓库'!$B$5:$BP$20,3,FALSE),0)</f>
        <v>0</v>
      </c>
      <c r="N342" s="125"/>
      <c r="O342" s="151">
        <f>IFERROR(VLOOKUP((LEFT(VLOOKUP($L342,'2-2 引出数据_合同数据仓库'!$B$5:$BP$20,64,FALSE),15)&amp;(RIGHT(VLOOKUP($L342,'2-2 引出数据_合同数据仓库'!$B$5:$BP$20,64,FALSE),4)+1)),'2-2 引出数据_合同数据仓库'!$B$5:$BP$20,3,FALSE),0)</f>
        <v>0</v>
      </c>
      <c r="P342" s="125"/>
      <c r="Q342" s="125">
        <f>IFERROR(VLOOKUP($L342,'2-2 引出数据_合同数据仓库'!$B$5:$BP$20,28,FALSE),0)</f>
        <v>0</v>
      </c>
      <c r="R342" s="125">
        <f>IFERROR(VLOOKUP($L342,'2-2 引出数据_合同数据仓库'!$B$5:$BP$20,29,FALSE),0)</f>
        <v>0</v>
      </c>
      <c r="S342" s="125">
        <f>IFERROR(VLOOKUP($L342,'2-2 引出数据_合同数据仓库'!$B$5:$BP$20,4,FALSE),0)</f>
        <v>0</v>
      </c>
      <c r="T342" s="125"/>
      <c r="U342" s="125">
        <f>IFERROR(VLOOKUP($L342,'2-2 引出数据_合同数据仓库'!$B$5:$BP$20,15,FALSE),0)</f>
        <v>0</v>
      </c>
      <c r="V342" s="125">
        <f t="shared" si="3998"/>
        <v>0</v>
      </c>
      <c r="W342" s="125"/>
      <c r="X342" s="157">
        <v>45658</v>
      </c>
      <c r="Y342" s="157">
        <f t="shared" si="3999"/>
        <v>45688</v>
      </c>
      <c r="Z342" s="161">
        <f t="shared" si="4000"/>
        <v>0</v>
      </c>
      <c r="AA342" s="157">
        <f t="shared" si="4001"/>
        <v>45689</v>
      </c>
      <c r="AB342" s="157">
        <f t="shared" si="4002"/>
        <v>45716</v>
      </c>
      <c r="AC342" s="161">
        <f t="shared" si="4003"/>
        <v>0</v>
      </c>
      <c r="AD342" s="157">
        <f t="shared" si="4004"/>
        <v>45717</v>
      </c>
      <c r="AE342" s="157">
        <f t="shared" si="4005"/>
        <v>45747</v>
      </c>
      <c r="AF342" s="161">
        <f t="shared" si="4006"/>
        <v>0</v>
      </c>
      <c r="AG342" s="157">
        <f t="shared" si="4007"/>
        <v>45748</v>
      </c>
      <c r="AH342" s="157">
        <f t="shared" si="4008"/>
        <v>45777</v>
      </c>
      <c r="AI342" s="161">
        <f t="shared" si="4009"/>
        <v>0</v>
      </c>
      <c r="AJ342" s="157">
        <f t="shared" si="4010"/>
        <v>45778</v>
      </c>
      <c r="AK342" s="157">
        <f t="shared" si="4011"/>
        <v>45808</v>
      </c>
      <c r="AL342" s="161">
        <f t="shared" si="4012"/>
        <v>0</v>
      </c>
      <c r="AM342" s="157">
        <f t="shared" si="4013"/>
        <v>45809</v>
      </c>
      <c r="AN342" s="157">
        <f t="shared" si="4014"/>
        <v>45838</v>
      </c>
      <c r="AO342" s="161">
        <f t="shared" si="4015"/>
        <v>0</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hidden="1" customHeight="1" outlineLevel="4" spans="1:95">
      <c r="A343" s="122"/>
      <c r="B343" s="123"/>
      <c r="C343" s="124"/>
      <c r="D343" s="122"/>
      <c r="E343" s="123"/>
      <c r="F343" s="123"/>
      <c r="G343" s="123"/>
      <c r="H343" s="125"/>
      <c r="I343" s="125"/>
      <c r="J343" s="125">
        <f t="shared" si="3853"/>
        <v>0</v>
      </c>
      <c r="K343" s="125">
        <f t="shared" si="4069"/>
        <v>3</v>
      </c>
      <c r="L343" s="150" t="s">
        <v>2782</v>
      </c>
      <c r="M343" s="151">
        <f>IFERROR(VLOOKUP($L343,'2-2 引出数据_合同数据仓库'!$B$5:$BP$20,3,FALSE),0)</f>
        <v>0</v>
      </c>
      <c r="N343" s="125"/>
      <c r="O343" s="151">
        <f>IFERROR(VLOOKUP((LEFT(VLOOKUP($L343,'2-2 引出数据_合同数据仓库'!$B$5:$BP$20,64,FALSE),15)&amp;(RIGHT(VLOOKUP($L343,'2-2 引出数据_合同数据仓库'!$B$5:$BP$20,64,FALSE),4)+1)),'2-2 引出数据_合同数据仓库'!$B$5:$BP$20,3,FALSE),0)</f>
        <v>0</v>
      </c>
      <c r="P343" s="125"/>
      <c r="Q343" s="125">
        <f>IFERROR(VLOOKUP($L343,'2-2 引出数据_合同数据仓库'!$B$5:$BP$20,28,FALSE),0)</f>
        <v>0</v>
      </c>
      <c r="R343" s="125">
        <f>IFERROR(VLOOKUP($L343,'2-2 引出数据_合同数据仓库'!$B$5:$BP$20,29,FALSE),0)</f>
        <v>0</v>
      </c>
      <c r="S343" s="125">
        <f>IFERROR(VLOOKUP($L343,'2-2 引出数据_合同数据仓库'!$B$5:$BP$20,4,FALSE),0)</f>
        <v>0</v>
      </c>
      <c r="T343" s="125"/>
      <c r="U343" s="125">
        <f>IFERROR(VLOOKUP($L343,'2-2 引出数据_合同数据仓库'!$B$5:$BP$20,15,FALSE),0)</f>
        <v>0</v>
      </c>
      <c r="V343" s="125">
        <f t="shared" si="3998"/>
        <v>0</v>
      </c>
      <c r="W343" s="125"/>
      <c r="X343" s="157">
        <v>45658</v>
      </c>
      <c r="Y343" s="157">
        <f t="shared" si="3999"/>
        <v>45688</v>
      </c>
      <c r="Z343" s="161">
        <f t="shared" si="4000"/>
        <v>0</v>
      </c>
      <c r="AA343" s="157">
        <f t="shared" si="4001"/>
        <v>45689</v>
      </c>
      <c r="AB343" s="157">
        <f t="shared" si="4002"/>
        <v>45716</v>
      </c>
      <c r="AC343" s="161">
        <f t="shared" si="4003"/>
        <v>0</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hidden="1" customHeight="1" outlineLevel="4" spans="1:95">
      <c r="A344" s="122"/>
      <c r="B344" s="123"/>
      <c r="C344" s="124"/>
      <c r="D344" s="122"/>
      <c r="E344" s="123"/>
      <c r="F344" s="123"/>
      <c r="G344" s="123"/>
      <c r="H344" s="125"/>
      <c r="I344" s="125"/>
      <c r="J344" s="125">
        <f t="shared" si="3853"/>
        <v>0</v>
      </c>
      <c r="K344" s="125">
        <f t="shared" si="4069"/>
        <v>4</v>
      </c>
      <c r="L344" s="150"/>
      <c r="M344" s="151">
        <f>IFERROR(VLOOKUP($L344,'2-2 引出数据_合同数据仓库'!$B$5:$BP$20,3,FALSE),0)</f>
        <v>0</v>
      </c>
      <c r="N344" s="125"/>
      <c r="O344" s="151">
        <f>IFERROR(VLOOKUP((LEFT(VLOOKUP($L344,'2-2 引出数据_合同数据仓库'!$B$5:$BP$20,64,FALSE),15)&amp;(RIGHT(VLOOKUP($L344,'2-2 引出数据_合同数据仓库'!$B$5:$BP$20,64,FALSE),4)+1)),'2-2 引出数据_合同数据仓库'!$B$5:$BP$20,3,FALSE),0)</f>
        <v>0</v>
      </c>
      <c r="P344" s="125"/>
      <c r="Q344" s="125">
        <f>IFERROR(VLOOKUP($L344,'2-2 引出数据_合同数据仓库'!$B$5:$BP$20,28,FALSE),0)</f>
        <v>0</v>
      </c>
      <c r="R344" s="125">
        <f>IFERROR(VLOOKUP($L344,'2-2 引出数据_合同数据仓库'!$B$5:$BP$20,29,FALSE),0)</f>
        <v>0</v>
      </c>
      <c r="S344" s="125">
        <f>IFERROR(VLOOKUP($L344,'2-2 引出数据_合同数据仓库'!$B$5:$BP$20,4,FALSE),0)</f>
        <v>0</v>
      </c>
      <c r="T344" s="125"/>
      <c r="U344" s="125">
        <f>IFERROR(VLOOKUP($L344,'2-2 引出数据_合同数据仓库'!$B$5:$BP$20,15,FALSE),0)</f>
        <v>0</v>
      </c>
      <c r="V344" s="125">
        <f t="shared" si="3998"/>
        <v>0</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hidden="1" customHeight="1" outlineLevel="4" spans="1:95">
      <c r="A345" s="126" t="s">
        <v>2770</v>
      </c>
      <c r="B345" s="127"/>
      <c r="C345" s="127"/>
      <c r="D345" s="127"/>
      <c r="E345" s="127"/>
      <c r="F345" s="127"/>
      <c r="G345" s="128"/>
      <c r="H345" s="129"/>
      <c r="I345" s="129"/>
      <c r="J345" s="129"/>
      <c r="K345" s="129"/>
      <c r="L345" s="152"/>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hidden="1" customHeight="1" outlineLevel="3" collapsed="1" spans="1:95">
      <c r="A346" s="118"/>
      <c r="B346" s="119" t="s">
        <v>747</v>
      </c>
      <c r="C346" s="120" t="s">
        <v>1240</v>
      </c>
      <c r="D346" s="118" t="s">
        <v>1241</v>
      </c>
      <c r="E346" s="119"/>
      <c r="F346" s="119"/>
      <c r="G346" s="119"/>
      <c r="H346" s="121">
        <f>X346+AA346+AD346+AG346+AJ346+AM346+AP346+AS346+AV346+AY346+BB346+BE346</f>
        <v>0</v>
      </c>
      <c r="I346" s="121">
        <f>Y346+AB346+AE346+AH346+AK346+AN346+AQ346+AT346+AW346+AZ346+BC346+BF346</f>
        <v>0</v>
      </c>
      <c r="J346" s="121">
        <f t="shared" si="3853"/>
        <v>0</v>
      </c>
      <c r="K346" s="121"/>
      <c r="L346" s="149"/>
      <c r="M346" s="149"/>
      <c r="N346" s="121"/>
      <c r="O346" s="121"/>
      <c r="P346" s="121"/>
      <c r="Q346" s="121"/>
      <c r="R346" s="121"/>
      <c r="S346" s="121"/>
      <c r="T346" s="121"/>
      <c r="U346" s="121"/>
      <c r="V346" s="121"/>
      <c r="W346" s="121"/>
      <c r="X346" s="121">
        <f>VLOOKUP($C346,'1 预算编制表单'!$C:$BJ,27,FALSE)</f>
        <v>0</v>
      </c>
      <c r="Y346" s="121">
        <f>X346-Z346</f>
        <v>0</v>
      </c>
      <c r="Z346" s="121">
        <f>SUM(Z347:Z354)</f>
        <v>0</v>
      </c>
      <c r="AA346" s="121">
        <f>VLOOKUP($C346,'1 预算编制表单'!$C:$BJ,30,FALSE)</f>
        <v>0</v>
      </c>
      <c r="AB346" s="121">
        <f>AA346-AC346</f>
        <v>0</v>
      </c>
      <c r="AC346" s="121">
        <f>SUM(AC347:AC354)</f>
        <v>0</v>
      </c>
      <c r="AD346" s="121">
        <f>VLOOKUP($C346,'1 预算编制表单'!$C:$BJ,33,FALSE)</f>
        <v>0</v>
      </c>
      <c r="AE346" s="121">
        <f>AD346-AF346</f>
        <v>0</v>
      </c>
      <c r="AF346" s="121">
        <f>SUM(AF347:AF354)</f>
        <v>0</v>
      </c>
      <c r="AG346" s="121">
        <f>VLOOKUP($C346,'1 预算编制表单'!$C:$BJ,36,FALSE)</f>
        <v>0</v>
      </c>
      <c r="AH346" s="121">
        <f>AG346-AI346</f>
        <v>0</v>
      </c>
      <c r="AI346" s="121">
        <f>SUM(AI347:AI354)</f>
        <v>0</v>
      </c>
      <c r="AJ346" s="121">
        <f>VLOOKUP($C346,'1 预算编制表单'!$C:$BJ,39,FALSE)</f>
        <v>0</v>
      </c>
      <c r="AK346" s="121">
        <f>AJ346-AL346</f>
        <v>0</v>
      </c>
      <c r="AL346" s="121">
        <f>SUM(AL347:AL354)</f>
        <v>0</v>
      </c>
      <c r="AM346" s="121">
        <f>VLOOKUP($C346,'1 预算编制表单'!$C:$BJ,42,FALSE)</f>
        <v>0</v>
      </c>
      <c r="AN346" s="121">
        <f>AM346-AO346</f>
        <v>0</v>
      </c>
      <c r="AO346" s="121">
        <f>SUM(AO347:AO354)</f>
        <v>0</v>
      </c>
      <c r="AP346" s="121">
        <f>VLOOKUP($C346,'1 预算编制表单'!$C:$BJ,45,FALSE)</f>
        <v>0</v>
      </c>
      <c r="AQ346" s="121">
        <f>AP346-AR346</f>
        <v>0</v>
      </c>
      <c r="AR346" s="121">
        <f>SUM(AR347:AR354)</f>
        <v>0</v>
      </c>
      <c r="AS346" s="121">
        <f>VLOOKUP($C346,'1 预算编制表单'!$C:$BJ,48,FALSE)</f>
        <v>0</v>
      </c>
      <c r="AT346" s="121">
        <f>AS346-AU346</f>
        <v>0</v>
      </c>
      <c r="AU346" s="121">
        <f>SUM(AU347:AU354)</f>
        <v>0</v>
      </c>
      <c r="AV346" s="121">
        <f>VLOOKUP($C346,'1 预算编制表单'!$C:$BJ,51,FALSE)</f>
        <v>0</v>
      </c>
      <c r="AW346" s="121">
        <f>AV346-AX346</f>
        <v>0</v>
      </c>
      <c r="AX346" s="121">
        <f>SUM(AX347:AX354)</f>
        <v>0</v>
      </c>
      <c r="AY346" s="121">
        <f>VLOOKUP($C346,'1 预算编制表单'!$C:$BJ,54,FALSE)</f>
        <v>0</v>
      </c>
      <c r="AZ346" s="121">
        <f>AY346-BA346</f>
        <v>0</v>
      </c>
      <c r="BA346" s="121">
        <f>SUM(BA347:BA354)</f>
        <v>0</v>
      </c>
      <c r="BB346" s="121">
        <f>VLOOKUP($C346,'1 预算编制表单'!$C:$BJ,57,FALSE)</f>
        <v>0</v>
      </c>
      <c r="BC346" s="121">
        <f>BB346-BD346</f>
        <v>0</v>
      </c>
      <c r="BD346" s="121">
        <f>SUM(BD347:BD354)</f>
        <v>0</v>
      </c>
      <c r="BE346" s="121">
        <f>VLOOKUP($C346,'1 预算编制表单'!$C:$BJ,60,FALSE)</f>
        <v>0</v>
      </c>
      <c r="BF346" s="121">
        <f>BE346-BG346</f>
        <v>0</v>
      </c>
      <c r="BG346" s="121">
        <f>SUM(BG347:BG354)</f>
        <v>0</v>
      </c>
      <c r="BH346" s="121">
        <f>VLOOKUP($C346,'1 预算编制表单'!$C:$BJ,27,FALSE)</f>
        <v>0</v>
      </c>
      <c r="BI346" s="121">
        <f>BH346-BJ346</f>
        <v>0</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hidden="1" customHeight="1" outlineLevel="4" spans="1:95">
      <c r="A347" s="122"/>
      <c r="B347" s="123"/>
      <c r="C347" s="124" t="s">
        <v>56</v>
      </c>
      <c r="D347" s="122" t="s">
        <v>2783</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hidden="1" customHeight="1" outlineLevel="4" spans="1:95">
      <c r="A348" s="122"/>
      <c r="B348" s="123"/>
      <c r="C348" s="124"/>
      <c r="D348" s="122"/>
      <c r="E348" s="123"/>
      <c r="F348" s="123"/>
      <c r="G348" s="123"/>
      <c r="H348" s="125"/>
      <c r="I348" s="125"/>
      <c r="J348" s="125">
        <f t="shared" si="3853"/>
        <v>0</v>
      </c>
      <c r="K348" s="125">
        <f t="shared" ref="K348:K349" si="4070">K347+1</f>
        <v>1</v>
      </c>
      <c r="L348" s="150"/>
      <c r="M348" s="151">
        <f>IFERROR(VLOOKUP($L348,'2-2 引出数据_合同数据仓库'!$B$5:$BP$20,3,FALSE),0)</f>
        <v>0</v>
      </c>
      <c r="N348" s="125"/>
      <c r="O348" s="151">
        <f>IFERROR(VLOOKUP((LEFT(VLOOKUP($L348,'2-2 引出数据_合同数据仓库'!$B$5:$BP$20,64,FALSE),15)&amp;(RIGHT(VLOOKUP($L348,'2-2 引出数据_合同数据仓库'!$B$5:$BP$20,64,FALSE),4)+1)),'2-2 引出数据_合同数据仓库'!$B$5:$BP$20,3,FALSE),0)</f>
        <v>0</v>
      </c>
      <c r="P348" s="125"/>
      <c r="Q348" s="125">
        <f>IFERROR(VLOOKUP($L348,'2-2 引出数据_合同数据仓库'!$B$5:$BP$20,28,FALSE),0)</f>
        <v>0</v>
      </c>
      <c r="R348" s="125">
        <f>IFERROR(VLOOKUP($L348,'2-2 引出数据_合同数据仓库'!$B$5:$BP$20,29,FALSE),0)</f>
        <v>0</v>
      </c>
      <c r="S348" s="125">
        <f>IFERROR(VLOOKUP($L348,'2-2 引出数据_合同数据仓库'!$B$5:$BP$20,4,FALSE),0)</f>
        <v>0</v>
      </c>
      <c r="T348" s="125"/>
      <c r="U348" s="125">
        <f>IFERROR(VLOOKUP($L348,'2-2 引出数据_合同数据仓库'!$B$5:$BP$20,15,FALSE),0)</f>
        <v>0</v>
      </c>
      <c r="V348" s="125">
        <f t="shared" ref="V348:V353" si="4071">U348/(S348-R348+1)*365</f>
        <v>0</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0</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0</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0</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0</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0</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0</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0</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0</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0</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0</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0</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0</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hidden="1" customHeight="1" outlineLevel="4" spans="1:95">
      <c r="A349" s="122"/>
      <c r="B349" s="123"/>
      <c r="C349" s="124"/>
      <c r="D349" s="122"/>
      <c r="E349" s="123"/>
      <c r="F349" s="123"/>
      <c r="G349" s="123"/>
      <c r="H349" s="125"/>
      <c r="I349" s="125"/>
      <c r="J349" s="125">
        <f t="shared" si="3853"/>
        <v>0</v>
      </c>
      <c r="K349" s="125">
        <f t="shared" si="4070"/>
        <v>2</v>
      </c>
      <c r="L349" s="150"/>
      <c r="M349" s="151">
        <f>IFERROR(VLOOKUP($L349,'2-2 引出数据_合同数据仓库'!$B$5:$BP$20,3,FALSE),0)</f>
        <v>0</v>
      </c>
      <c r="N349" s="125"/>
      <c r="O349" s="151">
        <f>IFERROR(VLOOKUP((LEFT(VLOOKUP($L349,'2-2 引出数据_合同数据仓库'!$B$5:$BP$20,64,FALSE),15)&amp;(RIGHT(VLOOKUP($L349,'2-2 引出数据_合同数据仓库'!$B$5:$BP$20,64,FALSE),4)+1)),'2-2 引出数据_合同数据仓库'!$B$5:$BP$20,3,FALSE),0)</f>
        <v>0</v>
      </c>
      <c r="P349" s="125"/>
      <c r="Q349" s="125">
        <f>IFERROR(VLOOKUP($L349,'2-2 引出数据_合同数据仓库'!$B$5:$BP$20,28,FALSE),0)</f>
        <v>0</v>
      </c>
      <c r="R349" s="125">
        <f>IFERROR(VLOOKUP($L349,'2-2 引出数据_合同数据仓库'!$B$5:$BP$20,29,FALSE),0)</f>
        <v>0</v>
      </c>
      <c r="S349" s="125">
        <f>IFERROR(VLOOKUP($L349,'2-2 引出数据_合同数据仓库'!$B$5:$BP$20,4,FALSE),0)</f>
        <v>0</v>
      </c>
      <c r="T349" s="125"/>
      <c r="U349" s="125">
        <f>IFERROR(VLOOKUP($L349,'2-2 引出数据_合同数据仓库'!$B$5:$BP$20,15,FALSE),0)</f>
        <v>0</v>
      </c>
      <c r="V349" s="125">
        <f t="shared" si="4071"/>
        <v>0</v>
      </c>
      <c r="W349" s="125"/>
      <c r="X349" s="157">
        <v>45658</v>
      </c>
      <c r="Y349" s="157">
        <f t="shared" si="4072"/>
        <v>45688</v>
      </c>
      <c r="Z349" s="161">
        <f t="shared" si="4073"/>
        <v>0</v>
      </c>
      <c r="AA349" s="157">
        <f t="shared" si="4074"/>
        <v>45689</v>
      </c>
      <c r="AB349" s="157">
        <f t="shared" si="4075"/>
        <v>45716</v>
      </c>
      <c r="AC349" s="161">
        <f t="shared" si="4076"/>
        <v>0</v>
      </c>
      <c r="AD349" s="157">
        <f t="shared" si="4077"/>
        <v>45717</v>
      </c>
      <c r="AE349" s="157">
        <f t="shared" si="4078"/>
        <v>45747</v>
      </c>
      <c r="AF349" s="161">
        <f t="shared" si="4079"/>
        <v>0</v>
      </c>
      <c r="AG349" s="157">
        <f t="shared" si="4080"/>
        <v>45748</v>
      </c>
      <c r="AH349" s="157">
        <f t="shared" si="4081"/>
        <v>45777</v>
      </c>
      <c r="AI349" s="161">
        <f t="shared" si="4082"/>
        <v>0</v>
      </c>
      <c r="AJ349" s="157">
        <f t="shared" si="4083"/>
        <v>45778</v>
      </c>
      <c r="AK349" s="157">
        <f t="shared" si="4084"/>
        <v>45808</v>
      </c>
      <c r="AL349" s="161">
        <f t="shared" si="4085"/>
        <v>0</v>
      </c>
      <c r="AM349" s="157">
        <f t="shared" si="4086"/>
        <v>45809</v>
      </c>
      <c r="AN349" s="157">
        <f t="shared" si="4087"/>
        <v>45838</v>
      </c>
      <c r="AO349" s="161">
        <f t="shared" si="4088"/>
        <v>0</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hidden="1"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引出数据_合同数据仓库'!$B$5:$BP$20,3,FALSE),0)</f>
        <v>0</v>
      </c>
      <c r="N350" s="125"/>
      <c r="O350" s="151">
        <f>IFERROR(VLOOKUP((LEFT(VLOOKUP($L350,'2-2 引出数据_合同数据仓库'!$B$5:$BP$20,64,FALSE),15)&amp;(RIGHT(VLOOKUP($L350,'2-2 引出数据_合同数据仓库'!$B$5:$BP$20,64,FALSE),4)+1)),'2-2 引出数据_合同数据仓库'!$B$5:$BP$20,3,FALSE),0)</f>
        <v>0</v>
      </c>
      <c r="P350" s="125"/>
      <c r="Q350" s="125">
        <f>IFERROR(VLOOKUP($L350,'2-2 引出数据_合同数据仓库'!$B$5:$BP$20,28,FALSE),0)</f>
        <v>0</v>
      </c>
      <c r="R350" s="125">
        <f>IFERROR(VLOOKUP($L350,'2-2 引出数据_合同数据仓库'!$B$5:$BP$20,29,FALSE),0)</f>
        <v>0</v>
      </c>
      <c r="S350" s="125">
        <f>IFERROR(VLOOKUP($L350,'2-2 引出数据_合同数据仓库'!$B$5:$BP$20,4,FALSE),0)</f>
        <v>0</v>
      </c>
      <c r="T350" s="125"/>
      <c r="U350" s="125">
        <f>IFERROR(VLOOKUP($L350,'2-2 引出数据_合同数据仓库'!$B$5:$BP$20,15,FALSE),0)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hidden="1"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引出数据_合同数据仓库'!$B$5:$BP$20,3,FALSE),0)</f>
        <v>0</v>
      </c>
      <c r="N351" s="125"/>
      <c r="O351" s="151">
        <f>IFERROR(VLOOKUP((LEFT(VLOOKUP($L351,'2-2 引出数据_合同数据仓库'!$B$5:$BP$20,64,FALSE),15)&amp;(RIGHT(VLOOKUP($L351,'2-2 引出数据_合同数据仓库'!$B$5:$BP$20,64,FALSE),4)+1)),'2-2 引出数据_合同数据仓库'!$B$5:$BP$20,3,FALSE),0)</f>
        <v>0</v>
      </c>
      <c r="P351" s="125"/>
      <c r="Q351" s="125">
        <f>IFERROR(VLOOKUP($L351,'2-2 引出数据_合同数据仓库'!$B$5:$BP$20,28,FALSE),0)</f>
        <v>0</v>
      </c>
      <c r="R351" s="125">
        <f>IFERROR(VLOOKUP($L351,'2-2 引出数据_合同数据仓库'!$B$5:$BP$20,29,FALSE),0)</f>
        <v>0</v>
      </c>
      <c r="S351" s="125">
        <f>IFERROR(VLOOKUP($L351,'2-2 引出数据_合同数据仓库'!$B$5:$BP$20,4,FALSE),0)</f>
        <v>0</v>
      </c>
      <c r="T351" s="125"/>
      <c r="U351" s="125">
        <f>IFERROR(VLOOKUP($L351,'2-2 引出数据_合同数据仓库'!$B$5:$BP$20,15,FALSE),0)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hidden="1"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引出数据_合同数据仓库'!$B$5:$BP$20,3,FALSE),0)</f>
        <v>0</v>
      </c>
      <c r="N352" s="125"/>
      <c r="O352" s="151">
        <f>IFERROR(VLOOKUP((LEFT(VLOOKUP($L352,'2-2 引出数据_合同数据仓库'!$B$5:$BP$20,64,FALSE),15)&amp;(RIGHT(VLOOKUP($L352,'2-2 引出数据_合同数据仓库'!$B$5:$BP$20,64,FALSE),4)+1)),'2-2 引出数据_合同数据仓库'!$B$5:$BP$20,3,FALSE),0)</f>
        <v>0</v>
      </c>
      <c r="P352" s="125"/>
      <c r="Q352" s="125">
        <f>IFERROR(VLOOKUP($L352,'2-2 引出数据_合同数据仓库'!$B$5:$BP$20,28,FALSE),0)</f>
        <v>0</v>
      </c>
      <c r="R352" s="125">
        <f>IFERROR(VLOOKUP($L352,'2-2 引出数据_合同数据仓库'!$B$5:$BP$20,29,FALSE),0)</f>
        <v>0</v>
      </c>
      <c r="S352" s="125">
        <f>IFERROR(VLOOKUP($L352,'2-2 引出数据_合同数据仓库'!$B$5:$BP$20,4,FALSE),0)</f>
        <v>0</v>
      </c>
      <c r="T352" s="125"/>
      <c r="U352" s="125">
        <f>IFERROR(VLOOKUP($L352,'2-2 引出数据_合同数据仓库'!$B$5:$BP$20,15,FALSE),0)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hidden="1"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引出数据_合同数据仓库'!$B$5:$BP$20,3,FALSE),0)</f>
        <v>0</v>
      </c>
      <c r="N353" s="125"/>
      <c r="O353" s="151">
        <f>IFERROR(VLOOKUP((LEFT(VLOOKUP($L353,'2-2 引出数据_合同数据仓库'!$B$5:$BP$20,64,FALSE),15)&amp;(RIGHT(VLOOKUP($L353,'2-2 引出数据_合同数据仓库'!$B$5:$BP$20,64,FALSE),4)+1)),'2-2 引出数据_合同数据仓库'!$B$5:$BP$20,3,FALSE),0)</f>
        <v>0</v>
      </c>
      <c r="P353" s="125"/>
      <c r="Q353" s="125">
        <f>IFERROR(VLOOKUP($L353,'2-2 引出数据_合同数据仓库'!$B$5:$BP$20,28,FALSE),0)</f>
        <v>0</v>
      </c>
      <c r="R353" s="125">
        <f>IFERROR(VLOOKUP($L353,'2-2 引出数据_合同数据仓库'!$B$5:$BP$20,29,FALSE),0)</f>
        <v>0</v>
      </c>
      <c r="S353" s="125">
        <f>IFERROR(VLOOKUP($L353,'2-2 引出数据_合同数据仓库'!$B$5:$BP$20,4,FALSE),0)</f>
        <v>0</v>
      </c>
      <c r="T353" s="125"/>
      <c r="U353" s="125">
        <f>IFERROR(VLOOKUP($L353,'2-2 引出数据_合同数据仓库'!$B$5:$BP$20,15,FALSE),0)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hidden="1" customHeight="1" outlineLevel="4" spans="1:95">
      <c r="A354" s="126" t="s">
        <v>2770</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hidden="1" customHeight="1" outlineLevel="3" collapsed="1" spans="1:95">
      <c r="A355" s="118"/>
      <c r="B355" s="119" t="s">
        <v>747</v>
      </c>
      <c r="C355" s="120" t="s">
        <v>1259</v>
      </c>
      <c r="D355" s="118" t="s">
        <v>1260</v>
      </c>
      <c r="E355" s="119"/>
      <c r="F355" s="119"/>
      <c r="G355" s="119" t="s">
        <v>891</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hidden="1"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引出数据_合同数据仓库'!$B$5:$BP$20,3,FALSE),0)</f>
        <v>0</v>
      </c>
      <c r="N356" s="125"/>
      <c r="O356" s="151">
        <f>IFERROR(VLOOKUP((LEFT(VLOOKUP($L356,'2-2 引出数据_合同数据仓库'!$B$5:$BP$20,64,FALSE),15)&amp;(RIGHT(VLOOKUP($L356,'2-2 引出数据_合同数据仓库'!$B$5:$BP$20,64,FALSE),4)+1)),'2-2 引出数据_合同数据仓库'!$B$5:$BP$20,3,FALSE),0)</f>
        <v>0</v>
      </c>
      <c r="P356" s="125"/>
      <c r="Q356" s="125">
        <f>IFERROR(VLOOKUP($L356,'2-2 引出数据_合同数据仓库'!$B$5:$BP$20,28,FALSE),0)</f>
        <v>0</v>
      </c>
      <c r="R356" s="125">
        <f>IFERROR(VLOOKUP($L356,'2-2 引出数据_合同数据仓库'!$B$5:$BP$20,29,FALSE),0)</f>
        <v>0</v>
      </c>
      <c r="S356" s="125">
        <f>IFERROR(VLOOKUP($L356,'2-2 引出数据_合同数据仓库'!$B$5:$BP$20,4,FALSE),0)</f>
        <v>0</v>
      </c>
      <c r="T356" s="125"/>
      <c r="U356" s="125">
        <f>IFERROR(VLOOKUP($L356,'2-2 引出数据_合同数据仓库'!$B$5:$BP$20,15,FALSE),0)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hidden="1"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引出数据_合同数据仓库'!$B$5:$BP$20,3,FALSE),0)</f>
        <v>0</v>
      </c>
      <c r="N357" s="125"/>
      <c r="O357" s="151">
        <f>IFERROR(VLOOKUP((LEFT(VLOOKUP($L357,'2-2 引出数据_合同数据仓库'!$B$5:$BP$20,64,FALSE),15)&amp;(RIGHT(VLOOKUP($L357,'2-2 引出数据_合同数据仓库'!$B$5:$BP$20,64,FALSE),4)+1)),'2-2 引出数据_合同数据仓库'!$B$5:$BP$20,3,FALSE),0)</f>
        <v>0</v>
      </c>
      <c r="P357" s="125"/>
      <c r="Q357" s="125">
        <f>IFERROR(VLOOKUP($L357,'2-2 引出数据_合同数据仓库'!$B$5:$BP$20,28,FALSE),0)</f>
        <v>0</v>
      </c>
      <c r="R357" s="125">
        <f>IFERROR(VLOOKUP($L357,'2-2 引出数据_合同数据仓库'!$B$5:$BP$20,29,FALSE),0)</f>
        <v>0</v>
      </c>
      <c r="S357" s="125">
        <f>IFERROR(VLOOKUP($L357,'2-2 引出数据_合同数据仓库'!$B$5:$BP$20,4,FALSE),0)</f>
        <v>0</v>
      </c>
      <c r="T357" s="125"/>
      <c r="U357" s="125">
        <f>IFERROR(VLOOKUP($L357,'2-2 引出数据_合同数据仓库'!$B$5:$BP$20,15,FALSE),0)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hidden="1"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引出数据_合同数据仓库'!$B$5:$BP$20,3,FALSE),0)</f>
        <v>0</v>
      </c>
      <c r="N358" s="125"/>
      <c r="O358" s="151">
        <f>IFERROR(VLOOKUP((LEFT(VLOOKUP($L358,'2-2 引出数据_合同数据仓库'!$B$5:$BP$20,64,FALSE),15)&amp;(RIGHT(VLOOKUP($L358,'2-2 引出数据_合同数据仓库'!$B$5:$BP$20,64,FALSE),4)+1)),'2-2 引出数据_合同数据仓库'!$B$5:$BP$20,3,FALSE),0)</f>
        <v>0</v>
      </c>
      <c r="P358" s="125"/>
      <c r="Q358" s="125">
        <f>IFERROR(VLOOKUP($L358,'2-2 引出数据_合同数据仓库'!$B$5:$BP$20,28,FALSE),0)</f>
        <v>0</v>
      </c>
      <c r="R358" s="125">
        <f>IFERROR(VLOOKUP($L358,'2-2 引出数据_合同数据仓库'!$B$5:$BP$20,29,FALSE),0)</f>
        <v>0</v>
      </c>
      <c r="S358" s="125">
        <f>IFERROR(VLOOKUP($L358,'2-2 引出数据_合同数据仓库'!$B$5:$BP$20,4,FALSE),0)</f>
        <v>0</v>
      </c>
      <c r="T358" s="125"/>
      <c r="U358" s="125">
        <f>IFERROR(VLOOKUP($L358,'2-2 引出数据_合同数据仓库'!$B$5:$BP$20,15,FALSE),0)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hidden="1"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引出数据_合同数据仓库'!$B$5:$BP$20,3,FALSE),0)</f>
        <v>0</v>
      </c>
      <c r="N359" s="125"/>
      <c r="O359" s="151">
        <f>IFERROR(VLOOKUP((LEFT(VLOOKUP($L359,'2-2 引出数据_合同数据仓库'!$B$5:$BP$20,64,FALSE),15)&amp;(RIGHT(VLOOKUP($L359,'2-2 引出数据_合同数据仓库'!$B$5:$BP$20,64,FALSE),4)+1)),'2-2 引出数据_合同数据仓库'!$B$5:$BP$20,3,FALSE),0)</f>
        <v>0</v>
      </c>
      <c r="P359" s="125"/>
      <c r="Q359" s="125">
        <f>IFERROR(VLOOKUP($L359,'2-2 引出数据_合同数据仓库'!$B$5:$BP$20,28,FALSE),0)</f>
        <v>0</v>
      </c>
      <c r="R359" s="125">
        <f>IFERROR(VLOOKUP($L359,'2-2 引出数据_合同数据仓库'!$B$5:$BP$20,29,FALSE),0)</f>
        <v>0</v>
      </c>
      <c r="S359" s="125">
        <f>IFERROR(VLOOKUP($L359,'2-2 引出数据_合同数据仓库'!$B$5:$BP$20,4,FALSE),0)</f>
        <v>0</v>
      </c>
      <c r="T359" s="125"/>
      <c r="U359" s="125">
        <f>IFERROR(VLOOKUP($L359,'2-2 引出数据_合同数据仓库'!$B$5:$BP$20,15,FALSE),0)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hidden="1" customHeight="1" outlineLevel="4" spans="1:95">
      <c r="A360" s="126" t="s">
        <v>2770</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hidden="1" customHeight="1" outlineLevel="3" collapsed="1" spans="1:95">
      <c r="A361" s="118"/>
      <c r="B361" s="119" t="s">
        <v>747</v>
      </c>
      <c r="C361" s="120" t="s">
        <v>1261</v>
      </c>
      <c r="D361" s="118" t="s">
        <v>1262</v>
      </c>
      <c r="E361" s="119"/>
      <c r="F361" s="119"/>
      <c r="G361" s="119"/>
      <c r="H361" s="121">
        <f>X361+AA361+AD361+AG361+AJ361+AM361+AP361+AS361+AV361+AY361+BB361+BE361</f>
        <v>0</v>
      </c>
      <c r="I361" s="121">
        <f>Y361+AB361+AE361+AH361+AK361+AN361+AQ361+AT361+AW361+AZ361+BC361+BF361</f>
        <v>0</v>
      </c>
      <c r="J361" s="121">
        <f t="shared" si="3853"/>
        <v>0</v>
      </c>
      <c r="K361" s="121"/>
      <c r="L361" s="149"/>
      <c r="M361" s="149"/>
      <c r="N361" s="121"/>
      <c r="O361" s="121"/>
      <c r="P361" s="121"/>
      <c r="Q361" s="121"/>
      <c r="R361" s="121"/>
      <c r="S361" s="121"/>
      <c r="T361" s="121"/>
      <c r="U361" s="121"/>
      <c r="V361" s="121"/>
      <c r="W361" s="121"/>
      <c r="X361" s="121">
        <f>VLOOKUP($C361,'1 预算编制表单'!$C:$BJ,27,FALSE)</f>
        <v>0</v>
      </c>
      <c r="Y361" s="121">
        <f>X361-Z361</f>
        <v>0</v>
      </c>
      <c r="Z361" s="121">
        <f>SUM(Z362:Z366)</f>
        <v>0</v>
      </c>
      <c r="AA361" s="121">
        <f>VLOOKUP($C361,'1 预算编制表单'!$C:$BJ,30,FALSE)</f>
        <v>0</v>
      </c>
      <c r="AB361" s="121">
        <f>AA361-AC361</f>
        <v>0</v>
      </c>
      <c r="AC361" s="121">
        <f>SUM(AC362:AC366)</f>
        <v>0</v>
      </c>
      <c r="AD361" s="121">
        <f>VLOOKUP($C361,'1 预算编制表单'!$C:$BJ,33,FALSE)</f>
        <v>0</v>
      </c>
      <c r="AE361" s="121">
        <f>AD361-AF361</f>
        <v>0</v>
      </c>
      <c r="AF361" s="121">
        <f>SUM(AF362:AF366)</f>
        <v>0</v>
      </c>
      <c r="AG361" s="121">
        <f>VLOOKUP($C361,'1 预算编制表单'!$C:$BJ,36,FALSE)</f>
        <v>0</v>
      </c>
      <c r="AH361" s="121">
        <f>AG361-AI361</f>
        <v>0</v>
      </c>
      <c r="AI361" s="121">
        <f>SUM(AI362:AI366)</f>
        <v>0</v>
      </c>
      <c r="AJ361" s="121">
        <f>VLOOKUP($C361,'1 预算编制表单'!$C:$BJ,39,FALSE)</f>
        <v>0</v>
      </c>
      <c r="AK361" s="121">
        <f>AJ361-AL361</f>
        <v>0</v>
      </c>
      <c r="AL361" s="121">
        <f>SUM(AL362:AL366)</f>
        <v>0</v>
      </c>
      <c r="AM361" s="121">
        <f>VLOOKUP($C361,'1 预算编制表单'!$C:$BJ,42,FALSE)</f>
        <v>0</v>
      </c>
      <c r="AN361" s="121">
        <f>AM361-AO361</f>
        <v>0</v>
      </c>
      <c r="AO361" s="121">
        <f>SUM(AO362:AO366)</f>
        <v>0</v>
      </c>
      <c r="AP361" s="121">
        <f>VLOOKUP($C361,'1 预算编制表单'!$C:$BJ,45,FALSE)</f>
        <v>0</v>
      </c>
      <c r="AQ361" s="121">
        <f>AP361-AR361</f>
        <v>0</v>
      </c>
      <c r="AR361" s="121">
        <f>SUM(AR362:AR366)</f>
        <v>0</v>
      </c>
      <c r="AS361" s="121">
        <f>VLOOKUP($C361,'1 预算编制表单'!$C:$BJ,48,FALSE)</f>
        <v>0</v>
      </c>
      <c r="AT361" s="121">
        <f>AS361-AU361</f>
        <v>0</v>
      </c>
      <c r="AU361" s="121">
        <f>SUM(AU362:AU366)</f>
        <v>0</v>
      </c>
      <c r="AV361" s="121">
        <f>VLOOKUP($C361,'1 预算编制表单'!$C:$BJ,51,FALSE)</f>
        <v>0</v>
      </c>
      <c r="AW361" s="121">
        <f>AV361-AX361</f>
        <v>0</v>
      </c>
      <c r="AX361" s="121">
        <f>SUM(AX362:AX366)</f>
        <v>0</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hidden="1" customHeight="1" outlineLevel="4" spans="1:95">
      <c r="A362" s="122"/>
      <c r="B362" s="123"/>
      <c r="C362" s="124"/>
      <c r="D362" s="122"/>
      <c r="E362" s="123"/>
      <c r="F362" s="123"/>
      <c r="G362" s="123"/>
      <c r="H362" s="125"/>
      <c r="I362" s="125"/>
      <c r="J362" s="125">
        <f t="shared" si="3853"/>
        <v>0</v>
      </c>
      <c r="K362" s="125">
        <v>1</v>
      </c>
      <c r="L362" s="150"/>
      <c r="M362" s="151">
        <f>IFERROR(VLOOKUP($L362,'2-2 引出数据_合同数据仓库'!$B$5:$BP$20,3,FALSE),0)</f>
        <v>0</v>
      </c>
      <c r="N362" s="125"/>
      <c r="O362" s="151">
        <f>IFERROR(VLOOKUP((LEFT(VLOOKUP($L362,'2-2 引出数据_合同数据仓库'!$B$5:$BP$20,64,FALSE),15)&amp;(RIGHT(VLOOKUP($L362,'2-2 引出数据_合同数据仓库'!$B$5:$BP$20,64,FALSE),4)+1)),'2-2 引出数据_合同数据仓库'!$B$5:$BP$20,3,FALSE),0)</f>
        <v>0</v>
      </c>
      <c r="P362" s="125"/>
      <c r="Q362" s="125">
        <f>IFERROR(VLOOKUP($L362,'2-2 引出数据_合同数据仓库'!$B$5:$BP$20,28,FALSE),0)</f>
        <v>0</v>
      </c>
      <c r="R362" s="125">
        <f>IFERROR(VLOOKUP($L362,'2-2 引出数据_合同数据仓库'!$B$5:$BP$20,29,FALSE),0)</f>
        <v>0</v>
      </c>
      <c r="S362" s="125">
        <f>IFERROR(VLOOKUP($L362,'2-2 引出数据_合同数据仓库'!$B$5:$BP$20,4,FALSE),0)</f>
        <v>0</v>
      </c>
      <c r="T362" s="125"/>
      <c r="U362" s="125">
        <f>IFERROR(VLOOKUP($L362,'2-2 引出数据_合同数据仓库'!$B$5:$BP$20,15,FALSE),0)</f>
        <v>0</v>
      </c>
      <c r="V362" s="125">
        <f t="shared" ref="V362:V365" si="4286">U362/(S362-R362+1)*365</f>
        <v>0</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0</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0</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0</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0</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0</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0</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0</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0</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0</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hidden="1" customHeight="1" outlineLevel="4" spans="1:95">
      <c r="A363" s="122"/>
      <c r="B363" s="123"/>
      <c r="C363" s="124"/>
      <c r="D363" s="122"/>
      <c r="E363" s="123"/>
      <c r="F363" s="123"/>
      <c r="G363" s="123"/>
      <c r="H363" s="125"/>
      <c r="I363" s="125"/>
      <c r="J363" s="125">
        <f t="shared" si="3853"/>
        <v>0</v>
      </c>
      <c r="K363" s="125">
        <f t="shared" ref="K363:K365" si="4357">K362+1</f>
        <v>2</v>
      </c>
      <c r="L363" s="150"/>
      <c r="M363" s="151">
        <f>IFERROR(VLOOKUP($L363,'2-2 引出数据_合同数据仓库'!$B$5:$BP$20,3,FALSE),0)</f>
        <v>0</v>
      </c>
      <c r="N363" s="125"/>
      <c r="O363" s="151">
        <f>IFERROR(VLOOKUP((LEFT(VLOOKUP($L363,'2-2 引出数据_合同数据仓库'!$B$5:$BP$20,64,FALSE),15)&amp;(RIGHT(VLOOKUP($L363,'2-2 引出数据_合同数据仓库'!$B$5:$BP$20,64,FALSE),4)+1)),'2-2 引出数据_合同数据仓库'!$B$5:$BP$20,3,FALSE),0)</f>
        <v>0</v>
      </c>
      <c r="P363" s="125"/>
      <c r="Q363" s="125">
        <f>IFERROR(VLOOKUP($L363,'2-2 引出数据_合同数据仓库'!$B$5:$BP$20,28,FALSE),0)</f>
        <v>0</v>
      </c>
      <c r="R363" s="125">
        <f>IFERROR(VLOOKUP($L363,'2-2 引出数据_合同数据仓库'!$B$5:$BP$20,29,FALSE),0)</f>
        <v>0</v>
      </c>
      <c r="S363" s="125">
        <f>IFERROR(VLOOKUP($L363,'2-2 引出数据_合同数据仓库'!$B$5:$BP$20,4,FALSE),0)</f>
        <v>0</v>
      </c>
      <c r="T363" s="125"/>
      <c r="U363" s="125">
        <f>IFERROR(VLOOKUP($L363,'2-2 引出数据_合同数据仓库'!$B$5:$BP$20,15,FALSE),0)</f>
        <v>0</v>
      </c>
      <c r="V363" s="125">
        <f t="shared" si="4286"/>
        <v>0</v>
      </c>
      <c r="W363" s="125"/>
      <c r="X363" s="157">
        <v>45658</v>
      </c>
      <c r="Y363" s="157">
        <f t="shared" si="4287"/>
        <v>45688</v>
      </c>
      <c r="Z363" s="161">
        <f t="shared" si="4288"/>
        <v>0</v>
      </c>
      <c r="AA363" s="157">
        <f t="shared" si="4289"/>
        <v>45689</v>
      </c>
      <c r="AB363" s="157">
        <f t="shared" si="4290"/>
        <v>45716</v>
      </c>
      <c r="AC363" s="161">
        <f t="shared" si="4291"/>
        <v>0</v>
      </c>
      <c r="AD363" s="157">
        <f t="shared" si="4292"/>
        <v>45717</v>
      </c>
      <c r="AE363" s="157">
        <f t="shared" si="4293"/>
        <v>45747</v>
      </c>
      <c r="AF363" s="161">
        <f t="shared" si="4294"/>
        <v>0</v>
      </c>
      <c r="AG363" s="157">
        <f t="shared" si="4295"/>
        <v>45748</v>
      </c>
      <c r="AH363" s="157">
        <f t="shared" si="4296"/>
        <v>45777</v>
      </c>
      <c r="AI363" s="161">
        <f t="shared" si="4297"/>
        <v>0</v>
      </c>
      <c r="AJ363" s="157">
        <f t="shared" si="4298"/>
        <v>45778</v>
      </c>
      <c r="AK363" s="157">
        <f t="shared" si="4299"/>
        <v>45808</v>
      </c>
      <c r="AL363" s="161">
        <f t="shared" si="4300"/>
        <v>0</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hidden="1"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引出数据_合同数据仓库'!$B$5:$BP$20,3,FALSE),0)</f>
        <v>0</v>
      </c>
      <c r="N364" s="125"/>
      <c r="O364" s="151">
        <f>IFERROR(VLOOKUP((LEFT(VLOOKUP($L364,'2-2 引出数据_合同数据仓库'!$B$5:$BP$20,64,FALSE),15)&amp;(RIGHT(VLOOKUP($L364,'2-2 引出数据_合同数据仓库'!$B$5:$BP$20,64,FALSE),4)+1)),'2-2 引出数据_合同数据仓库'!$B$5:$BP$20,3,FALSE),0)</f>
        <v>0</v>
      </c>
      <c r="P364" s="125"/>
      <c r="Q364" s="125">
        <f>IFERROR(VLOOKUP($L364,'2-2 引出数据_合同数据仓库'!$B$5:$BP$20,28,FALSE),0)</f>
        <v>0</v>
      </c>
      <c r="R364" s="125">
        <f>IFERROR(VLOOKUP($L364,'2-2 引出数据_合同数据仓库'!$B$5:$BP$20,29,FALSE),0)</f>
        <v>0</v>
      </c>
      <c r="S364" s="125">
        <f>IFERROR(VLOOKUP($L364,'2-2 引出数据_合同数据仓库'!$B$5:$BP$20,4,FALSE),0)</f>
        <v>0</v>
      </c>
      <c r="T364" s="125"/>
      <c r="U364" s="125">
        <f>IFERROR(VLOOKUP($L364,'2-2 引出数据_合同数据仓库'!$B$5:$BP$20,15,FALSE),0)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hidden="1"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引出数据_合同数据仓库'!$B$5:$BP$20,3,FALSE),0)</f>
        <v>0</v>
      </c>
      <c r="N365" s="125"/>
      <c r="O365" s="151">
        <f>IFERROR(VLOOKUP((LEFT(VLOOKUP($L365,'2-2 引出数据_合同数据仓库'!$B$5:$BP$20,64,FALSE),15)&amp;(RIGHT(VLOOKUP($L365,'2-2 引出数据_合同数据仓库'!$B$5:$BP$20,64,FALSE),4)+1)),'2-2 引出数据_合同数据仓库'!$B$5:$BP$20,3,FALSE),0)</f>
        <v>0</v>
      </c>
      <c r="P365" s="125"/>
      <c r="Q365" s="125">
        <f>IFERROR(VLOOKUP($L365,'2-2 引出数据_合同数据仓库'!$B$5:$BP$20,28,FALSE),0)</f>
        <v>0</v>
      </c>
      <c r="R365" s="125">
        <f>IFERROR(VLOOKUP($L365,'2-2 引出数据_合同数据仓库'!$B$5:$BP$20,29,FALSE),0)</f>
        <v>0</v>
      </c>
      <c r="S365" s="125">
        <f>IFERROR(VLOOKUP($L365,'2-2 引出数据_合同数据仓库'!$B$5:$BP$20,4,FALSE),0)</f>
        <v>0</v>
      </c>
      <c r="T365" s="125"/>
      <c r="U365" s="125">
        <f>IFERROR(VLOOKUP($L365,'2-2 引出数据_合同数据仓库'!$B$5:$BP$20,15,FALSE),0)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hidden="1" customHeight="1" outlineLevel="4" spans="1:95">
      <c r="A366" s="126" t="s">
        <v>2770</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hidden="1" customHeight="1" outlineLevel="3" collapsed="1" spans="1:95">
      <c r="A367" s="118"/>
      <c r="B367" s="119" t="s">
        <v>747</v>
      </c>
      <c r="C367" s="120" t="s">
        <v>1288</v>
      </c>
      <c r="D367" s="118" t="s">
        <v>1289</v>
      </c>
      <c r="E367" s="119" t="s">
        <v>1290</v>
      </c>
      <c r="F367" s="119"/>
      <c r="G367" s="119"/>
      <c r="H367" s="121">
        <f>X367+AA367+AD367+AG367+AJ367+AM367+AP367+AS367+AV367+AY367+BB367+BE367</f>
        <v>0</v>
      </c>
      <c r="I367" s="121">
        <f>Y367+AB367+AE367+AH367+AK367+AN367+AQ367+AT367+AW367+AZ367+BC367+BF367</f>
        <v>0</v>
      </c>
      <c r="J367" s="121">
        <f t="shared" si="3853"/>
        <v>0</v>
      </c>
      <c r="K367" s="121"/>
      <c r="L367" s="149"/>
      <c r="M367" s="149"/>
      <c r="N367" s="121"/>
      <c r="O367" s="121"/>
      <c r="P367" s="121"/>
      <c r="Q367" s="121"/>
      <c r="R367" s="121"/>
      <c r="S367" s="121"/>
      <c r="T367" s="121"/>
      <c r="U367" s="121"/>
      <c r="V367" s="121"/>
      <c r="W367" s="121"/>
      <c r="X367" s="121">
        <f>VLOOKUP($C367,'1 预算编制表单'!$C:$BJ,27,FALSE)</f>
        <v>0</v>
      </c>
      <c r="Y367" s="121">
        <f>X367-Z367</f>
        <v>0</v>
      </c>
      <c r="Z367" s="121">
        <f>SUM(Z368:Z372)</f>
        <v>0</v>
      </c>
      <c r="AA367" s="121">
        <f>VLOOKUP($C367,'1 预算编制表单'!$C:$BJ,30,FALSE)</f>
        <v>0</v>
      </c>
      <c r="AB367" s="121">
        <f>AA367-AC367</f>
        <v>0</v>
      </c>
      <c r="AC367" s="121">
        <f>SUM(AC368:AC372)</f>
        <v>0</v>
      </c>
      <c r="AD367" s="121">
        <f>VLOOKUP($C367,'1 预算编制表单'!$C:$BJ,33,FALSE)</f>
        <v>0</v>
      </c>
      <c r="AE367" s="121">
        <f>AD367-AF367</f>
        <v>0</v>
      </c>
      <c r="AF367" s="121">
        <f>SUM(AF368:AF372)</f>
        <v>0</v>
      </c>
      <c r="AG367" s="121">
        <f>VLOOKUP($C367,'1 预算编制表单'!$C:$BJ,36,FALSE)</f>
        <v>0</v>
      </c>
      <c r="AH367" s="121">
        <f>AG367-AI367</f>
        <v>0</v>
      </c>
      <c r="AI367" s="121">
        <f>SUM(AI368:AI372)</f>
        <v>0</v>
      </c>
      <c r="AJ367" s="121">
        <f>VLOOKUP($C367,'1 预算编制表单'!$C:$BJ,39,FALSE)</f>
        <v>0</v>
      </c>
      <c r="AK367" s="121">
        <f>AJ367-AL367</f>
        <v>0</v>
      </c>
      <c r="AL367" s="121">
        <f>SUM(AL368:AL372)</f>
        <v>0</v>
      </c>
      <c r="AM367" s="121">
        <f>VLOOKUP($C367,'1 预算编制表单'!$C:$BJ,42,FALSE)</f>
        <v>0</v>
      </c>
      <c r="AN367" s="121">
        <f>AM367-AO367</f>
        <v>0</v>
      </c>
      <c r="AO367" s="121">
        <f>SUM(AO368:AO372)</f>
        <v>0</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hidden="1" customHeight="1" outlineLevel="4" spans="1:95">
      <c r="A368" s="122"/>
      <c r="B368" s="123"/>
      <c r="C368" s="124"/>
      <c r="D368" s="122"/>
      <c r="E368" s="123"/>
      <c r="F368" s="123"/>
      <c r="G368" s="123"/>
      <c r="H368" s="125"/>
      <c r="I368" s="125"/>
      <c r="J368" s="125">
        <f t="shared" si="3853"/>
        <v>0</v>
      </c>
      <c r="K368" s="125">
        <v>1</v>
      </c>
      <c r="L368" s="150"/>
      <c r="M368" s="151">
        <f>IFERROR(VLOOKUP($L368,'2-2 引出数据_合同数据仓库'!$B$5:$BP$20,3,FALSE),0)</f>
        <v>0</v>
      </c>
      <c r="N368" s="125"/>
      <c r="O368" s="151">
        <f>IFERROR(VLOOKUP((LEFT(VLOOKUP($L368,'2-2 引出数据_合同数据仓库'!$B$5:$BP$20,64,FALSE),15)&amp;(RIGHT(VLOOKUP($L368,'2-2 引出数据_合同数据仓库'!$B$5:$BP$20,64,FALSE),4)+1)),'2-2 引出数据_合同数据仓库'!$B$5:$BP$20,3,FALSE),0)</f>
        <v>0</v>
      </c>
      <c r="P368" s="125"/>
      <c r="Q368" s="125">
        <f>IFERROR(VLOOKUP($L368,'2-2 引出数据_合同数据仓库'!$B$5:$BP$20,28,FALSE),0)</f>
        <v>0</v>
      </c>
      <c r="R368" s="125">
        <f>IFERROR(VLOOKUP($L368,'2-2 引出数据_合同数据仓库'!$B$5:$BP$20,29,FALSE),0)</f>
        <v>0</v>
      </c>
      <c r="S368" s="125">
        <f>IFERROR(VLOOKUP($L368,'2-2 引出数据_合同数据仓库'!$B$5:$BP$20,4,FALSE),0)</f>
        <v>0</v>
      </c>
      <c r="T368" s="125"/>
      <c r="U368" s="125">
        <f>IFERROR(VLOOKUP($L368,'2-2 引出数据_合同数据仓库'!$B$5:$BP$20,15,FALSE),0)</f>
        <v>0</v>
      </c>
      <c r="V368" s="125">
        <f t="shared" ref="V368:V371" si="4358">U368/(S368-R368+1)*365</f>
        <v>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0</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0</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0</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0</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0</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0</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hidden="1"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引出数据_合同数据仓库'!$B$5:$BP$20,3,FALSE),0)</f>
        <v>0</v>
      </c>
      <c r="N369" s="125"/>
      <c r="O369" s="151">
        <f>IFERROR(VLOOKUP((LEFT(VLOOKUP($L369,'2-2 引出数据_合同数据仓库'!$B$5:$BP$20,64,FALSE),15)&amp;(RIGHT(VLOOKUP($L369,'2-2 引出数据_合同数据仓库'!$B$5:$BP$20,64,FALSE),4)+1)),'2-2 引出数据_合同数据仓库'!$B$5:$BP$20,3,FALSE),0)</f>
        <v>0</v>
      </c>
      <c r="P369" s="125"/>
      <c r="Q369" s="125">
        <f>IFERROR(VLOOKUP($L369,'2-2 引出数据_合同数据仓库'!$B$5:$BP$20,28,FALSE),0)</f>
        <v>0</v>
      </c>
      <c r="R369" s="125">
        <f>IFERROR(VLOOKUP($L369,'2-2 引出数据_合同数据仓库'!$B$5:$BP$20,29,FALSE),0)</f>
        <v>0</v>
      </c>
      <c r="S369" s="125">
        <f>IFERROR(VLOOKUP($L369,'2-2 引出数据_合同数据仓库'!$B$5:$BP$20,4,FALSE),0)</f>
        <v>0</v>
      </c>
      <c r="T369" s="125"/>
      <c r="U369" s="125">
        <f>IFERROR(VLOOKUP($L369,'2-2 引出数据_合同数据仓库'!$B$5:$BP$20,15,FALSE),0)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hidden="1"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引出数据_合同数据仓库'!$B$5:$BP$20,3,FALSE),0)</f>
        <v>0</v>
      </c>
      <c r="N370" s="125"/>
      <c r="O370" s="151">
        <f>IFERROR(VLOOKUP((LEFT(VLOOKUP($L370,'2-2 引出数据_合同数据仓库'!$B$5:$BP$20,64,FALSE),15)&amp;(RIGHT(VLOOKUP($L370,'2-2 引出数据_合同数据仓库'!$B$5:$BP$20,64,FALSE),4)+1)),'2-2 引出数据_合同数据仓库'!$B$5:$BP$20,3,FALSE),0)</f>
        <v>0</v>
      </c>
      <c r="P370" s="125"/>
      <c r="Q370" s="125">
        <f>IFERROR(VLOOKUP($L370,'2-2 引出数据_合同数据仓库'!$B$5:$BP$20,28,FALSE),0)</f>
        <v>0</v>
      </c>
      <c r="R370" s="125">
        <f>IFERROR(VLOOKUP($L370,'2-2 引出数据_合同数据仓库'!$B$5:$BP$20,29,FALSE),0)</f>
        <v>0</v>
      </c>
      <c r="S370" s="125">
        <f>IFERROR(VLOOKUP($L370,'2-2 引出数据_合同数据仓库'!$B$5:$BP$20,4,FALSE),0)</f>
        <v>0</v>
      </c>
      <c r="T370" s="125"/>
      <c r="U370" s="125">
        <f>IFERROR(VLOOKUP($L370,'2-2 引出数据_合同数据仓库'!$B$5:$BP$20,15,FALSE),0)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hidden="1"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引出数据_合同数据仓库'!$B$5:$BP$20,3,FALSE),0)</f>
        <v>0</v>
      </c>
      <c r="N371" s="125"/>
      <c r="O371" s="151">
        <f>IFERROR(VLOOKUP((LEFT(VLOOKUP($L371,'2-2 引出数据_合同数据仓库'!$B$5:$BP$20,64,FALSE),15)&amp;(RIGHT(VLOOKUP($L371,'2-2 引出数据_合同数据仓库'!$B$5:$BP$20,64,FALSE),4)+1)),'2-2 引出数据_合同数据仓库'!$B$5:$BP$20,3,FALSE),0)</f>
        <v>0</v>
      </c>
      <c r="P371" s="125"/>
      <c r="Q371" s="125">
        <f>IFERROR(VLOOKUP($L371,'2-2 引出数据_合同数据仓库'!$B$5:$BP$20,28,FALSE),0)</f>
        <v>0</v>
      </c>
      <c r="R371" s="125">
        <f>IFERROR(VLOOKUP($L371,'2-2 引出数据_合同数据仓库'!$B$5:$BP$20,29,FALSE),0)</f>
        <v>0</v>
      </c>
      <c r="S371" s="125">
        <f>IFERROR(VLOOKUP($L371,'2-2 引出数据_合同数据仓库'!$B$5:$BP$20,4,FALSE),0)</f>
        <v>0</v>
      </c>
      <c r="T371" s="125"/>
      <c r="U371" s="125">
        <f>IFERROR(VLOOKUP($L371,'2-2 引出数据_合同数据仓库'!$B$5:$BP$20,15,FALSE),0)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hidden="1" customHeight="1" outlineLevel="4" spans="1:95">
      <c r="A372" s="126" t="s">
        <v>2770</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hidden="1" customHeight="1" outlineLevel="3" collapsed="1" spans="1:95">
      <c r="A373" s="118"/>
      <c r="B373" s="119" t="s">
        <v>747</v>
      </c>
      <c r="C373" s="120" t="s">
        <v>1303</v>
      </c>
      <c r="D373" s="118" t="s">
        <v>1304</v>
      </c>
      <c r="E373" s="119" t="s">
        <v>1305</v>
      </c>
      <c r="F373" s="119"/>
      <c r="G373" s="119" t="s">
        <v>891</v>
      </c>
      <c r="H373" s="121">
        <f>X373+AA373+AD373+AG373+AJ373+AM373+AP373+AS373+AV373+AY373+BB373+BE373</f>
        <v>0</v>
      </c>
      <c r="I373" s="121">
        <f>Y373+AB373+AE373+AH373+AK373+AN373+AQ373+AT373+AW373+AZ373+BC373+BF373</f>
        <v>-38617.92</v>
      </c>
      <c r="J373" s="121">
        <f t="shared" si="3853"/>
        <v>38617.92</v>
      </c>
      <c r="K373" s="121"/>
      <c r="L373" s="149"/>
      <c r="M373" s="149"/>
      <c r="N373" s="121"/>
      <c r="O373" s="121"/>
      <c r="P373" s="121"/>
      <c r="Q373" s="121"/>
      <c r="R373" s="121"/>
      <c r="S373" s="121"/>
      <c r="T373" s="121"/>
      <c r="U373" s="121"/>
      <c r="V373" s="121"/>
      <c r="W373" s="121"/>
      <c r="X373" s="121">
        <f>VLOOKUP($C373,'1 预算编制表单'!$C:$BJ,27,FALSE)</f>
        <v>0</v>
      </c>
      <c r="Y373" s="121">
        <f>X373-Z373</f>
        <v>-5646.96</v>
      </c>
      <c r="Z373" s="121">
        <f>SUM(Z374:Z378)</f>
        <v>5646.96</v>
      </c>
      <c r="AA373" s="121">
        <f>VLOOKUP($C373,'1 预算编制表单'!$C:$BJ,30,FALSE)</f>
        <v>0</v>
      </c>
      <c r="AB373" s="121">
        <f>AA373-AC373</f>
        <v>-5100.48</v>
      </c>
      <c r="AC373" s="121">
        <f>SUM(AC374:AC378)</f>
        <v>5100.48</v>
      </c>
      <c r="AD373" s="121">
        <f>VLOOKUP($C373,'1 预算编制表单'!$C:$BJ,33,FALSE)</f>
        <v>0</v>
      </c>
      <c r="AE373" s="121">
        <f>AD373-AF373</f>
        <v>-5646.96</v>
      </c>
      <c r="AF373" s="121">
        <f>SUM(AF374:AF378)</f>
        <v>5646.96</v>
      </c>
      <c r="AG373" s="121">
        <f>VLOOKUP($C373,'1 预算编制表单'!$C:$BJ,36,FALSE)</f>
        <v>0</v>
      </c>
      <c r="AH373" s="121">
        <f>AG373-AI373</f>
        <v>-5464.8</v>
      </c>
      <c r="AI373" s="121">
        <f>SUM(AI374:AI378)</f>
        <v>5464.8</v>
      </c>
      <c r="AJ373" s="121">
        <f>VLOOKUP($C373,'1 预算编制表单'!$C:$BJ,39,FALSE)</f>
        <v>0</v>
      </c>
      <c r="AK373" s="121">
        <f>AJ373-AL373</f>
        <v>-5646.96</v>
      </c>
      <c r="AL373" s="121">
        <f>SUM(AL374:AL378)</f>
        <v>5646.96</v>
      </c>
      <c r="AM373" s="121">
        <f>VLOOKUP($C373,'1 预算编制表单'!$C:$BJ,42,FALSE)</f>
        <v>0</v>
      </c>
      <c r="AN373" s="121">
        <f>AM373-AO373</f>
        <v>-5464.8</v>
      </c>
      <c r="AO373" s="121">
        <f>SUM(AO374:AO378)</f>
        <v>5464.8</v>
      </c>
      <c r="AP373" s="121">
        <f>VLOOKUP($C373,'1 预算编制表单'!$C:$BJ,45,FALSE)</f>
        <v>0</v>
      </c>
      <c r="AQ373" s="121">
        <f>AP373-AR373</f>
        <v>-5646.96</v>
      </c>
      <c r="AR373" s="121">
        <f>SUM(AR374:AR378)</f>
        <v>5646.96</v>
      </c>
      <c r="AS373" s="121">
        <f>VLOOKUP($C373,'1 预算编制表单'!$C:$BJ,48,FALSE)</f>
        <v>0</v>
      </c>
      <c r="AT373" s="121">
        <f>AS373-AU373</f>
        <v>0</v>
      </c>
      <c r="AU373" s="121">
        <f>SUM(AU374:AU378)</f>
        <v>0</v>
      </c>
      <c r="AV373" s="121">
        <f>VLOOKUP($C373,'1 预算编制表单'!$C:$BJ,51,FALSE)</f>
        <v>0</v>
      </c>
      <c r="AW373" s="121">
        <f>AV373-AX373</f>
        <v>0</v>
      </c>
      <c r="AX373" s="121">
        <f>SUM(AX374:AX378)</f>
        <v>0</v>
      </c>
      <c r="AY373" s="121">
        <f>VLOOKUP($C373,'1 预算编制表单'!$C:$BJ,54,FALSE)</f>
        <v>0</v>
      </c>
      <c r="AZ373" s="121">
        <f>AY373-BA373</f>
        <v>0</v>
      </c>
      <c r="BA373" s="121">
        <f>SUM(BA374:BA378)</f>
        <v>0</v>
      </c>
      <c r="BB373" s="121">
        <f>VLOOKUP($C373,'1 预算编制表单'!$C:$BJ,57,FALSE)</f>
        <v>0</v>
      </c>
      <c r="BC373" s="121">
        <f>BB373-BD373</f>
        <v>0</v>
      </c>
      <c r="BD373" s="121">
        <f>SUM(BD374:BD378)</f>
        <v>0</v>
      </c>
      <c r="BE373" s="121">
        <f>VLOOKUP($C373,'1 预算编制表单'!$C:$BJ,60,FALSE)</f>
        <v>0</v>
      </c>
      <c r="BF373" s="121">
        <f>BE373-BG373</f>
        <v>0</v>
      </c>
      <c r="BG373" s="121">
        <f>SUM(BG374:BG378)</f>
        <v>0</v>
      </c>
      <c r="BH373" s="121">
        <f>VLOOKUP($C373,'1 预算编制表单'!$C:$BJ,27,FALSE)</f>
        <v>0</v>
      </c>
      <c r="BI373" s="121">
        <f>BH373-BJ373</f>
        <v>0</v>
      </c>
      <c r="BJ373" s="121">
        <f>SUM(BJ374:BJ378)</f>
        <v>0</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hidden="1" customHeight="1" outlineLevel="4" spans="1:95">
      <c r="A374" s="122"/>
      <c r="B374" s="123"/>
      <c r="C374" s="124"/>
      <c r="D374" s="122"/>
      <c r="E374" s="123"/>
      <c r="F374" s="123"/>
      <c r="G374" s="123"/>
      <c r="H374" s="125"/>
      <c r="I374" s="125"/>
      <c r="J374" s="125">
        <f t="shared" si="3853"/>
        <v>38617.92</v>
      </c>
      <c r="K374" s="125">
        <v>1</v>
      </c>
      <c r="L374" s="150" t="s">
        <v>2784</v>
      </c>
      <c r="M374" s="151" t="str">
        <f>IFERROR(VLOOKUP($L374,'2-2 引出数据_合同数据仓库'!$B$5:$BP$20,3,FALSE),0)</f>
        <v>金地物业服务花木租摆养护服务外包采购合同</v>
      </c>
      <c r="N374" s="125"/>
      <c r="O374" s="151">
        <f>IFERROR(VLOOKUP((LEFT(VLOOKUP($L374,'2-2 引出数据_合同数据仓库'!$B$5:$BP$20,64,FALSE),15)&amp;(RIGHT(VLOOKUP($L374,'2-2 引出数据_合同数据仓库'!$B$5:$BP$20,64,FALSE),4)+1)),'2-2 引出数据_合同数据仓库'!$B$5:$BP$20,3,FALSE),0)</f>
        <v>0</v>
      </c>
      <c r="P374" s="125"/>
      <c r="Q374" s="125" t="str">
        <f>IFERROR(VLOOKUP($L374,'2-2 引出数据_合同数据仓库'!$B$5:$BP$20,28,FALSE),0)</f>
        <v>2025-01-01</v>
      </c>
      <c r="R374" s="125" t="str">
        <f>IFERROR(VLOOKUP($L374,'2-2 引出数据_合同数据仓库'!$B$5:$BP$20,29,FALSE),0)</f>
        <v>2025-01-01</v>
      </c>
      <c r="S374" s="125" t="str">
        <f>IFERROR(VLOOKUP($L374,'2-2 引出数据_合同数据仓库'!$B$5:$BP$20,4,FALSE),0)</f>
        <v>2025-07-31</v>
      </c>
      <c r="T374" s="125"/>
      <c r="U374" s="125">
        <f>IFERROR(VLOOKUP($L374,'2-2 引出数据_合同数据仓库'!$B$5:$BP$20,15,FALSE),0)</f>
        <v>38617.92</v>
      </c>
      <c r="V374" s="125">
        <f t="shared" ref="V374:V377" si="4430">U374/(S374-R374+1)*365</f>
        <v>66488.4</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5646.96</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5100.48</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5646.96</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5464.8</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5646.96</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5464.8</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5646.96</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0</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0</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0</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0</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0</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0</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hidden="1" customHeight="1" outlineLevel="4" spans="1:95">
      <c r="A375" s="122"/>
      <c r="B375" s="123"/>
      <c r="C375" s="124"/>
      <c r="D375" s="122"/>
      <c r="E375" s="123"/>
      <c r="F375" s="123"/>
      <c r="G375" s="123"/>
      <c r="H375" s="125"/>
      <c r="I375" s="125"/>
      <c r="J375" s="125">
        <f t="shared" si="3853"/>
        <v>0</v>
      </c>
      <c r="K375" s="125">
        <f t="shared" ref="K375:K377" si="4501">K374+1</f>
        <v>2</v>
      </c>
      <c r="L375" s="150"/>
      <c r="M375" s="151">
        <f>IFERROR(VLOOKUP($L375,'2-2 引出数据_合同数据仓库'!$B$5:$BP$20,3,FALSE),0)</f>
        <v>0</v>
      </c>
      <c r="N375" s="125"/>
      <c r="O375" s="151">
        <f>IFERROR(VLOOKUP((LEFT(VLOOKUP($L375,'2-2 引出数据_合同数据仓库'!$B$5:$BP$20,64,FALSE),15)&amp;(RIGHT(VLOOKUP($L375,'2-2 引出数据_合同数据仓库'!$B$5:$BP$20,64,FALSE),4)+1)),'2-2 引出数据_合同数据仓库'!$B$5:$BP$20,3,FALSE),0)</f>
        <v>0</v>
      </c>
      <c r="P375" s="125"/>
      <c r="Q375" s="125">
        <f>IFERROR(VLOOKUP($L375,'2-2 引出数据_合同数据仓库'!$B$5:$BP$20,28,FALSE),0)</f>
        <v>0</v>
      </c>
      <c r="R375" s="125">
        <f>IFERROR(VLOOKUP($L375,'2-2 引出数据_合同数据仓库'!$B$5:$BP$20,29,FALSE),0)</f>
        <v>0</v>
      </c>
      <c r="S375" s="125">
        <f>IFERROR(VLOOKUP($L375,'2-2 引出数据_合同数据仓库'!$B$5:$BP$20,4,FALSE),0)</f>
        <v>0</v>
      </c>
      <c r="T375" s="125"/>
      <c r="U375" s="125">
        <f>IFERROR(VLOOKUP($L375,'2-2 引出数据_合同数据仓库'!$B$5:$BP$20,15,FALSE),0)</f>
        <v>0</v>
      </c>
      <c r="V375" s="125">
        <f t="shared" si="4430"/>
        <v>0</v>
      </c>
      <c r="W375" s="125"/>
      <c r="X375" s="157">
        <v>45658</v>
      </c>
      <c r="Y375" s="157">
        <f t="shared" si="4431"/>
        <v>45688</v>
      </c>
      <c r="Z375" s="161">
        <f t="shared" si="4432"/>
        <v>0</v>
      </c>
      <c r="AA375" s="157">
        <f t="shared" si="4433"/>
        <v>45689</v>
      </c>
      <c r="AB375" s="157">
        <f t="shared" si="4434"/>
        <v>45716</v>
      </c>
      <c r="AC375" s="161">
        <f t="shared" si="4435"/>
        <v>0</v>
      </c>
      <c r="AD375" s="157">
        <f t="shared" si="4436"/>
        <v>45717</v>
      </c>
      <c r="AE375" s="157">
        <f t="shared" si="4437"/>
        <v>45747</v>
      </c>
      <c r="AF375" s="161">
        <f t="shared" si="4438"/>
        <v>0</v>
      </c>
      <c r="AG375" s="157">
        <f t="shared" si="4439"/>
        <v>45748</v>
      </c>
      <c r="AH375" s="157">
        <f t="shared" si="4440"/>
        <v>45777</v>
      </c>
      <c r="AI375" s="161">
        <f t="shared" si="4441"/>
        <v>0</v>
      </c>
      <c r="AJ375" s="157">
        <f t="shared" si="4442"/>
        <v>45778</v>
      </c>
      <c r="AK375" s="157">
        <f t="shared" si="4443"/>
        <v>45808</v>
      </c>
      <c r="AL375" s="161">
        <f t="shared" si="4444"/>
        <v>0</v>
      </c>
      <c r="AM375" s="157">
        <f t="shared" si="4445"/>
        <v>45809</v>
      </c>
      <c r="AN375" s="157">
        <f t="shared" si="4446"/>
        <v>45838</v>
      </c>
      <c r="AO375" s="161">
        <f t="shared" si="4447"/>
        <v>0</v>
      </c>
      <c r="AP375" s="157">
        <f t="shared" si="4448"/>
        <v>45839</v>
      </c>
      <c r="AQ375" s="157">
        <f t="shared" si="4449"/>
        <v>45869</v>
      </c>
      <c r="AR375" s="161">
        <f t="shared" si="4450"/>
        <v>0</v>
      </c>
      <c r="AS375" s="157">
        <f t="shared" si="4451"/>
        <v>45870</v>
      </c>
      <c r="AT375" s="157">
        <f t="shared" si="4452"/>
        <v>45900</v>
      </c>
      <c r="AU375" s="161">
        <f t="shared" si="4453"/>
        <v>0</v>
      </c>
      <c r="AV375" s="157">
        <f t="shared" si="4454"/>
        <v>45901</v>
      </c>
      <c r="AW375" s="157">
        <f t="shared" si="4455"/>
        <v>45930</v>
      </c>
      <c r="AX375" s="161">
        <f t="shared" si="4456"/>
        <v>0</v>
      </c>
      <c r="AY375" s="157">
        <f t="shared" si="4457"/>
        <v>45931</v>
      </c>
      <c r="AZ375" s="157">
        <f t="shared" si="4458"/>
        <v>45961</v>
      </c>
      <c r="BA375" s="161">
        <f t="shared" si="4459"/>
        <v>0</v>
      </c>
      <c r="BB375" s="157">
        <f t="shared" si="4460"/>
        <v>45962</v>
      </c>
      <c r="BC375" s="157">
        <f t="shared" si="4461"/>
        <v>45991</v>
      </c>
      <c r="BD375" s="161">
        <f t="shared" si="4462"/>
        <v>0</v>
      </c>
      <c r="BE375" s="157">
        <f t="shared" si="4463"/>
        <v>45992</v>
      </c>
      <c r="BF375" s="157">
        <f t="shared" si="4464"/>
        <v>46022</v>
      </c>
      <c r="BG375" s="161">
        <f t="shared" si="4465"/>
        <v>0</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hidden="1" customHeight="1" outlineLevel="4" spans="1:95">
      <c r="A376" s="122"/>
      <c r="B376" s="123"/>
      <c r="C376" s="124"/>
      <c r="D376" s="122"/>
      <c r="E376" s="123"/>
      <c r="F376" s="123"/>
      <c r="G376" s="123"/>
      <c r="H376" s="125"/>
      <c r="I376" s="125"/>
      <c r="J376" s="125">
        <f t="shared" si="3853"/>
        <v>0</v>
      </c>
      <c r="K376" s="125">
        <f t="shared" si="4501"/>
        <v>3</v>
      </c>
      <c r="L376" s="150"/>
      <c r="M376" s="151">
        <f>IFERROR(VLOOKUP($L376,'2-2 引出数据_合同数据仓库'!$B$5:$BP$20,3,FALSE),0)</f>
        <v>0</v>
      </c>
      <c r="N376" s="125"/>
      <c r="O376" s="151">
        <f>IFERROR(VLOOKUP((LEFT(VLOOKUP($L376,'2-2 引出数据_合同数据仓库'!$B$5:$BP$20,64,FALSE),15)&amp;(RIGHT(VLOOKUP($L376,'2-2 引出数据_合同数据仓库'!$B$5:$BP$20,64,FALSE),4)+1)),'2-2 引出数据_合同数据仓库'!$B$5:$BP$20,3,FALSE),0)</f>
        <v>0</v>
      </c>
      <c r="P376" s="125"/>
      <c r="Q376" s="125">
        <f>IFERROR(VLOOKUP($L376,'2-2 引出数据_合同数据仓库'!$B$5:$BP$20,28,FALSE),0)</f>
        <v>0</v>
      </c>
      <c r="R376" s="125">
        <f>IFERROR(VLOOKUP($L376,'2-2 引出数据_合同数据仓库'!$B$5:$BP$20,29,FALSE),0)</f>
        <v>0</v>
      </c>
      <c r="S376" s="125">
        <f>IFERROR(VLOOKUP($L376,'2-2 引出数据_合同数据仓库'!$B$5:$BP$20,4,FALSE),0)</f>
        <v>0</v>
      </c>
      <c r="T376" s="125"/>
      <c r="U376" s="125">
        <f>IFERROR(VLOOKUP($L376,'2-2 引出数据_合同数据仓库'!$B$5:$BP$20,15,FALSE),0)</f>
        <v>0</v>
      </c>
      <c r="V376" s="125">
        <f t="shared" si="4430"/>
        <v>0</v>
      </c>
      <c r="W376" s="125"/>
      <c r="X376" s="157">
        <v>45658</v>
      </c>
      <c r="Y376" s="157">
        <f t="shared" si="4431"/>
        <v>45688</v>
      </c>
      <c r="Z376" s="161">
        <f t="shared" si="4432"/>
        <v>0</v>
      </c>
      <c r="AA376" s="157">
        <f t="shared" si="4433"/>
        <v>45689</v>
      </c>
      <c r="AB376" s="157">
        <f t="shared" si="4434"/>
        <v>45716</v>
      </c>
      <c r="AC376" s="161">
        <f t="shared" si="4435"/>
        <v>0</v>
      </c>
      <c r="AD376" s="157">
        <f t="shared" si="4436"/>
        <v>45717</v>
      </c>
      <c r="AE376" s="157">
        <f t="shared" si="4437"/>
        <v>45747</v>
      </c>
      <c r="AF376" s="161">
        <f t="shared" si="4438"/>
        <v>0</v>
      </c>
      <c r="AG376" s="157">
        <f t="shared" si="4439"/>
        <v>45748</v>
      </c>
      <c r="AH376" s="157">
        <f t="shared" si="4440"/>
        <v>45777</v>
      </c>
      <c r="AI376" s="161">
        <f t="shared" si="4441"/>
        <v>0</v>
      </c>
      <c r="AJ376" s="157">
        <f t="shared" si="4442"/>
        <v>45778</v>
      </c>
      <c r="AK376" s="157">
        <f t="shared" si="4443"/>
        <v>45808</v>
      </c>
      <c r="AL376" s="161">
        <f t="shared" si="4444"/>
        <v>0</v>
      </c>
      <c r="AM376" s="157">
        <f t="shared" si="4445"/>
        <v>45809</v>
      </c>
      <c r="AN376" s="157">
        <f t="shared" si="4446"/>
        <v>45838</v>
      </c>
      <c r="AO376" s="161">
        <f t="shared" si="4447"/>
        <v>0</v>
      </c>
      <c r="AP376" s="157">
        <f t="shared" si="4448"/>
        <v>45839</v>
      </c>
      <c r="AQ376" s="157">
        <f t="shared" si="4449"/>
        <v>45869</v>
      </c>
      <c r="AR376" s="161">
        <f t="shared" si="4450"/>
        <v>0</v>
      </c>
      <c r="AS376" s="157">
        <f t="shared" si="4451"/>
        <v>45870</v>
      </c>
      <c r="AT376" s="157">
        <f t="shared" si="4452"/>
        <v>45900</v>
      </c>
      <c r="AU376" s="161">
        <f t="shared" si="4453"/>
        <v>0</v>
      </c>
      <c r="AV376" s="157">
        <f t="shared" si="4454"/>
        <v>45901</v>
      </c>
      <c r="AW376" s="157">
        <f t="shared" si="4455"/>
        <v>45930</v>
      </c>
      <c r="AX376" s="161">
        <f t="shared" si="4456"/>
        <v>0</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hidden="1"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引出数据_合同数据仓库'!$B$5:$BP$20,3,FALSE),0)</f>
        <v>0</v>
      </c>
      <c r="N377" s="125"/>
      <c r="O377" s="151">
        <f>IFERROR(VLOOKUP((LEFT(VLOOKUP($L377,'2-2 引出数据_合同数据仓库'!$B$5:$BP$20,64,FALSE),15)&amp;(RIGHT(VLOOKUP($L377,'2-2 引出数据_合同数据仓库'!$B$5:$BP$20,64,FALSE),4)+1)),'2-2 引出数据_合同数据仓库'!$B$5:$BP$20,3,FALSE),0)</f>
        <v>0</v>
      </c>
      <c r="P377" s="125"/>
      <c r="Q377" s="125">
        <f>IFERROR(VLOOKUP($L377,'2-2 引出数据_合同数据仓库'!$B$5:$BP$20,28,FALSE),0)</f>
        <v>0</v>
      </c>
      <c r="R377" s="125">
        <f>IFERROR(VLOOKUP($L377,'2-2 引出数据_合同数据仓库'!$B$5:$BP$20,29,FALSE),0)</f>
        <v>0</v>
      </c>
      <c r="S377" s="125">
        <f>IFERROR(VLOOKUP($L377,'2-2 引出数据_合同数据仓库'!$B$5:$BP$20,4,FALSE),0)</f>
        <v>0</v>
      </c>
      <c r="T377" s="125"/>
      <c r="U377" s="125">
        <f>IFERROR(VLOOKUP($L377,'2-2 引出数据_合同数据仓库'!$B$5:$BP$20,15,FALSE),0)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hidden="1" customHeight="1" outlineLevel="4" spans="1:95">
      <c r="A378" s="126" t="s">
        <v>2770</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hidden="1" customHeight="1" outlineLevel="3" collapsed="1" spans="1:95">
      <c r="A379" s="118"/>
      <c r="B379" s="119" t="s">
        <v>747</v>
      </c>
      <c r="C379" s="120" t="s">
        <v>1306</v>
      </c>
      <c r="D379" s="118" t="s">
        <v>1307</v>
      </c>
      <c r="E379" s="119" t="s">
        <v>1308</v>
      </c>
      <c r="F379" s="119"/>
      <c r="G379" s="119" t="s">
        <v>891</v>
      </c>
      <c r="H379" s="121">
        <f>X379+AA379+AD379+AG379+AJ379+AM379+AP379+AS379+AV379+AY379+BB379+BE379</f>
        <v>0</v>
      </c>
      <c r="I379" s="121">
        <f>Y379+AB379+AE379+AH379+AK379+AN379+AQ379+AT379+AW379+AZ379+BC379+BF379</f>
        <v>0</v>
      </c>
      <c r="J379" s="121">
        <f t="shared" si="3853"/>
        <v>0</v>
      </c>
      <c r="K379" s="121"/>
      <c r="L379" s="149"/>
      <c r="M379" s="149"/>
      <c r="N379" s="121"/>
      <c r="O379" s="121"/>
      <c r="P379" s="121"/>
      <c r="Q379" s="121"/>
      <c r="R379" s="121"/>
      <c r="S379" s="121"/>
      <c r="T379" s="121"/>
      <c r="U379" s="121"/>
      <c r="V379" s="121"/>
      <c r="W379" s="121"/>
      <c r="X379" s="121">
        <f>VLOOKUP($C379,'1 预算编制表单'!$C:$BJ,27,FALSE)</f>
        <v>0</v>
      </c>
      <c r="Y379" s="121">
        <f>X379-Z379</f>
        <v>0</v>
      </c>
      <c r="Z379" s="121">
        <f>SUM(Z380:Z384)</f>
        <v>0</v>
      </c>
      <c r="AA379" s="121">
        <f>VLOOKUP($C379,'1 预算编制表单'!$C:$BJ,30,FALSE)</f>
        <v>0</v>
      </c>
      <c r="AB379" s="121">
        <f>AA379-AC379</f>
        <v>0</v>
      </c>
      <c r="AC379" s="121">
        <f>SUM(AC380:AC384)</f>
        <v>0</v>
      </c>
      <c r="AD379" s="121">
        <f>VLOOKUP($C379,'1 预算编制表单'!$C:$BJ,33,FALSE)</f>
        <v>0</v>
      </c>
      <c r="AE379" s="121">
        <f>AD379-AF379</f>
        <v>0</v>
      </c>
      <c r="AF379" s="121">
        <f>SUM(AF380:AF384)</f>
        <v>0</v>
      </c>
      <c r="AG379" s="121">
        <f>VLOOKUP($C379,'1 预算编制表单'!$C:$BJ,36,FALSE)</f>
        <v>0</v>
      </c>
      <c r="AH379" s="121">
        <f>AG379-AI379</f>
        <v>0</v>
      </c>
      <c r="AI379" s="121">
        <f>SUM(AI380:AI384)</f>
        <v>0</v>
      </c>
      <c r="AJ379" s="121">
        <f>VLOOKUP($C379,'1 预算编制表单'!$C:$BJ,39,FALSE)</f>
        <v>0</v>
      </c>
      <c r="AK379" s="121">
        <f>AJ379-AL379</f>
        <v>0</v>
      </c>
      <c r="AL379" s="121">
        <f>SUM(AL380:AL384)</f>
        <v>0</v>
      </c>
      <c r="AM379" s="121">
        <f>VLOOKUP($C379,'1 预算编制表单'!$C:$BJ,42,FALSE)</f>
        <v>0</v>
      </c>
      <c r="AN379" s="121">
        <f>AM379-AO379</f>
        <v>0</v>
      </c>
      <c r="AO379" s="121">
        <f>SUM(AO380:AO384)</f>
        <v>0</v>
      </c>
      <c r="AP379" s="121">
        <f>VLOOKUP($C379,'1 预算编制表单'!$C:$BJ,45,FALSE)</f>
        <v>0</v>
      </c>
      <c r="AQ379" s="121">
        <f>AP379-AR379</f>
        <v>0</v>
      </c>
      <c r="AR379" s="121">
        <f>SUM(AR380:AR384)</f>
        <v>0</v>
      </c>
      <c r="AS379" s="121">
        <f>VLOOKUP($C379,'1 预算编制表单'!$C:$BJ,48,FALSE)</f>
        <v>0</v>
      </c>
      <c r="AT379" s="121">
        <f>AS379-AU379</f>
        <v>0</v>
      </c>
      <c r="AU379" s="121">
        <f>SUM(AU380:AU384)</f>
        <v>0</v>
      </c>
      <c r="AV379" s="121">
        <f>VLOOKUP($C379,'1 预算编制表单'!$C:$BJ,51,FALSE)</f>
        <v>0</v>
      </c>
      <c r="AW379" s="121">
        <f>AV379-AX379</f>
        <v>0</v>
      </c>
      <c r="AX379" s="121">
        <f>SUM(AX380:AX384)</f>
        <v>0</v>
      </c>
      <c r="AY379" s="121">
        <f>VLOOKUP($C379,'1 预算编制表单'!$C:$BJ,54,FALSE)</f>
        <v>0</v>
      </c>
      <c r="AZ379" s="121">
        <f>AY379-BA379</f>
        <v>0</v>
      </c>
      <c r="BA379" s="121">
        <f>SUM(BA380:BA384)</f>
        <v>0</v>
      </c>
      <c r="BB379" s="121">
        <f>VLOOKUP($C379,'1 预算编制表单'!$C:$BJ,57,FALSE)</f>
        <v>0</v>
      </c>
      <c r="BC379" s="121">
        <f>BB379-BD379</f>
        <v>0</v>
      </c>
      <c r="BD379" s="121">
        <f>SUM(BD380:BD384)</f>
        <v>0</v>
      </c>
      <c r="BE379" s="121">
        <f>VLOOKUP($C379,'1 预算编制表单'!$C:$BJ,60,FALSE)</f>
        <v>0</v>
      </c>
      <c r="BF379" s="121">
        <f>BE379-BG379</f>
        <v>0</v>
      </c>
      <c r="BG379" s="121">
        <f>SUM(BG380:BG384)</f>
        <v>0</v>
      </c>
      <c r="BH379" s="121">
        <f>VLOOKUP($C379,'1 预算编制表单'!$C:$BJ,27,FALSE)</f>
        <v>0</v>
      </c>
      <c r="BI379" s="121">
        <f>BH379-BJ379</f>
        <v>0</v>
      </c>
      <c r="BJ379" s="121">
        <f>SUM(BJ380:BJ384)</f>
        <v>0</v>
      </c>
      <c r="BK379" s="121">
        <f>VLOOKUP($C379,'1 预算编制表单'!$C:$BJ,30,FALSE)</f>
        <v>0</v>
      </c>
      <c r="BL379" s="121">
        <f>BK379-BM379</f>
        <v>0</v>
      </c>
      <c r="BM379" s="121">
        <f>SUM(BM380:BM384)</f>
        <v>0</v>
      </c>
      <c r="BN379" s="121">
        <f>VLOOKUP($C379,'1 预算编制表单'!$C:$BJ,33,FALSE)</f>
        <v>0</v>
      </c>
      <c r="BO379" s="121">
        <f>BN379-BP379</f>
        <v>0</v>
      </c>
      <c r="BP379" s="121">
        <f>SUM(BP380:BP384)</f>
        <v>0</v>
      </c>
      <c r="BQ379" s="121">
        <f>VLOOKUP($C379,'1 预算编制表单'!$C:$BJ,36,FALSE)</f>
        <v>0</v>
      </c>
      <c r="BR379" s="121">
        <f>BQ379-BS379</f>
        <v>0</v>
      </c>
      <c r="BS379" s="121">
        <f>SUM(BS380:BS384)</f>
        <v>0</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hidden="1" customHeight="1" outlineLevel="4" spans="1:95">
      <c r="A380" s="122"/>
      <c r="B380" s="123"/>
      <c r="C380" s="124"/>
      <c r="D380" s="122"/>
      <c r="E380" s="123"/>
      <c r="F380" s="123"/>
      <c r="G380" s="123"/>
      <c r="H380" s="125"/>
      <c r="I380" s="125"/>
      <c r="J380" s="125">
        <f t="shared" si="3853"/>
        <v>0</v>
      </c>
      <c r="K380" s="125">
        <v>1</v>
      </c>
      <c r="L380" s="150"/>
      <c r="M380" s="151">
        <f>IFERROR(VLOOKUP($L380,'2-2 引出数据_合同数据仓库'!$B$5:$BP$20,3,FALSE),0)</f>
        <v>0</v>
      </c>
      <c r="N380" s="125"/>
      <c r="O380" s="151">
        <f>IFERROR(VLOOKUP((LEFT(VLOOKUP($L380,'2-2 引出数据_合同数据仓库'!$B$5:$BP$20,64,FALSE),15)&amp;(RIGHT(VLOOKUP($L380,'2-2 引出数据_合同数据仓库'!$B$5:$BP$20,64,FALSE),4)+1)),'2-2 引出数据_合同数据仓库'!$B$5:$BP$20,3,FALSE),0)</f>
        <v>0</v>
      </c>
      <c r="P380" s="125"/>
      <c r="Q380" s="125">
        <f>IFERROR(VLOOKUP($L380,'2-2 引出数据_合同数据仓库'!$B$5:$BP$20,28,FALSE),0)</f>
        <v>0</v>
      </c>
      <c r="R380" s="125">
        <f>IFERROR(VLOOKUP($L380,'2-2 引出数据_合同数据仓库'!$B$5:$BP$20,29,FALSE),0)</f>
        <v>0</v>
      </c>
      <c r="S380" s="125">
        <f>IFERROR(VLOOKUP($L380,'2-2 引出数据_合同数据仓库'!$B$5:$BP$20,4,FALSE),0)</f>
        <v>0</v>
      </c>
      <c r="T380" s="125"/>
      <c r="U380" s="125">
        <f>IFERROR(VLOOKUP($L380,'2-2 引出数据_合同数据仓库'!$B$5:$BP$20,15,FALSE),0)</f>
        <v>0</v>
      </c>
      <c r="V380" s="125">
        <f t="shared" ref="V380:V383" si="4502">U380/(S380-R380+1)*365</f>
        <v>0</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0</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0</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0</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0</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0</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0</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0</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0</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0</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0</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0</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0</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0</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0</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hidden="1" customHeight="1" outlineLevel="4" spans="1:95">
      <c r="A381" s="122"/>
      <c r="B381" s="123"/>
      <c r="C381" s="124"/>
      <c r="D381" s="122"/>
      <c r="E381" s="123"/>
      <c r="F381" s="123"/>
      <c r="G381" s="123"/>
      <c r="H381" s="125"/>
      <c r="I381" s="125"/>
      <c r="J381" s="125">
        <f t="shared" si="3853"/>
        <v>0</v>
      </c>
      <c r="K381" s="125">
        <f t="shared" ref="K381:K383" si="4573">K380+1</f>
        <v>2</v>
      </c>
      <c r="L381" s="150"/>
      <c r="M381" s="151">
        <f>IFERROR(VLOOKUP($L381,'2-2 引出数据_合同数据仓库'!$B$5:$BP$20,3,FALSE),0)</f>
        <v>0</v>
      </c>
      <c r="N381" s="125"/>
      <c r="O381" s="151">
        <f>IFERROR(VLOOKUP((LEFT(VLOOKUP($L381,'2-2 引出数据_合同数据仓库'!$B$5:$BP$20,64,FALSE),15)&amp;(RIGHT(VLOOKUP($L381,'2-2 引出数据_合同数据仓库'!$B$5:$BP$20,64,FALSE),4)+1)),'2-2 引出数据_合同数据仓库'!$B$5:$BP$20,3,FALSE),0)</f>
        <v>0</v>
      </c>
      <c r="P381" s="125"/>
      <c r="Q381" s="125">
        <f>IFERROR(VLOOKUP($L381,'2-2 引出数据_合同数据仓库'!$B$5:$BP$20,28,FALSE),0)</f>
        <v>0</v>
      </c>
      <c r="R381" s="125">
        <f>IFERROR(VLOOKUP($L381,'2-2 引出数据_合同数据仓库'!$B$5:$BP$20,29,FALSE),0)</f>
        <v>0</v>
      </c>
      <c r="S381" s="125">
        <f>IFERROR(VLOOKUP($L381,'2-2 引出数据_合同数据仓库'!$B$5:$BP$20,4,FALSE),0)</f>
        <v>0</v>
      </c>
      <c r="T381" s="125"/>
      <c r="U381" s="125">
        <f>IFERROR(VLOOKUP($L381,'2-2 引出数据_合同数据仓库'!$B$5:$BP$20,15,FALSE),0)</f>
        <v>0</v>
      </c>
      <c r="V381" s="125">
        <f t="shared" si="4502"/>
        <v>0</v>
      </c>
      <c r="W381" s="125"/>
      <c r="X381" s="157">
        <v>45658</v>
      </c>
      <c r="Y381" s="157">
        <f t="shared" si="4503"/>
        <v>45688</v>
      </c>
      <c r="Z381" s="161">
        <f t="shared" si="4504"/>
        <v>0</v>
      </c>
      <c r="AA381" s="157">
        <f t="shared" si="4505"/>
        <v>45689</v>
      </c>
      <c r="AB381" s="157">
        <f t="shared" si="4506"/>
        <v>45716</v>
      </c>
      <c r="AC381" s="161">
        <f t="shared" si="4507"/>
        <v>0</v>
      </c>
      <c r="AD381" s="157">
        <f t="shared" si="4508"/>
        <v>45717</v>
      </c>
      <c r="AE381" s="157">
        <f t="shared" si="4509"/>
        <v>45747</v>
      </c>
      <c r="AF381" s="161">
        <f t="shared" si="4510"/>
        <v>0</v>
      </c>
      <c r="AG381" s="157">
        <f t="shared" si="4511"/>
        <v>45748</v>
      </c>
      <c r="AH381" s="157">
        <f t="shared" si="4512"/>
        <v>45777</v>
      </c>
      <c r="AI381" s="161">
        <f t="shared" si="4513"/>
        <v>0</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hidden="1"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引出数据_合同数据仓库'!$B$5:$BP$20,3,FALSE),0)</f>
        <v>0</v>
      </c>
      <c r="N382" s="125"/>
      <c r="O382" s="151">
        <f>IFERROR(VLOOKUP((LEFT(VLOOKUP($L382,'2-2 引出数据_合同数据仓库'!$B$5:$BP$20,64,FALSE),15)&amp;(RIGHT(VLOOKUP($L382,'2-2 引出数据_合同数据仓库'!$B$5:$BP$20,64,FALSE),4)+1)),'2-2 引出数据_合同数据仓库'!$B$5:$BP$20,3,FALSE),0)</f>
        <v>0</v>
      </c>
      <c r="P382" s="125"/>
      <c r="Q382" s="125">
        <f>IFERROR(VLOOKUP($L382,'2-2 引出数据_合同数据仓库'!$B$5:$BP$20,28,FALSE),0)</f>
        <v>0</v>
      </c>
      <c r="R382" s="125">
        <f>IFERROR(VLOOKUP($L382,'2-2 引出数据_合同数据仓库'!$B$5:$BP$20,29,FALSE),0)</f>
        <v>0</v>
      </c>
      <c r="S382" s="125">
        <f>IFERROR(VLOOKUP($L382,'2-2 引出数据_合同数据仓库'!$B$5:$BP$20,4,FALSE),0)</f>
        <v>0</v>
      </c>
      <c r="T382" s="125"/>
      <c r="U382" s="125">
        <f>IFERROR(VLOOKUP($L382,'2-2 引出数据_合同数据仓库'!$B$5:$BP$20,15,FALSE),0)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hidden="1"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引出数据_合同数据仓库'!$B$5:$BP$20,3,FALSE),0)</f>
        <v>0</v>
      </c>
      <c r="N383" s="125"/>
      <c r="O383" s="151">
        <f>IFERROR(VLOOKUP((LEFT(VLOOKUP($L383,'2-2 引出数据_合同数据仓库'!$B$5:$BP$20,64,FALSE),15)&amp;(RIGHT(VLOOKUP($L383,'2-2 引出数据_合同数据仓库'!$B$5:$BP$20,64,FALSE),4)+1)),'2-2 引出数据_合同数据仓库'!$B$5:$BP$20,3,FALSE),0)</f>
        <v>0</v>
      </c>
      <c r="P383" s="125"/>
      <c r="Q383" s="125">
        <f>IFERROR(VLOOKUP($L383,'2-2 引出数据_合同数据仓库'!$B$5:$BP$20,28,FALSE),0)</f>
        <v>0</v>
      </c>
      <c r="R383" s="125">
        <f>IFERROR(VLOOKUP($L383,'2-2 引出数据_合同数据仓库'!$B$5:$BP$20,29,FALSE),0)</f>
        <v>0</v>
      </c>
      <c r="S383" s="125">
        <f>IFERROR(VLOOKUP($L383,'2-2 引出数据_合同数据仓库'!$B$5:$BP$20,4,FALSE),0)</f>
        <v>0</v>
      </c>
      <c r="T383" s="125"/>
      <c r="U383" s="125">
        <f>IFERROR(VLOOKUP($L383,'2-2 引出数据_合同数据仓库'!$B$5:$BP$20,15,FALSE),0)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hidden="1" customHeight="1" outlineLevel="4" spans="1:95">
      <c r="A384" s="126" t="s">
        <v>2770</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hidden="1" customHeight="1" outlineLevel="3" collapsed="1" spans="1:95">
      <c r="A385" s="118"/>
      <c r="B385" s="119" t="s">
        <v>747</v>
      </c>
      <c r="C385" s="120" t="s">
        <v>1310</v>
      </c>
      <c r="D385" s="118" t="s">
        <v>1311</v>
      </c>
      <c r="E385" s="119" t="s">
        <v>1312</v>
      </c>
      <c r="F385" s="119"/>
      <c r="G385" s="119" t="s">
        <v>891</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hidden="1"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引出数据_合同数据仓库'!$B$5:$BP$20,3,FALSE),0)</f>
        <v>0</v>
      </c>
      <c r="N386" s="125"/>
      <c r="O386" s="151">
        <f>IFERROR(VLOOKUP((LEFT(VLOOKUP($L386,'2-2 引出数据_合同数据仓库'!$B$5:$BP$20,64,FALSE),15)&amp;(RIGHT(VLOOKUP($L386,'2-2 引出数据_合同数据仓库'!$B$5:$BP$20,64,FALSE),4)+1)),'2-2 引出数据_合同数据仓库'!$B$5:$BP$20,3,FALSE),0)</f>
        <v>0</v>
      </c>
      <c r="P386" s="125"/>
      <c r="Q386" s="125">
        <f>IFERROR(VLOOKUP($L386,'2-2 引出数据_合同数据仓库'!$B$5:$BP$20,28,FALSE),0)</f>
        <v>0</v>
      </c>
      <c r="R386" s="125">
        <f>IFERROR(VLOOKUP($L386,'2-2 引出数据_合同数据仓库'!$B$5:$BP$20,29,FALSE),0)</f>
        <v>0</v>
      </c>
      <c r="S386" s="125">
        <f>IFERROR(VLOOKUP($L386,'2-2 引出数据_合同数据仓库'!$B$5:$BP$20,4,FALSE),0)</f>
        <v>0</v>
      </c>
      <c r="T386" s="125"/>
      <c r="U386" s="125">
        <f>IFERROR(VLOOKUP($L386,'2-2 引出数据_合同数据仓库'!$B$5:$BP$20,15,FALSE),0)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hidden="1"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引出数据_合同数据仓库'!$B$5:$BP$20,3,FALSE),0)</f>
        <v>0</v>
      </c>
      <c r="N387" s="125"/>
      <c r="O387" s="151">
        <f>IFERROR(VLOOKUP((LEFT(VLOOKUP($L387,'2-2 引出数据_合同数据仓库'!$B$5:$BP$20,64,FALSE),15)&amp;(RIGHT(VLOOKUP($L387,'2-2 引出数据_合同数据仓库'!$B$5:$BP$20,64,FALSE),4)+1)),'2-2 引出数据_合同数据仓库'!$B$5:$BP$20,3,FALSE),0)</f>
        <v>0</v>
      </c>
      <c r="P387" s="125"/>
      <c r="Q387" s="125">
        <f>IFERROR(VLOOKUP($L387,'2-2 引出数据_合同数据仓库'!$B$5:$BP$20,28,FALSE),0)</f>
        <v>0</v>
      </c>
      <c r="R387" s="125">
        <f>IFERROR(VLOOKUP($L387,'2-2 引出数据_合同数据仓库'!$B$5:$BP$20,29,FALSE),0)</f>
        <v>0</v>
      </c>
      <c r="S387" s="125">
        <f>IFERROR(VLOOKUP($L387,'2-2 引出数据_合同数据仓库'!$B$5:$BP$20,4,FALSE),0)</f>
        <v>0</v>
      </c>
      <c r="T387" s="125"/>
      <c r="U387" s="125">
        <f>IFERROR(VLOOKUP($L387,'2-2 引出数据_合同数据仓库'!$B$5:$BP$20,15,FALSE),0)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hidden="1"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引出数据_合同数据仓库'!$B$5:$BP$20,3,FALSE),0)</f>
        <v>0</v>
      </c>
      <c r="N388" s="125"/>
      <c r="O388" s="151">
        <f>IFERROR(VLOOKUP((LEFT(VLOOKUP($L388,'2-2 引出数据_合同数据仓库'!$B$5:$BP$20,64,FALSE),15)&amp;(RIGHT(VLOOKUP($L388,'2-2 引出数据_合同数据仓库'!$B$5:$BP$20,64,FALSE),4)+1)),'2-2 引出数据_合同数据仓库'!$B$5:$BP$20,3,FALSE),0)</f>
        <v>0</v>
      </c>
      <c r="P388" s="125"/>
      <c r="Q388" s="125">
        <f>IFERROR(VLOOKUP($L388,'2-2 引出数据_合同数据仓库'!$B$5:$BP$20,28,FALSE),0)</f>
        <v>0</v>
      </c>
      <c r="R388" s="125">
        <f>IFERROR(VLOOKUP($L388,'2-2 引出数据_合同数据仓库'!$B$5:$BP$20,29,FALSE),0)</f>
        <v>0</v>
      </c>
      <c r="S388" s="125">
        <f>IFERROR(VLOOKUP($L388,'2-2 引出数据_合同数据仓库'!$B$5:$BP$20,4,FALSE),0)</f>
        <v>0</v>
      </c>
      <c r="T388" s="125"/>
      <c r="U388" s="125">
        <f>IFERROR(VLOOKUP($L388,'2-2 引出数据_合同数据仓库'!$B$5:$BP$20,15,FALSE),0)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hidden="1"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引出数据_合同数据仓库'!$B$5:$BP$20,3,FALSE),0)</f>
        <v>0</v>
      </c>
      <c r="N389" s="125"/>
      <c r="O389" s="151">
        <f>IFERROR(VLOOKUP((LEFT(VLOOKUP($L389,'2-2 引出数据_合同数据仓库'!$B$5:$BP$20,64,FALSE),15)&amp;(RIGHT(VLOOKUP($L389,'2-2 引出数据_合同数据仓库'!$B$5:$BP$20,64,FALSE),4)+1)),'2-2 引出数据_合同数据仓库'!$B$5:$BP$20,3,FALSE),0)</f>
        <v>0</v>
      </c>
      <c r="P389" s="125"/>
      <c r="Q389" s="125">
        <f>IFERROR(VLOOKUP($L389,'2-2 引出数据_合同数据仓库'!$B$5:$BP$20,28,FALSE),0)</f>
        <v>0</v>
      </c>
      <c r="R389" s="125">
        <f>IFERROR(VLOOKUP($L389,'2-2 引出数据_合同数据仓库'!$B$5:$BP$20,29,FALSE),0)</f>
        <v>0</v>
      </c>
      <c r="S389" s="125">
        <f>IFERROR(VLOOKUP($L389,'2-2 引出数据_合同数据仓库'!$B$5:$BP$20,4,FALSE),0)</f>
        <v>0</v>
      </c>
      <c r="T389" s="125"/>
      <c r="U389" s="125">
        <f>IFERROR(VLOOKUP($L389,'2-2 引出数据_合同数据仓库'!$B$5:$BP$20,15,FALSE),0)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hidden="1" customHeight="1" outlineLevel="4" spans="1:95">
      <c r="A390" s="126" t="s">
        <v>2770</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hidden="1" customHeight="1" outlineLevel="3" collapsed="1" spans="1:95">
      <c r="A391" s="118"/>
      <c r="B391" s="119" t="s">
        <v>747</v>
      </c>
      <c r="C391" s="120" t="s">
        <v>1314</v>
      </c>
      <c r="D391" s="118" t="s">
        <v>1315</v>
      </c>
      <c r="E391" s="119" t="s">
        <v>1316</v>
      </c>
      <c r="F391" s="119"/>
      <c r="G391" s="119" t="s">
        <v>891</v>
      </c>
      <c r="H391" s="121">
        <f>X391+AA391+AD391+AG391+AJ391+AM391+AP391+AS391+AV391+AY391+BB391+BE391</f>
        <v>0</v>
      </c>
      <c r="I391" s="121">
        <f>Y391+AB391+AE391+AH391+AK391+AN391+AQ391+AT391+AW391+AZ391+BC391+BF391</f>
        <v>0</v>
      </c>
      <c r="J391" s="121">
        <f t="shared" si="3853"/>
        <v>0</v>
      </c>
      <c r="K391" s="121"/>
      <c r="L391" s="149"/>
      <c r="M391" s="149"/>
      <c r="N391" s="121"/>
      <c r="O391" s="121"/>
      <c r="P391" s="121"/>
      <c r="Q391" s="121"/>
      <c r="R391" s="121"/>
      <c r="S391" s="121"/>
      <c r="T391" s="121"/>
      <c r="U391" s="121"/>
      <c r="V391" s="121"/>
      <c r="W391" s="121"/>
      <c r="X391" s="121">
        <f>VLOOKUP($C391,'1 预算编制表单'!$C:$BJ,27,FALSE)</f>
        <v>0</v>
      </c>
      <c r="Y391" s="121">
        <f>X391-Z391</f>
        <v>0</v>
      </c>
      <c r="Z391" s="121">
        <f>SUM(Z392:Z396)</f>
        <v>0</v>
      </c>
      <c r="AA391" s="121">
        <f>VLOOKUP($C391,'1 预算编制表单'!$C:$BJ,30,FALSE)</f>
        <v>0</v>
      </c>
      <c r="AB391" s="121">
        <f>AA391-AC391</f>
        <v>0</v>
      </c>
      <c r="AC391" s="121">
        <f>SUM(AC392:AC396)</f>
        <v>0</v>
      </c>
      <c r="AD391" s="121">
        <f>VLOOKUP($C391,'1 预算编制表单'!$C:$BJ,33,FALSE)</f>
        <v>0</v>
      </c>
      <c r="AE391" s="121">
        <f>AD391-AF391</f>
        <v>0</v>
      </c>
      <c r="AF391" s="121">
        <f>SUM(AF392:AF396)</f>
        <v>0</v>
      </c>
      <c r="AG391" s="121">
        <f>VLOOKUP($C391,'1 预算编制表单'!$C:$BJ,36,FALSE)</f>
        <v>0</v>
      </c>
      <c r="AH391" s="121">
        <f>AG391-AI391</f>
        <v>0</v>
      </c>
      <c r="AI391" s="121">
        <f>SUM(AI392:AI396)</f>
        <v>0</v>
      </c>
      <c r="AJ391" s="121">
        <f>VLOOKUP($C391,'1 预算编制表单'!$C:$BJ,39,FALSE)</f>
        <v>0</v>
      </c>
      <c r="AK391" s="121">
        <f>AJ391-AL391</f>
        <v>0</v>
      </c>
      <c r="AL391" s="121">
        <f>SUM(AL392:AL396)</f>
        <v>0</v>
      </c>
      <c r="AM391" s="121">
        <f>VLOOKUP($C391,'1 预算编制表单'!$C:$BJ,42,FALSE)</f>
        <v>0</v>
      </c>
      <c r="AN391" s="121">
        <f>AM391-AO391</f>
        <v>0</v>
      </c>
      <c r="AO391" s="121">
        <f>SUM(AO392:AO396)</f>
        <v>0</v>
      </c>
      <c r="AP391" s="121">
        <f>VLOOKUP($C391,'1 预算编制表单'!$C:$BJ,45,FALSE)</f>
        <v>0</v>
      </c>
      <c r="AQ391" s="121">
        <f>AP391-AR391</f>
        <v>0</v>
      </c>
      <c r="AR391" s="121">
        <f>SUM(AR392:AR396)</f>
        <v>0</v>
      </c>
      <c r="AS391" s="121">
        <f>VLOOKUP($C391,'1 预算编制表单'!$C:$BJ,48,FALSE)</f>
        <v>0</v>
      </c>
      <c r="AT391" s="121">
        <f>AS391-AU391</f>
        <v>0</v>
      </c>
      <c r="AU391" s="121">
        <f>SUM(AU392:AU396)</f>
        <v>0</v>
      </c>
      <c r="AV391" s="121">
        <f>VLOOKUP($C391,'1 预算编制表单'!$C:$BJ,51,FALSE)</f>
        <v>0</v>
      </c>
      <c r="AW391" s="121">
        <f>AV391-AX391</f>
        <v>0</v>
      </c>
      <c r="AX391" s="121">
        <f>SUM(AX392:AX396)</f>
        <v>0</v>
      </c>
      <c r="AY391" s="121">
        <f>VLOOKUP($C391,'1 预算编制表单'!$C:$BJ,54,FALSE)</f>
        <v>0</v>
      </c>
      <c r="AZ391" s="121">
        <f>AY391-BA391</f>
        <v>0</v>
      </c>
      <c r="BA391" s="121">
        <f>SUM(BA392:BA396)</f>
        <v>0</v>
      </c>
      <c r="BB391" s="121">
        <f>VLOOKUP($C391,'1 预算编制表单'!$C:$BJ,57,FALSE)</f>
        <v>0</v>
      </c>
      <c r="BC391" s="121">
        <f>BB391-BD391</f>
        <v>0</v>
      </c>
      <c r="BD391" s="121">
        <f>SUM(BD392:BD396)</f>
        <v>0</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hidden="1" customHeight="1" outlineLevel="4" spans="1:95">
      <c r="A392" s="122"/>
      <c r="B392" s="123"/>
      <c r="C392" s="124"/>
      <c r="D392" s="122"/>
      <c r="E392" s="123"/>
      <c r="F392" s="123"/>
      <c r="G392" s="123"/>
      <c r="H392" s="125"/>
      <c r="I392" s="125"/>
      <c r="J392" s="125">
        <f t="shared" ref="J392:J434" si="4646">Z392+AC392+AF392+AI392+AL392+AO392+AR392+AU392+AX392+BA392+BD392+BG392</f>
        <v>0</v>
      </c>
      <c r="K392" s="125">
        <v>1</v>
      </c>
      <c r="L392" s="150"/>
      <c r="M392" s="151">
        <f>IFERROR(VLOOKUP($L392,'2-2 引出数据_合同数据仓库'!$B$5:$BP$20,3,FALSE),0)</f>
        <v>0</v>
      </c>
      <c r="N392" s="125"/>
      <c r="O392" s="151">
        <f>IFERROR(VLOOKUP((LEFT(VLOOKUP($L392,'2-2 引出数据_合同数据仓库'!$B$5:$BP$20,64,FALSE),15)&amp;(RIGHT(VLOOKUP($L392,'2-2 引出数据_合同数据仓库'!$B$5:$BP$20,64,FALSE),4)+1)),'2-2 引出数据_合同数据仓库'!$B$5:$BP$20,3,FALSE),0)</f>
        <v>0</v>
      </c>
      <c r="P392" s="125"/>
      <c r="Q392" s="125">
        <f>IFERROR(VLOOKUP($L392,'2-2 引出数据_合同数据仓库'!$B$5:$BP$20,28,FALSE),0)</f>
        <v>0</v>
      </c>
      <c r="R392" s="125">
        <f>IFERROR(VLOOKUP($L392,'2-2 引出数据_合同数据仓库'!$B$5:$BP$20,29,FALSE),0)</f>
        <v>0</v>
      </c>
      <c r="S392" s="125">
        <f>IFERROR(VLOOKUP($L392,'2-2 引出数据_合同数据仓库'!$B$5:$BP$20,4,FALSE),0)</f>
        <v>0</v>
      </c>
      <c r="T392" s="125"/>
      <c r="U392" s="125">
        <f>IFERROR(VLOOKUP($L392,'2-2 引出数据_合同数据仓库'!$B$5:$BP$20,15,FALSE),0)</f>
        <v>0</v>
      </c>
      <c r="V392" s="125">
        <f t="shared" ref="V392:V395" si="4647">U392/(S392-R392+1)*365</f>
        <v>0</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0</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0</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0</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0</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0</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0</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0</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0</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0</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0</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0</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hidden="1"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引出数据_合同数据仓库'!$B$5:$BP$20,3,FALSE),0)</f>
        <v>0</v>
      </c>
      <c r="N393" s="125"/>
      <c r="O393" s="151">
        <f>IFERROR(VLOOKUP((LEFT(VLOOKUP($L393,'2-2 引出数据_合同数据仓库'!$B$5:$BP$20,64,FALSE),15)&amp;(RIGHT(VLOOKUP($L393,'2-2 引出数据_合同数据仓库'!$B$5:$BP$20,64,FALSE),4)+1)),'2-2 引出数据_合同数据仓库'!$B$5:$BP$20,3,FALSE),0)</f>
        <v>0</v>
      </c>
      <c r="P393" s="125"/>
      <c r="Q393" s="125">
        <f>IFERROR(VLOOKUP($L393,'2-2 引出数据_合同数据仓库'!$B$5:$BP$20,28,FALSE),0)</f>
        <v>0</v>
      </c>
      <c r="R393" s="125">
        <f>IFERROR(VLOOKUP($L393,'2-2 引出数据_合同数据仓库'!$B$5:$BP$20,29,FALSE),0)</f>
        <v>0</v>
      </c>
      <c r="S393" s="125">
        <f>IFERROR(VLOOKUP($L393,'2-2 引出数据_合同数据仓库'!$B$5:$BP$20,4,FALSE),0)</f>
        <v>0</v>
      </c>
      <c r="T393" s="125"/>
      <c r="U393" s="125">
        <f>IFERROR(VLOOKUP($L393,'2-2 引出数据_合同数据仓库'!$B$5:$BP$20,15,FALSE),0)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hidden="1"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引出数据_合同数据仓库'!$B$5:$BP$20,3,FALSE),0)</f>
        <v>0</v>
      </c>
      <c r="N394" s="125"/>
      <c r="O394" s="151">
        <f>IFERROR(VLOOKUP((LEFT(VLOOKUP($L394,'2-2 引出数据_合同数据仓库'!$B$5:$BP$20,64,FALSE),15)&amp;(RIGHT(VLOOKUP($L394,'2-2 引出数据_合同数据仓库'!$B$5:$BP$20,64,FALSE),4)+1)),'2-2 引出数据_合同数据仓库'!$B$5:$BP$20,3,FALSE),0)</f>
        <v>0</v>
      </c>
      <c r="P394" s="125"/>
      <c r="Q394" s="125">
        <f>IFERROR(VLOOKUP($L394,'2-2 引出数据_合同数据仓库'!$B$5:$BP$20,28,FALSE),0)</f>
        <v>0</v>
      </c>
      <c r="R394" s="125">
        <f>IFERROR(VLOOKUP($L394,'2-2 引出数据_合同数据仓库'!$B$5:$BP$20,29,FALSE),0)</f>
        <v>0</v>
      </c>
      <c r="S394" s="125">
        <f>IFERROR(VLOOKUP($L394,'2-2 引出数据_合同数据仓库'!$B$5:$BP$20,4,FALSE),0)</f>
        <v>0</v>
      </c>
      <c r="T394" s="125"/>
      <c r="U394" s="125">
        <f>IFERROR(VLOOKUP($L394,'2-2 引出数据_合同数据仓库'!$B$5:$BP$20,15,FALSE),0)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hidden="1"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引出数据_合同数据仓库'!$B$5:$BP$20,3,FALSE),0)</f>
        <v>0</v>
      </c>
      <c r="N395" s="125"/>
      <c r="O395" s="151">
        <f>IFERROR(VLOOKUP((LEFT(VLOOKUP($L395,'2-2 引出数据_合同数据仓库'!$B$5:$BP$20,64,FALSE),15)&amp;(RIGHT(VLOOKUP($L395,'2-2 引出数据_合同数据仓库'!$B$5:$BP$20,64,FALSE),4)+1)),'2-2 引出数据_合同数据仓库'!$B$5:$BP$20,3,FALSE),0)</f>
        <v>0</v>
      </c>
      <c r="P395" s="125"/>
      <c r="Q395" s="125">
        <f>IFERROR(VLOOKUP($L395,'2-2 引出数据_合同数据仓库'!$B$5:$BP$20,28,FALSE),0)</f>
        <v>0</v>
      </c>
      <c r="R395" s="125">
        <f>IFERROR(VLOOKUP($L395,'2-2 引出数据_合同数据仓库'!$B$5:$BP$20,29,FALSE),0)</f>
        <v>0</v>
      </c>
      <c r="S395" s="125">
        <f>IFERROR(VLOOKUP($L395,'2-2 引出数据_合同数据仓库'!$B$5:$BP$20,4,FALSE),0)</f>
        <v>0</v>
      </c>
      <c r="T395" s="125"/>
      <c r="U395" s="125">
        <f>IFERROR(VLOOKUP($L395,'2-2 引出数据_合同数据仓库'!$B$5:$BP$20,15,FALSE),0)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hidden="1" customHeight="1" outlineLevel="4" spans="1:95">
      <c r="A396" s="126" t="s">
        <v>2770</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hidden="1" customHeight="1" outlineLevel="2" collapsed="1" spans="1:95">
      <c r="A397" s="48"/>
      <c r="B397" s="115" t="s">
        <v>747</v>
      </c>
      <c r="C397" s="116" t="s">
        <v>1318</v>
      </c>
      <c r="D397" s="48" t="s">
        <v>1319</v>
      </c>
      <c r="E397" s="115"/>
      <c r="F397" s="115"/>
      <c r="G397" s="115"/>
      <c r="H397" s="117">
        <f>X397+AA397+AD397+AG397+AJ397+AM397+AP397+AS397+AV397+AY397+BB397+BE397</f>
        <v>0</v>
      </c>
      <c r="I397" s="117">
        <f>Y397+AB397+AE397+AH397+AK397+AN397+AQ397+AT397+AW397+AZ397+BC397+BF397</f>
        <v>0</v>
      </c>
      <c r="J397" s="117">
        <f t="shared" si="4646"/>
        <v>0</v>
      </c>
      <c r="K397" s="117"/>
      <c r="L397" s="148"/>
      <c r="M397" s="148"/>
      <c r="N397" s="117"/>
      <c r="O397" s="117"/>
      <c r="P397" s="117"/>
      <c r="Q397" s="117"/>
      <c r="R397" s="117"/>
      <c r="S397" s="117"/>
      <c r="T397" s="117"/>
      <c r="U397" s="117"/>
      <c r="V397" s="117"/>
      <c r="W397" s="117"/>
      <c r="X397" s="117">
        <f>VLOOKUP($C397,'1 预算编制表单'!$C:$BJ,27,FALSE)</f>
        <v>0</v>
      </c>
      <c r="Y397" s="117">
        <f>X397-Z397</f>
        <v>0</v>
      </c>
      <c r="Z397" s="117">
        <f>SUM(Z398:Z402)</f>
        <v>0</v>
      </c>
      <c r="AA397" s="117">
        <f>VLOOKUP($C397,'1 预算编制表单'!$C:$BJ,30,FALSE)</f>
        <v>0</v>
      </c>
      <c r="AB397" s="117">
        <f>AA397-AC397</f>
        <v>0</v>
      </c>
      <c r="AC397" s="117">
        <f>SUM(AC398:AC402)</f>
        <v>0</v>
      </c>
      <c r="AD397" s="117">
        <f>VLOOKUP($C397,'1 预算编制表单'!$C:$BJ,33,FALSE)</f>
        <v>0</v>
      </c>
      <c r="AE397" s="117">
        <f>AD397-AF397</f>
        <v>0</v>
      </c>
      <c r="AF397" s="117">
        <f>SUM(AF398:AF402)</f>
        <v>0</v>
      </c>
      <c r="AG397" s="117">
        <f>VLOOKUP($C397,'1 预算编制表单'!$C:$BJ,36,FALSE)</f>
        <v>0</v>
      </c>
      <c r="AH397" s="117">
        <f>AG397-AI397</f>
        <v>0</v>
      </c>
      <c r="AI397" s="117">
        <f>SUM(AI398:AI402)</f>
        <v>0</v>
      </c>
      <c r="AJ397" s="117">
        <f>VLOOKUP($C397,'1 预算编制表单'!$C:$BJ,39,FALSE)</f>
        <v>0</v>
      </c>
      <c r="AK397" s="117">
        <f>AJ397-AL397</f>
        <v>0</v>
      </c>
      <c r="AL397" s="117">
        <f>SUM(AL398:AL402)</f>
        <v>0</v>
      </c>
      <c r="AM397" s="117">
        <f>VLOOKUP($C397,'1 预算编制表单'!$C:$BJ,42,FALSE)</f>
        <v>0</v>
      </c>
      <c r="AN397" s="117">
        <f>AM397-AO397</f>
        <v>0</v>
      </c>
      <c r="AO397" s="117">
        <f>SUM(AO398:AO402)</f>
        <v>0</v>
      </c>
      <c r="AP397" s="117">
        <f>VLOOKUP($C397,'1 预算编制表单'!$C:$BJ,45,FALSE)</f>
        <v>0</v>
      </c>
      <c r="AQ397" s="117">
        <f>AP397-AR397</f>
        <v>0</v>
      </c>
      <c r="AR397" s="117">
        <f>SUM(AR398:AR402)</f>
        <v>0</v>
      </c>
      <c r="AS397" s="117">
        <f>VLOOKUP($C397,'1 预算编制表单'!$C:$BJ,48,FALSE)</f>
        <v>0</v>
      </c>
      <c r="AT397" s="117">
        <f>AS397-AU397</f>
        <v>0</v>
      </c>
      <c r="AU397" s="117">
        <f>SUM(AU398:AU402)</f>
        <v>0</v>
      </c>
      <c r="AV397" s="117">
        <f>VLOOKUP($C397,'1 预算编制表单'!$C:$BJ,51,FALSE)</f>
        <v>0</v>
      </c>
      <c r="AW397" s="117">
        <f>AV397-AX397</f>
        <v>0</v>
      </c>
      <c r="AX397" s="117">
        <f>SUM(AX398:AX402)</f>
        <v>0</v>
      </c>
      <c r="AY397" s="117">
        <f>VLOOKUP($C397,'1 预算编制表单'!$C:$BJ,54,FALSE)</f>
        <v>0</v>
      </c>
      <c r="AZ397" s="117">
        <f>AY397-BA397</f>
        <v>0</v>
      </c>
      <c r="BA397" s="117">
        <f>SUM(BA398:BA402)</f>
        <v>0</v>
      </c>
      <c r="BB397" s="117">
        <f>VLOOKUP($C397,'1 预算编制表单'!$C:$BJ,57,FALSE)</f>
        <v>0</v>
      </c>
      <c r="BC397" s="117">
        <f>BB397-BD397</f>
        <v>0</v>
      </c>
      <c r="BD397" s="117">
        <f>SUM(BD398:BD402)</f>
        <v>0</v>
      </c>
      <c r="BE397" s="117">
        <f>VLOOKUP($C397,'1 预算编制表单'!$C:$BJ,60,FALSE)</f>
        <v>0</v>
      </c>
      <c r="BF397" s="117">
        <f>BE397-BG397</f>
        <v>0</v>
      </c>
      <c r="BG397" s="117">
        <f>SUM(BG398:BG402)</f>
        <v>0</v>
      </c>
      <c r="BH397" s="117">
        <f>VLOOKUP($C397,'1 预算编制表单'!$C:$BJ,27,FALSE)</f>
        <v>0</v>
      </c>
      <c r="BI397" s="117">
        <f>BH397-BJ397</f>
        <v>0</v>
      </c>
      <c r="BJ397" s="117">
        <f>SUM(BJ398:BJ402)</f>
        <v>0</v>
      </c>
      <c r="BK397" s="117">
        <f>VLOOKUP($C397,'1 预算编制表单'!$C:$BJ,30,FALSE)</f>
        <v>0</v>
      </c>
      <c r="BL397" s="117">
        <f>BK397-BM397</f>
        <v>0</v>
      </c>
      <c r="BM397" s="117">
        <f>SUM(BM398:BM402)</f>
        <v>0</v>
      </c>
      <c r="BN397" s="117">
        <f>VLOOKUP($C397,'1 预算编制表单'!$C:$BJ,33,FALSE)</f>
        <v>0</v>
      </c>
      <c r="BO397" s="117">
        <f>BN397-BP397</f>
        <v>0</v>
      </c>
      <c r="BP397" s="117">
        <f>SUM(BP398:BP402)</f>
        <v>0</v>
      </c>
      <c r="BQ397" s="117">
        <f>VLOOKUP($C397,'1 预算编制表单'!$C:$BJ,36,FALSE)</f>
        <v>0</v>
      </c>
      <c r="BR397" s="117">
        <f>BQ397-BS397</f>
        <v>0</v>
      </c>
      <c r="BS397" s="117">
        <f>SUM(BS398:BS402)</f>
        <v>0</v>
      </c>
      <c r="BT397" s="117">
        <f>VLOOKUP($C397,'1 预算编制表单'!$C:$BJ,39,FALSE)</f>
        <v>0</v>
      </c>
      <c r="BU397" s="117">
        <f>BT397-BV397</f>
        <v>0</v>
      </c>
      <c r="BV397" s="117">
        <f>SUM(BV398:BV402)</f>
        <v>0</v>
      </c>
      <c r="BW397" s="117">
        <f>VLOOKUP($C397,'1 预算编制表单'!$C:$BJ,42,FALSE)</f>
        <v>0</v>
      </c>
      <c r="BX397" s="117">
        <f>BW397-BY397</f>
        <v>0</v>
      </c>
      <c r="BY397" s="117">
        <f>SUM(BY398:BY402)</f>
        <v>0</v>
      </c>
      <c r="BZ397" s="117">
        <f>VLOOKUP($C397,'1 预算编制表单'!$C:$BJ,45,FALSE)</f>
        <v>0</v>
      </c>
      <c r="CA397" s="117">
        <f>BZ397-CB397</f>
        <v>0</v>
      </c>
      <c r="CB397" s="117">
        <f>SUM(CB398:CB402)</f>
        <v>0</v>
      </c>
      <c r="CC397" s="117">
        <f>VLOOKUP($C397,'1 预算编制表单'!$C:$BJ,48,FALSE)</f>
        <v>0</v>
      </c>
      <c r="CD397" s="117">
        <f>CC397-CE397</f>
        <v>0</v>
      </c>
      <c r="CE397" s="117">
        <f>SUM(CE398:CE402)</f>
        <v>0</v>
      </c>
      <c r="CF397" s="117">
        <f>VLOOKUP($C397,'1 预算编制表单'!$C:$BJ,51,FALSE)</f>
        <v>0</v>
      </c>
      <c r="CG397" s="117">
        <f>CF397-CH397</f>
        <v>0</v>
      </c>
      <c r="CH397" s="117">
        <f>SUM(CH398:CH402)</f>
        <v>0</v>
      </c>
      <c r="CI397" s="117">
        <f>VLOOKUP($C397,'1 预算编制表单'!$C:$BJ,54,FALSE)</f>
        <v>0</v>
      </c>
      <c r="CJ397" s="117">
        <f>CI397-CK397</f>
        <v>0</v>
      </c>
      <c r="CK397" s="117">
        <f>SUM(CK398:CK402)</f>
        <v>0</v>
      </c>
      <c r="CL397" s="117">
        <f>VLOOKUP($C397,'1 预算编制表单'!$C:$BJ,57,FALSE)</f>
        <v>0</v>
      </c>
      <c r="CM397" s="117">
        <f>CL397-CN397</f>
        <v>0</v>
      </c>
      <c r="CN397" s="117">
        <f>SUM(CN398:CN402)</f>
        <v>0</v>
      </c>
      <c r="CO397" s="117">
        <f>VLOOKUP($C397,'1 预算编制表单'!$C:$BJ,60,FALSE)</f>
        <v>0</v>
      </c>
      <c r="CP397" s="117">
        <f>CO397-CQ397</f>
        <v>0</v>
      </c>
      <c r="CQ397" s="117">
        <f>SUM(CQ398:CQ402)</f>
        <v>0</v>
      </c>
    </row>
    <row r="398" s="83" customFormat="1" ht="24" hidden="1" customHeight="1" outlineLevel="3" spans="1:95">
      <c r="A398" s="122"/>
      <c r="B398" s="123"/>
      <c r="C398" s="124" t="s">
        <v>1320</v>
      </c>
      <c r="D398" s="122" t="s">
        <v>2785</v>
      </c>
      <c r="E398" s="123"/>
      <c r="F398" s="123"/>
      <c r="G398" s="123"/>
      <c r="H398" s="125"/>
      <c r="I398" s="125"/>
      <c r="J398" s="125">
        <f t="shared" si="4646"/>
        <v>0</v>
      </c>
      <c r="K398" s="125">
        <v>1</v>
      </c>
      <c r="L398" s="155"/>
      <c r="M398" s="151">
        <f>IFERROR(VLOOKUP($L398,'2-2 引出数据_合同数据仓库'!$B$5:$BP$20,3,FALSE),0)</f>
        <v>0</v>
      </c>
      <c r="N398" s="125"/>
      <c r="O398" s="151">
        <f>IFERROR(VLOOKUP((LEFT(VLOOKUP($L398,'2-2 引出数据_合同数据仓库'!$B$5:$BP$20,64,FALSE),15)&amp;(RIGHT(VLOOKUP($L398,'2-2 引出数据_合同数据仓库'!$B$5:$BP$20,64,FALSE),4)+1)),'2-2 引出数据_合同数据仓库'!$B$5:$BP$20,3,FALSE),0)</f>
        <v>0</v>
      </c>
      <c r="P398" s="125"/>
      <c r="Q398" s="125">
        <f>IFERROR(VLOOKUP($L398,'2-2 引出数据_合同数据仓库'!$B$5:$BP$20,28,FALSE),0)</f>
        <v>0</v>
      </c>
      <c r="R398" s="125">
        <f>IFERROR(VLOOKUP($L398,'2-2 引出数据_合同数据仓库'!$B$5:$BP$20,29,FALSE),0)</f>
        <v>0</v>
      </c>
      <c r="S398" s="125">
        <f>IFERROR(VLOOKUP($L398,'2-2 引出数据_合同数据仓库'!$B$5:$BP$20,4,FALSE),0)</f>
        <v>0</v>
      </c>
      <c r="T398" s="125"/>
      <c r="U398" s="125">
        <f>IFERROR(VLOOKUP($L398,'2-2 引出数据_合同数据仓库'!$B$5:$BP$20,15,FALSE),0)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0</v>
      </c>
      <c r="AG398" s="158"/>
      <c r="AH398" s="158"/>
      <c r="AI398" s="134">
        <f>报销单计算表!E15</f>
        <v>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hidden="1"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引出数据_合同数据仓库'!$B$5:$BP$20,3,FALSE),0)</f>
        <v>0</v>
      </c>
      <c r="N399" s="125"/>
      <c r="O399" s="151">
        <f>IFERROR(VLOOKUP((LEFT(VLOOKUP($L399,'2-2 引出数据_合同数据仓库'!$B$5:$BP$20,64,FALSE),15)&amp;(RIGHT(VLOOKUP($L399,'2-2 引出数据_合同数据仓库'!$B$5:$BP$20,64,FALSE),4)+1)),'2-2 引出数据_合同数据仓库'!$B$5:$BP$20,3,FALSE),0)</f>
        <v>0</v>
      </c>
      <c r="P399" s="125"/>
      <c r="Q399" s="125">
        <f>IFERROR(VLOOKUP($L399,'2-2 引出数据_合同数据仓库'!$B$5:$BP$20,28,FALSE),0)</f>
        <v>0</v>
      </c>
      <c r="R399" s="125">
        <f>IFERROR(VLOOKUP($L399,'2-2 引出数据_合同数据仓库'!$B$5:$BP$20,29,FALSE),0)</f>
        <v>0</v>
      </c>
      <c r="S399" s="125">
        <f>IFERROR(VLOOKUP($L399,'2-2 引出数据_合同数据仓库'!$B$5:$BP$20,4,FALSE),0)</f>
        <v>0</v>
      </c>
      <c r="T399" s="125"/>
      <c r="U399" s="125">
        <f>IFERROR(VLOOKUP($L399,'2-2 引出数据_合同数据仓库'!$B$5:$BP$20,15,FALSE),0)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hidden="1"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引出数据_合同数据仓库'!$B$5:$BP$20,3,FALSE),0)</f>
        <v>0</v>
      </c>
      <c r="N400" s="125"/>
      <c r="O400" s="151">
        <f>IFERROR(VLOOKUP((LEFT(VLOOKUP($L400,'2-2 引出数据_合同数据仓库'!$B$5:$BP$20,64,FALSE),15)&amp;(RIGHT(VLOOKUP($L400,'2-2 引出数据_合同数据仓库'!$B$5:$BP$20,64,FALSE),4)+1)),'2-2 引出数据_合同数据仓库'!$B$5:$BP$20,3,FALSE),0)</f>
        <v>0</v>
      </c>
      <c r="P400" s="125"/>
      <c r="Q400" s="125">
        <f>IFERROR(VLOOKUP($L400,'2-2 引出数据_合同数据仓库'!$B$5:$BP$20,28,FALSE),0)</f>
        <v>0</v>
      </c>
      <c r="R400" s="125">
        <f>IFERROR(VLOOKUP($L400,'2-2 引出数据_合同数据仓库'!$B$5:$BP$20,29,FALSE),0)</f>
        <v>0</v>
      </c>
      <c r="S400" s="125">
        <f>IFERROR(VLOOKUP($L400,'2-2 引出数据_合同数据仓库'!$B$5:$BP$20,4,FALSE),0)</f>
        <v>0</v>
      </c>
      <c r="T400" s="125"/>
      <c r="U400" s="125">
        <f>IFERROR(VLOOKUP($L400,'2-2 引出数据_合同数据仓库'!$B$5:$BP$20,15,FALSE),0)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hidden="1" customHeight="1" outlineLevel="3" collapsed="1" spans="1:95">
      <c r="A401" s="122"/>
      <c r="B401" s="123"/>
      <c r="C401" s="124"/>
      <c r="D401" s="122"/>
      <c r="E401" s="123"/>
      <c r="F401" s="123"/>
      <c r="G401" s="123"/>
      <c r="H401" s="125"/>
      <c r="I401" s="125"/>
      <c r="J401" s="125">
        <f t="shared" si="4646"/>
        <v>0</v>
      </c>
      <c r="K401" s="125">
        <f t="shared" si="4720"/>
        <v>4</v>
      </c>
      <c r="L401" s="150"/>
      <c r="M401" s="151">
        <f>IFERROR(VLOOKUP($L401,'2-2 引出数据_合同数据仓库'!$B$5:$BP$20,3,FALSE),0)</f>
        <v>0</v>
      </c>
      <c r="N401" s="125"/>
      <c r="O401" s="151">
        <f>IFERROR(VLOOKUP((LEFT(VLOOKUP($L401,'2-2 引出数据_合同数据仓库'!$B$5:$BP$20,64,FALSE),15)&amp;(RIGHT(VLOOKUP($L401,'2-2 引出数据_合同数据仓库'!$B$5:$BP$20,64,FALSE),4)+1)),'2-2 引出数据_合同数据仓库'!$B$5:$BP$20,3,FALSE),0)</f>
        <v>0</v>
      </c>
      <c r="P401" s="125"/>
      <c r="Q401" s="125">
        <f>IFERROR(VLOOKUP($L401,'2-2 引出数据_合同数据仓库'!$B$5:$BP$20,28,FALSE),0)</f>
        <v>0</v>
      </c>
      <c r="R401" s="125">
        <f>IFERROR(VLOOKUP($L401,'2-2 引出数据_合同数据仓库'!$B$5:$BP$20,29,FALSE),0)</f>
        <v>0</v>
      </c>
      <c r="S401" s="125">
        <f>IFERROR(VLOOKUP($L401,'2-2 引出数据_合同数据仓库'!$B$5:$BP$20,4,FALSE),0)</f>
        <v>0</v>
      </c>
      <c r="T401" s="125"/>
      <c r="U401" s="125">
        <f>IFERROR(VLOOKUP($L401,'2-2 引出数据_合同数据仓库'!$B$5:$BP$20,15,FALSE),0)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hidden="1" customHeight="1" outlineLevel="4" spans="1:95">
      <c r="A402" s="126" t="s">
        <v>2770</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hidden="1" customHeight="1" outlineLevel="2" collapsed="1" spans="1:95">
      <c r="A403" s="48"/>
      <c r="B403" s="115" t="s">
        <v>742</v>
      </c>
      <c r="C403" s="116" t="s">
        <v>1354</v>
      </c>
      <c r="D403" s="48" t="s">
        <v>1355</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hidden="1" customHeight="1" outlineLevel="3" collapsed="1" spans="1:95">
      <c r="A404" s="118"/>
      <c r="B404" s="119" t="s">
        <v>747</v>
      </c>
      <c r="C404" s="120" t="s">
        <v>1356</v>
      </c>
      <c r="D404" s="118" t="s">
        <v>1357</v>
      </c>
      <c r="E404" s="119" t="s">
        <v>1358</v>
      </c>
      <c r="F404" s="119"/>
      <c r="G404" s="119" t="s">
        <v>891</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hidden="1" customHeight="1" outlineLevel="4" spans="1:95">
      <c r="A405" s="122"/>
      <c r="B405" s="123"/>
      <c r="C405" s="124" t="s">
        <v>1360</v>
      </c>
      <c r="D405" s="122" t="s">
        <v>2786</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hidden="1"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引出数据_合同数据仓库'!$B$5:$BP$20,3,FALSE),0)</f>
        <v>0</v>
      </c>
      <c r="N406" s="125"/>
      <c r="O406" s="151">
        <f>IFERROR(VLOOKUP((LEFT(VLOOKUP($L406,'2-2 引出数据_合同数据仓库'!$B$5:$BP$20,64,FALSE),15)&amp;(RIGHT(VLOOKUP($L406,'2-2 引出数据_合同数据仓库'!$B$5:$BP$20,64,FALSE),4)+1)),'2-2 引出数据_合同数据仓库'!$B$5:$BP$20,3,FALSE),0)</f>
        <v>0</v>
      </c>
      <c r="P406" s="125"/>
      <c r="Q406" s="125">
        <f>IFERROR(VLOOKUP($L406,'2-2 引出数据_合同数据仓库'!$B$5:$BP$20,28,FALSE),0)</f>
        <v>0</v>
      </c>
      <c r="R406" s="125">
        <f>IFERROR(VLOOKUP($L406,'2-2 引出数据_合同数据仓库'!$B$5:$BP$20,29,FALSE),0)</f>
        <v>0</v>
      </c>
      <c r="S406" s="125">
        <f>IFERROR(VLOOKUP($L406,'2-2 引出数据_合同数据仓库'!$B$5:$BP$20,4,FALSE),0)</f>
        <v>0</v>
      </c>
      <c r="T406" s="125"/>
      <c r="U406" s="125">
        <f>IFERROR(VLOOKUP($L406,'2-2 引出数据_合同数据仓库'!$B$5:$BP$20,15,FALSE),0)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hidden="1"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引出数据_合同数据仓库'!$B$5:$BP$20,3,FALSE),0)</f>
        <v>0</v>
      </c>
      <c r="N407" s="125"/>
      <c r="O407" s="151">
        <f>IFERROR(VLOOKUP((LEFT(VLOOKUP($L407,'2-2 引出数据_合同数据仓库'!$B$5:$BP$20,64,FALSE),15)&amp;(RIGHT(VLOOKUP($L407,'2-2 引出数据_合同数据仓库'!$B$5:$BP$20,64,FALSE),4)+1)),'2-2 引出数据_合同数据仓库'!$B$5:$BP$20,3,FALSE),0)</f>
        <v>0</v>
      </c>
      <c r="P407" s="125"/>
      <c r="Q407" s="125">
        <f>IFERROR(VLOOKUP($L407,'2-2 引出数据_合同数据仓库'!$B$5:$BP$20,28,FALSE),0)</f>
        <v>0</v>
      </c>
      <c r="R407" s="125">
        <f>IFERROR(VLOOKUP($L407,'2-2 引出数据_合同数据仓库'!$B$5:$BP$20,29,FALSE),0)</f>
        <v>0</v>
      </c>
      <c r="S407" s="125">
        <f>IFERROR(VLOOKUP($L407,'2-2 引出数据_合同数据仓库'!$B$5:$BP$20,4,FALSE),0)</f>
        <v>0</v>
      </c>
      <c r="T407" s="125"/>
      <c r="U407" s="125">
        <f>IFERROR(VLOOKUP($L407,'2-2 引出数据_合同数据仓库'!$B$5:$BP$20,15,FALSE),0)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hidden="1"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引出数据_合同数据仓库'!$B$5:$BP$20,3,FALSE),0)</f>
        <v>0</v>
      </c>
      <c r="N408" s="125"/>
      <c r="O408" s="151">
        <f>IFERROR(VLOOKUP((LEFT(VLOOKUP($L408,'2-2 引出数据_合同数据仓库'!$B$5:$BP$20,64,FALSE),15)&amp;(RIGHT(VLOOKUP($L408,'2-2 引出数据_合同数据仓库'!$B$5:$BP$20,64,FALSE),4)+1)),'2-2 引出数据_合同数据仓库'!$B$5:$BP$20,3,FALSE),0)</f>
        <v>0</v>
      </c>
      <c r="P408" s="125"/>
      <c r="Q408" s="125">
        <f>IFERROR(VLOOKUP($L408,'2-2 引出数据_合同数据仓库'!$B$5:$BP$20,28,FALSE),0)</f>
        <v>0</v>
      </c>
      <c r="R408" s="125">
        <f>IFERROR(VLOOKUP($L408,'2-2 引出数据_合同数据仓库'!$B$5:$BP$20,29,FALSE),0)</f>
        <v>0</v>
      </c>
      <c r="S408" s="125">
        <f>IFERROR(VLOOKUP($L408,'2-2 引出数据_合同数据仓库'!$B$5:$BP$20,4,FALSE),0)</f>
        <v>0</v>
      </c>
      <c r="T408" s="125"/>
      <c r="U408" s="125">
        <f>IFERROR(VLOOKUP($L408,'2-2 引出数据_合同数据仓库'!$B$5:$BP$20,15,FALSE),0)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hidden="1" customHeight="1" outlineLevel="4" spans="1:95">
      <c r="A409" s="126" t="s">
        <v>2770</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hidden="1" customHeight="1" outlineLevel="3" collapsed="1" spans="1:95">
      <c r="A410" s="118"/>
      <c r="B410" s="119" t="s">
        <v>747</v>
      </c>
      <c r="C410" s="120" t="s">
        <v>1360</v>
      </c>
      <c r="D410" s="118" t="s">
        <v>1361</v>
      </c>
      <c r="E410" s="119" t="s">
        <v>1362</v>
      </c>
      <c r="F410" s="119"/>
      <c r="G410" s="119" t="s">
        <v>891</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hidden="1" customHeight="1" outlineLevel="4" spans="1:95">
      <c r="A411" s="122"/>
      <c r="B411" s="123"/>
      <c r="C411" s="124" t="s">
        <v>2787</v>
      </c>
      <c r="D411" s="122" t="s">
        <v>2788</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hidden="1"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引出数据_合同数据仓库'!$B$5:$BP$20,3,FALSE),0)</f>
        <v>0</v>
      </c>
      <c r="N412" s="125"/>
      <c r="O412" s="151">
        <f>IFERROR(VLOOKUP((LEFT(VLOOKUP($L412,'2-2 引出数据_合同数据仓库'!$B$5:$BP$20,64,FALSE),15)&amp;(RIGHT(VLOOKUP($L412,'2-2 引出数据_合同数据仓库'!$B$5:$BP$20,64,FALSE),4)+1)),'2-2 引出数据_合同数据仓库'!$B$5:$BP$20,3,FALSE),0)</f>
        <v>0</v>
      </c>
      <c r="P412" s="125"/>
      <c r="Q412" s="125">
        <f>IFERROR(VLOOKUP($L412,'2-2 引出数据_合同数据仓库'!$B$5:$BP$20,28,FALSE),0)</f>
        <v>0</v>
      </c>
      <c r="R412" s="125">
        <f>IFERROR(VLOOKUP($L412,'2-2 引出数据_合同数据仓库'!$B$5:$BP$20,29,FALSE),0)</f>
        <v>0</v>
      </c>
      <c r="S412" s="125">
        <f>IFERROR(VLOOKUP($L412,'2-2 引出数据_合同数据仓库'!$B$5:$BP$20,4,FALSE),0)</f>
        <v>0</v>
      </c>
      <c r="T412" s="125"/>
      <c r="U412" s="125">
        <f>IFERROR(VLOOKUP($L412,'2-2 引出数据_合同数据仓库'!$B$5:$BP$20,15,FALSE),0)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hidden="1"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引出数据_合同数据仓库'!$B$5:$BP$20,3,FALSE),0)</f>
        <v>0</v>
      </c>
      <c r="N413" s="125"/>
      <c r="O413" s="151">
        <f>IFERROR(VLOOKUP((LEFT(VLOOKUP($L413,'2-2 引出数据_合同数据仓库'!$B$5:$BP$20,64,FALSE),15)&amp;(RIGHT(VLOOKUP($L413,'2-2 引出数据_合同数据仓库'!$B$5:$BP$20,64,FALSE),4)+1)),'2-2 引出数据_合同数据仓库'!$B$5:$BP$20,3,FALSE),0)</f>
        <v>0</v>
      </c>
      <c r="P413" s="125"/>
      <c r="Q413" s="125">
        <f>IFERROR(VLOOKUP($L413,'2-2 引出数据_合同数据仓库'!$B$5:$BP$20,28,FALSE),0)</f>
        <v>0</v>
      </c>
      <c r="R413" s="125">
        <f>IFERROR(VLOOKUP($L413,'2-2 引出数据_合同数据仓库'!$B$5:$BP$20,29,FALSE),0)</f>
        <v>0</v>
      </c>
      <c r="S413" s="125">
        <f>IFERROR(VLOOKUP($L413,'2-2 引出数据_合同数据仓库'!$B$5:$BP$20,4,FALSE),0)</f>
        <v>0</v>
      </c>
      <c r="T413" s="125"/>
      <c r="U413" s="125">
        <f>IFERROR(VLOOKUP($L413,'2-2 引出数据_合同数据仓库'!$B$5:$BP$20,15,FALSE),0)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hidden="1"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引出数据_合同数据仓库'!$B$5:$BP$20,3,FALSE),0)</f>
        <v>0</v>
      </c>
      <c r="N414" s="125"/>
      <c r="O414" s="151">
        <f>IFERROR(VLOOKUP((LEFT(VLOOKUP($L414,'2-2 引出数据_合同数据仓库'!$B$5:$BP$20,64,FALSE),15)&amp;(RIGHT(VLOOKUP($L414,'2-2 引出数据_合同数据仓库'!$B$5:$BP$20,64,FALSE),4)+1)),'2-2 引出数据_合同数据仓库'!$B$5:$BP$20,3,FALSE),0)</f>
        <v>0</v>
      </c>
      <c r="P414" s="125"/>
      <c r="Q414" s="125">
        <f>IFERROR(VLOOKUP($L414,'2-2 引出数据_合同数据仓库'!$B$5:$BP$20,28,FALSE),0)</f>
        <v>0</v>
      </c>
      <c r="R414" s="125">
        <f>IFERROR(VLOOKUP($L414,'2-2 引出数据_合同数据仓库'!$B$5:$BP$20,29,FALSE),0)</f>
        <v>0</v>
      </c>
      <c r="S414" s="125">
        <f>IFERROR(VLOOKUP($L414,'2-2 引出数据_合同数据仓库'!$B$5:$BP$20,4,FALSE),0)</f>
        <v>0</v>
      </c>
      <c r="T414" s="125"/>
      <c r="U414" s="125">
        <f>IFERROR(VLOOKUP($L414,'2-2 引出数据_合同数据仓库'!$B$5:$BP$20,15,FALSE),0)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hidden="1" customHeight="1" outlineLevel="4" spans="1:95">
      <c r="A415" s="126" t="s">
        <v>2770</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hidden="1" customHeight="1" outlineLevel="3" collapsed="1" spans="1:95">
      <c r="A416" s="118"/>
      <c r="B416" s="119" t="s">
        <v>747</v>
      </c>
      <c r="C416" s="120" t="s">
        <v>1365</v>
      </c>
      <c r="D416" s="118" t="s">
        <v>1366</v>
      </c>
      <c r="E416" s="119" t="s">
        <v>1367</v>
      </c>
      <c r="F416" s="119"/>
      <c r="G416" s="119" t="s">
        <v>891</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hidden="1"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引出数据_合同数据仓库'!$B$5:$BP$20,3,FALSE),0)</f>
        <v>0</v>
      </c>
      <c r="N417" s="125"/>
      <c r="O417" s="151">
        <f>IFERROR(VLOOKUP((LEFT(VLOOKUP($L417,'2-2 引出数据_合同数据仓库'!$B$5:$BP$20,64,FALSE),15)&amp;(RIGHT(VLOOKUP($L417,'2-2 引出数据_合同数据仓库'!$B$5:$BP$20,64,FALSE),4)+1)),'2-2 引出数据_合同数据仓库'!$B$5:$BP$20,3,FALSE),0)</f>
        <v>0</v>
      </c>
      <c r="P417" s="125"/>
      <c r="Q417" s="125">
        <f>IFERROR(VLOOKUP($L417,'2-2 引出数据_合同数据仓库'!$B$5:$BP$20,28,FALSE),0)</f>
        <v>0</v>
      </c>
      <c r="R417" s="125">
        <f>IFERROR(VLOOKUP($L417,'2-2 引出数据_合同数据仓库'!$B$5:$BP$20,29,FALSE),0)</f>
        <v>0</v>
      </c>
      <c r="S417" s="125">
        <f>IFERROR(VLOOKUP($L417,'2-2 引出数据_合同数据仓库'!$B$5:$BP$20,4,FALSE),0)</f>
        <v>0</v>
      </c>
      <c r="T417" s="125"/>
      <c r="U417" s="125">
        <f>IFERROR(VLOOKUP($L417,'2-2 引出数据_合同数据仓库'!$B$5:$BP$20,15,FALSE),0)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hidden="1"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引出数据_合同数据仓库'!$B$5:$BP$20,3,FALSE),0)</f>
        <v>0</v>
      </c>
      <c r="N418" s="125"/>
      <c r="O418" s="151">
        <f>IFERROR(VLOOKUP((LEFT(VLOOKUP($L418,'2-2 引出数据_合同数据仓库'!$B$5:$BP$20,64,FALSE),15)&amp;(RIGHT(VLOOKUP($L418,'2-2 引出数据_合同数据仓库'!$B$5:$BP$20,64,FALSE),4)+1)),'2-2 引出数据_合同数据仓库'!$B$5:$BP$20,3,FALSE),0)</f>
        <v>0</v>
      </c>
      <c r="P418" s="125"/>
      <c r="Q418" s="125">
        <f>IFERROR(VLOOKUP($L418,'2-2 引出数据_合同数据仓库'!$B$5:$BP$20,28,FALSE),0)</f>
        <v>0</v>
      </c>
      <c r="R418" s="125">
        <f>IFERROR(VLOOKUP($L418,'2-2 引出数据_合同数据仓库'!$B$5:$BP$20,29,FALSE),0)</f>
        <v>0</v>
      </c>
      <c r="S418" s="125">
        <f>IFERROR(VLOOKUP($L418,'2-2 引出数据_合同数据仓库'!$B$5:$BP$20,4,FALSE),0)</f>
        <v>0</v>
      </c>
      <c r="T418" s="125"/>
      <c r="U418" s="125">
        <f>IFERROR(VLOOKUP($L418,'2-2 引出数据_合同数据仓库'!$B$5:$BP$20,15,FALSE),0)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hidden="1"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引出数据_合同数据仓库'!$B$5:$BP$20,3,FALSE),0)</f>
        <v>0</v>
      </c>
      <c r="N419" s="125"/>
      <c r="O419" s="151">
        <f>IFERROR(VLOOKUP((LEFT(VLOOKUP($L419,'2-2 引出数据_合同数据仓库'!$B$5:$BP$20,64,FALSE),15)&amp;(RIGHT(VLOOKUP($L419,'2-2 引出数据_合同数据仓库'!$B$5:$BP$20,64,FALSE),4)+1)),'2-2 引出数据_合同数据仓库'!$B$5:$BP$20,3,FALSE),0)</f>
        <v>0</v>
      </c>
      <c r="P419" s="125"/>
      <c r="Q419" s="125">
        <f>IFERROR(VLOOKUP($L419,'2-2 引出数据_合同数据仓库'!$B$5:$BP$20,28,FALSE),0)</f>
        <v>0</v>
      </c>
      <c r="R419" s="125">
        <f>IFERROR(VLOOKUP($L419,'2-2 引出数据_合同数据仓库'!$B$5:$BP$20,29,FALSE),0)</f>
        <v>0</v>
      </c>
      <c r="S419" s="125">
        <f>IFERROR(VLOOKUP($L419,'2-2 引出数据_合同数据仓库'!$B$5:$BP$20,4,FALSE),0)</f>
        <v>0</v>
      </c>
      <c r="T419" s="125"/>
      <c r="U419" s="125">
        <f>IFERROR(VLOOKUP($L419,'2-2 引出数据_合同数据仓库'!$B$5:$BP$20,15,FALSE),0)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hidden="1"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引出数据_合同数据仓库'!$B$5:$BP$20,3,FALSE),0)</f>
        <v>0</v>
      </c>
      <c r="N420" s="125"/>
      <c r="O420" s="151">
        <f>IFERROR(VLOOKUP((LEFT(VLOOKUP($L420,'2-2 引出数据_合同数据仓库'!$B$5:$BP$20,64,FALSE),15)&amp;(RIGHT(VLOOKUP($L420,'2-2 引出数据_合同数据仓库'!$B$5:$BP$20,64,FALSE),4)+1)),'2-2 引出数据_合同数据仓库'!$B$5:$BP$20,3,FALSE),0)</f>
        <v>0</v>
      </c>
      <c r="P420" s="125"/>
      <c r="Q420" s="125">
        <f>IFERROR(VLOOKUP($L420,'2-2 引出数据_合同数据仓库'!$B$5:$BP$20,28,FALSE),0)</f>
        <v>0</v>
      </c>
      <c r="R420" s="125">
        <f>IFERROR(VLOOKUP($L420,'2-2 引出数据_合同数据仓库'!$B$5:$BP$20,29,FALSE),0)</f>
        <v>0</v>
      </c>
      <c r="S420" s="125">
        <f>IFERROR(VLOOKUP($L420,'2-2 引出数据_合同数据仓库'!$B$5:$BP$20,4,FALSE),0)</f>
        <v>0</v>
      </c>
      <c r="T420" s="125"/>
      <c r="U420" s="125">
        <f>IFERROR(VLOOKUP($L420,'2-2 引出数据_合同数据仓库'!$B$5:$BP$20,15,FALSE),0)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hidden="1" customHeight="1" outlineLevel="4" spans="1:95">
      <c r="A421" s="126" t="s">
        <v>2770</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hidden="1" customHeight="1" outlineLevel="2" collapsed="1" spans="1:95">
      <c r="A422" s="48"/>
      <c r="B422" s="115" t="s">
        <v>747</v>
      </c>
      <c r="C422" s="116" t="s">
        <v>1369</v>
      </c>
      <c r="D422" s="48" t="s">
        <v>1370</v>
      </c>
      <c r="E422" s="115" t="s">
        <v>1237</v>
      </c>
      <c r="F422" s="115"/>
      <c r="G422" s="115" t="s">
        <v>1371</v>
      </c>
      <c r="H422" s="117">
        <f>X422+AA422+AD422+AG422+AJ422+AM422+AP422+AS422+AV422+AY422+BB422+BE422</f>
        <v>0</v>
      </c>
      <c r="I422" s="117">
        <f>Y422+AB422+AE422+AH422+AK422+AN422+AQ422+AT422+AW422+AZ422+BC422+BF422</f>
        <v>0</v>
      </c>
      <c r="J422" s="117">
        <f t="shared" si="4646"/>
        <v>0</v>
      </c>
      <c r="K422" s="117"/>
      <c r="L422" s="148"/>
      <c r="M422" s="148"/>
      <c r="N422" s="117"/>
      <c r="O422" s="117"/>
      <c r="P422" s="117"/>
      <c r="Q422" s="117"/>
      <c r="R422" s="117"/>
      <c r="S422" s="117"/>
      <c r="T422" s="117"/>
      <c r="U422" s="117"/>
      <c r="V422" s="117"/>
      <c r="W422" s="117"/>
      <c r="X422" s="117">
        <f>VLOOKUP($C422,'1 预算编制表单'!$C:$BJ,27,FALSE)</f>
        <v>0</v>
      </c>
      <c r="Y422" s="117">
        <f>X422-Z422</f>
        <v>0</v>
      </c>
      <c r="Z422" s="117">
        <f>SUM(Z423:Z427)</f>
        <v>0</v>
      </c>
      <c r="AA422" s="117">
        <f>VLOOKUP($C422,'1 预算编制表单'!$C:$BJ,30,FALSE)</f>
        <v>0</v>
      </c>
      <c r="AB422" s="117">
        <f>AA422-AC422</f>
        <v>0</v>
      </c>
      <c r="AC422" s="117">
        <f>SUM(AC423:AC427)</f>
        <v>0</v>
      </c>
      <c r="AD422" s="117">
        <f>VLOOKUP($C422,'1 预算编制表单'!$C:$BJ,33,FALSE)</f>
        <v>0</v>
      </c>
      <c r="AE422" s="117">
        <f>AD422-AF422</f>
        <v>0</v>
      </c>
      <c r="AF422" s="117">
        <f>SUM(AF423:AF427)</f>
        <v>0</v>
      </c>
      <c r="AG422" s="117">
        <f>VLOOKUP($C422,'1 预算编制表单'!$C:$BJ,36,FALSE)</f>
        <v>0</v>
      </c>
      <c r="AH422" s="117">
        <f>AG422-AI422</f>
        <v>0</v>
      </c>
      <c r="AI422" s="117">
        <f>SUM(AI423:AI427)</f>
        <v>0</v>
      </c>
      <c r="AJ422" s="117">
        <f>VLOOKUP($C422,'1 预算编制表单'!$C:$BJ,39,FALSE)</f>
        <v>0</v>
      </c>
      <c r="AK422" s="117">
        <f>AJ422-AL422</f>
        <v>0</v>
      </c>
      <c r="AL422" s="117">
        <f>SUM(AL423:AL427)</f>
        <v>0</v>
      </c>
      <c r="AM422" s="117">
        <f>VLOOKUP($C422,'1 预算编制表单'!$C:$BJ,42,FALSE)</f>
        <v>0</v>
      </c>
      <c r="AN422" s="117">
        <f>AM422-AO422</f>
        <v>0</v>
      </c>
      <c r="AO422" s="117">
        <f>SUM(AO423:AO427)</f>
        <v>0</v>
      </c>
      <c r="AP422" s="117">
        <f>VLOOKUP($C422,'1 预算编制表单'!$C:$BJ,45,FALSE)</f>
        <v>0</v>
      </c>
      <c r="AQ422" s="117">
        <f>AP422-AR422</f>
        <v>0</v>
      </c>
      <c r="AR422" s="117">
        <f>SUM(AR423:AR427)</f>
        <v>0</v>
      </c>
      <c r="AS422" s="117">
        <f>VLOOKUP($C422,'1 预算编制表单'!$C:$BJ,48,FALSE)</f>
        <v>0</v>
      </c>
      <c r="AT422" s="117">
        <f>AS422-AU422</f>
        <v>0</v>
      </c>
      <c r="AU422" s="117">
        <f>SUM(AU423:AU427)</f>
        <v>0</v>
      </c>
      <c r="AV422" s="117">
        <f>VLOOKUP($C422,'1 预算编制表单'!$C:$BJ,51,FALSE)</f>
        <v>0</v>
      </c>
      <c r="AW422" s="117">
        <f>AV422-AX422</f>
        <v>0</v>
      </c>
      <c r="AX422" s="117">
        <f>SUM(AX423:AX427)</f>
        <v>0</v>
      </c>
      <c r="AY422" s="117">
        <f>VLOOKUP($C422,'1 预算编制表单'!$C:$BJ,54,FALSE)</f>
        <v>0</v>
      </c>
      <c r="AZ422" s="117">
        <f>AY422-BA422</f>
        <v>0</v>
      </c>
      <c r="BA422" s="117">
        <f>SUM(BA423:BA427)</f>
        <v>0</v>
      </c>
      <c r="BB422" s="117">
        <f>VLOOKUP($C422,'1 预算编制表单'!$C:$BJ,57,FALSE)</f>
        <v>0</v>
      </c>
      <c r="BC422" s="117">
        <f>BB422-BD422</f>
        <v>0</v>
      </c>
      <c r="BD422" s="117">
        <f>SUM(BD423:BD427)</f>
        <v>0</v>
      </c>
      <c r="BE422" s="117">
        <f>VLOOKUP($C422,'1 预算编制表单'!$C:$BJ,60,FALSE)</f>
        <v>0</v>
      </c>
      <c r="BF422" s="117">
        <f>BE422-BG422</f>
        <v>0</v>
      </c>
      <c r="BG422" s="117">
        <f>SUM(BG423:BG427)</f>
        <v>0</v>
      </c>
      <c r="BH422" s="117">
        <f>VLOOKUP($C422,'1 预算编制表单'!$C:$BJ,27,FALSE)</f>
        <v>0</v>
      </c>
      <c r="BI422" s="117">
        <f>BH422-BJ422</f>
        <v>0</v>
      </c>
      <c r="BJ422" s="117">
        <f>SUM(BJ423:BJ427)</f>
        <v>0</v>
      </c>
      <c r="BK422" s="117">
        <f>VLOOKUP($C422,'1 预算编制表单'!$C:$BJ,30,FALSE)</f>
        <v>0</v>
      </c>
      <c r="BL422" s="117">
        <f>BK422-BM422</f>
        <v>0</v>
      </c>
      <c r="BM422" s="117">
        <f>SUM(BM423:BM427)</f>
        <v>0</v>
      </c>
      <c r="BN422" s="117">
        <f>VLOOKUP($C422,'1 预算编制表单'!$C:$BJ,33,FALSE)</f>
        <v>0</v>
      </c>
      <c r="BO422" s="117">
        <f>BN422-BP422</f>
        <v>0</v>
      </c>
      <c r="BP422" s="117">
        <f>SUM(BP423:BP427)</f>
        <v>0</v>
      </c>
      <c r="BQ422" s="117">
        <f>VLOOKUP($C422,'1 预算编制表单'!$C:$BJ,36,FALSE)</f>
        <v>0</v>
      </c>
      <c r="BR422" s="117">
        <f>BQ422-BS422</f>
        <v>0</v>
      </c>
      <c r="BS422" s="117">
        <f>SUM(BS423:BS427)</f>
        <v>0</v>
      </c>
      <c r="BT422" s="117">
        <f>VLOOKUP($C422,'1 预算编制表单'!$C:$BJ,39,FALSE)</f>
        <v>0</v>
      </c>
      <c r="BU422" s="117">
        <f>BT422-BV422</f>
        <v>0</v>
      </c>
      <c r="BV422" s="117">
        <f>SUM(BV423:BV427)</f>
        <v>0</v>
      </c>
      <c r="BW422" s="117">
        <f>VLOOKUP($C422,'1 预算编制表单'!$C:$BJ,42,FALSE)</f>
        <v>0</v>
      </c>
      <c r="BX422" s="117">
        <f>BW422-BY422</f>
        <v>0</v>
      </c>
      <c r="BY422" s="117">
        <f>SUM(BY423:BY427)</f>
        <v>0</v>
      </c>
      <c r="BZ422" s="117">
        <f>VLOOKUP($C422,'1 预算编制表单'!$C:$BJ,45,FALSE)</f>
        <v>0</v>
      </c>
      <c r="CA422" s="117">
        <f>BZ422-CB422</f>
        <v>0</v>
      </c>
      <c r="CB422" s="117">
        <f>SUM(CB423:CB427)</f>
        <v>0</v>
      </c>
      <c r="CC422" s="117">
        <f>VLOOKUP($C422,'1 预算编制表单'!$C:$BJ,48,FALSE)</f>
        <v>0</v>
      </c>
      <c r="CD422" s="117">
        <f>CC422-CE422</f>
        <v>0</v>
      </c>
      <c r="CE422" s="117">
        <f>SUM(CE423:CE427)</f>
        <v>0</v>
      </c>
      <c r="CF422" s="117">
        <f>VLOOKUP($C422,'1 预算编制表单'!$C:$BJ,51,FALSE)</f>
        <v>0</v>
      </c>
      <c r="CG422" s="117">
        <f>CF422-CH422</f>
        <v>0</v>
      </c>
      <c r="CH422" s="117">
        <f>SUM(CH423:CH427)</f>
        <v>0</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hidden="1" customHeight="1" outlineLevel="3" spans="1:95">
      <c r="A423" s="122"/>
      <c r="B423" s="123"/>
      <c r="C423" s="124"/>
      <c r="D423" s="122"/>
      <c r="E423" s="123"/>
      <c r="F423" s="123"/>
      <c r="G423" s="123"/>
      <c r="H423" s="125"/>
      <c r="I423" s="125"/>
      <c r="J423" s="125">
        <f t="shared" si="4646"/>
        <v>0</v>
      </c>
      <c r="K423" s="125">
        <v>1</v>
      </c>
      <c r="L423" s="150"/>
      <c r="M423" s="151">
        <f>IFERROR(VLOOKUP($L423,'2-2 引出数据_合同数据仓库'!$B$5:$BP$20,3,FALSE),0)</f>
        <v>0</v>
      </c>
      <c r="N423" s="125"/>
      <c r="O423" s="151">
        <f>IFERROR(VLOOKUP((LEFT(VLOOKUP($L423,'2-2 引出数据_合同数据仓库'!$B$5:$BP$20,64,FALSE),15)&amp;(RIGHT(VLOOKUP($L423,'2-2 引出数据_合同数据仓库'!$B$5:$BP$20,64,FALSE),4)+1)),'2-2 引出数据_合同数据仓库'!$B$5:$BP$20,3,FALSE),0)</f>
        <v>0</v>
      </c>
      <c r="P423" s="125"/>
      <c r="Q423" s="125">
        <f>IFERROR(VLOOKUP($L423,'2-2 引出数据_合同数据仓库'!$B$5:$BP$20,28,FALSE),0)</f>
        <v>0</v>
      </c>
      <c r="R423" s="125">
        <f>IFERROR(VLOOKUP($L423,'2-2 引出数据_合同数据仓库'!$B$5:$BP$20,29,FALSE),0)</f>
        <v>0</v>
      </c>
      <c r="S423" s="125">
        <f>IFERROR(VLOOKUP($L423,'2-2 引出数据_合同数据仓库'!$B$5:$BP$20,4,FALSE),0)</f>
        <v>0</v>
      </c>
      <c r="T423" s="125"/>
      <c r="U423" s="125">
        <f>IFERROR(VLOOKUP($L423,'2-2 引出数据_合同数据仓库'!$B$5:$BP$20,15,FALSE),0)</f>
        <v>0</v>
      </c>
      <c r="V423" s="125">
        <f t="shared" ref="V423:V426" si="5007">U423/(S423-R423+1)*365</f>
        <v>0</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0</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0</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0</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0</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0</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0</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0</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0</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0</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0</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0</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0</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0</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0</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0</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0</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0</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0</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0</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0</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0</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hidden="1" customHeight="1" outlineLevel="3" spans="1:95">
      <c r="A424" s="122"/>
      <c r="B424" s="123"/>
      <c r="C424" s="124"/>
      <c r="D424" s="122"/>
      <c r="E424" s="123"/>
      <c r="F424" s="123"/>
      <c r="G424" s="123"/>
      <c r="H424" s="125"/>
      <c r="I424" s="125"/>
      <c r="J424" s="125">
        <f t="shared" si="4646"/>
        <v>0</v>
      </c>
      <c r="K424" s="125">
        <f t="shared" ref="K424:K426" si="5078">K423+1</f>
        <v>2</v>
      </c>
      <c r="L424" s="150"/>
      <c r="M424" s="151">
        <f>IFERROR(VLOOKUP($L424,'2-2 引出数据_合同数据仓库'!$B$5:$BP$20,3,FALSE),0)</f>
        <v>0</v>
      </c>
      <c r="N424" s="125"/>
      <c r="O424" s="151">
        <f>IFERROR(VLOOKUP((LEFT(VLOOKUP($L424,'2-2 引出数据_合同数据仓库'!$B$5:$BP$20,64,FALSE),15)&amp;(RIGHT(VLOOKUP($L424,'2-2 引出数据_合同数据仓库'!$B$5:$BP$20,64,FALSE),4)+1)),'2-2 引出数据_合同数据仓库'!$B$5:$BP$20,3,FALSE),0)</f>
        <v>0</v>
      </c>
      <c r="P424" s="125"/>
      <c r="Q424" s="125">
        <f>IFERROR(VLOOKUP($L424,'2-2 引出数据_合同数据仓库'!$B$5:$BP$20,28,FALSE),0)</f>
        <v>0</v>
      </c>
      <c r="R424" s="125">
        <f>IFERROR(VLOOKUP($L424,'2-2 引出数据_合同数据仓库'!$B$5:$BP$20,29,FALSE),0)</f>
        <v>0</v>
      </c>
      <c r="S424" s="125">
        <f>IFERROR(VLOOKUP($L424,'2-2 引出数据_合同数据仓库'!$B$5:$BP$20,4,FALSE),0)</f>
        <v>0</v>
      </c>
      <c r="T424" s="125"/>
      <c r="U424" s="125">
        <f>IFERROR(VLOOKUP($L424,'2-2 引出数据_合同数据仓库'!$B$5:$BP$20,15,FALSE),0)</f>
        <v>0</v>
      </c>
      <c r="V424" s="125">
        <f t="shared" si="5007"/>
        <v>0</v>
      </c>
      <c r="W424" s="125"/>
      <c r="X424" s="157">
        <v>45658</v>
      </c>
      <c r="Y424" s="157">
        <f t="shared" si="5008"/>
        <v>45688</v>
      </c>
      <c r="Z424" s="161">
        <f t="shared" si="5009"/>
        <v>0</v>
      </c>
      <c r="AA424" s="157">
        <f t="shared" si="5010"/>
        <v>45689</v>
      </c>
      <c r="AB424" s="157">
        <f t="shared" si="5011"/>
        <v>45716</v>
      </c>
      <c r="AC424" s="161">
        <f t="shared" si="5012"/>
        <v>0</v>
      </c>
      <c r="AD424" s="157">
        <f t="shared" si="5013"/>
        <v>45717</v>
      </c>
      <c r="AE424" s="157">
        <f t="shared" si="5014"/>
        <v>45747</v>
      </c>
      <c r="AF424" s="161">
        <f t="shared" si="5015"/>
        <v>0</v>
      </c>
      <c r="AG424" s="157">
        <f t="shared" si="5016"/>
        <v>45748</v>
      </c>
      <c r="AH424" s="157">
        <f t="shared" si="5017"/>
        <v>45777</v>
      </c>
      <c r="AI424" s="161">
        <f t="shared" si="5018"/>
        <v>0</v>
      </c>
      <c r="AJ424" s="157">
        <f t="shared" si="5019"/>
        <v>45778</v>
      </c>
      <c r="AK424" s="157">
        <f t="shared" si="5020"/>
        <v>45808</v>
      </c>
      <c r="AL424" s="161">
        <f t="shared" si="5021"/>
        <v>0</v>
      </c>
      <c r="AM424" s="157">
        <f t="shared" si="5022"/>
        <v>45809</v>
      </c>
      <c r="AN424" s="157">
        <f t="shared" si="5023"/>
        <v>45838</v>
      </c>
      <c r="AO424" s="161">
        <f t="shared" si="5024"/>
        <v>0</v>
      </c>
      <c r="AP424" s="157">
        <f t="shared" si="5025"/>
        <v>45839</v>
      </c>
      <c r="AQ424" s="157">
        <f t="shared" si="5026"/>
        <v>45869</v>
      </c>
      <c r="AR424" s="161">
        <f t="shared" si="5027"/>
        <v>0</v>
      </c>
      <c r="AS424" s="157">
        <f t="shared" si="5028"/>
        <v>45870</v>
      </c>
      <c r="AT424" s="157">
        <f t="shared" si="5029"/>
        <v>45900</v>
      </c>
      <c r="AU424" s="161">
        <f t="shared" si="5030"/>
        <v>0</v>
      </c>
      <c r="AV424" s="157">
        <f t="shared" si="5031"/>
        <v>45901</v>
      </c>
      <c r="AW424" s="157">
        <f t="shared" si="5032"/>
        <v>45930</v>
      </c>
      <c r="AX424" s="161">
        <f t="shared" si="5033"/>
        <v>0</v>
      </c>
      <c r="AY424" s="157">
        <f t="shared" si="5034"/>
        <v>45931</v>
      </c>
      <c r="AZ424" s="157">
        <f t="shared" si="5035"/>
        <v>45961</v>
      </c>
      <c r="BA424" s="161">
        <f t="shared" si="5036"/>
        <v>0</v>
      </c>
      <c r="BB424" s="157">
        <f t="shared" si="5037"/>
        <v>45962</v>
      </c>
      <c r="BC424" s="157">
        <f t="shared" si="5038"/>
        <v>45991</v>
      </c>
      <c r="BD424" s="161">
        <f t="shared" si="5039"/>
        <v>0</v>
      </c>
      <c r="BE424" s="157">
        <f t="shared" si="5040"/>
        <v>45992</v>
      </c>
      <c r="BF424" s="157">
        <f t="shared" si="5041"/>
        <v>46022</v>
      </c>
      <c r="BG424" s="161">
        <f t="shared" si="5042"/>
        <v>0</v>
      </c>
      <c r="BH424" s="157">
        <v>46023</v>
      </c>
      <c r="BI424" s="157">
        <f t="shared" si="5043"/>
        <v>46053</v>
      </c>
      <c r="BJ424" s="161">
        <f t="shared" si="5044"/>
        <v>0</v>
      </c>
      <c r="BK424" s="157">
        <f t="shared" si="5045"/>
        <v>46054</v>
      </c>
      <c r="BL424" s="157">
        <f t="shared" si="5046"/>
        <v>46081</v>
      </c>
      <c r="BM424" s="161">
        <f t="shared" si="5047"/>
        <v>0</v>
      </c>
      <c r="BN424" s="157">
        <f t="shared" si="5048"/>
        <v>46082</v>
      </c>
      <c r="BO424" s="157">
        <f t="shared" si="5049"/>
        <v>46112</v>
      </c>
      <c r="BP424" s="161">
        <f t="shared" si="5050"/>
        <v>0</v>
      </c>
      <c r="BQ424" s="157">
        <f t="shared" si="5051"/>
        <v>46113</v>
      </c>
      <c r="BR424" s="157">
        <f t="shared" si="5052"/>
        <v>46142</v>
      </c>
      <c r="BS424" s="161">
        <f t="shared" si="5053"/>
        <v>0</v>
      </c>
      <c r="BT424" s="157">
        <f t="shared" si="5054"/>
        <v>46143</v>
      </c>
      <c r="BU424" s="157">
        <f t="shared" si="5055"/>
        <v>46173</v>
      </c>
      <c r="BV424" s="161">
        <f t="shared" si="5056"/>
        <v>0</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hidden="1" customHeight="1" outlineLevel="3" spans="1:95">
      <c r="A425" s="122"/>
      <c r="B425" s="123"/>
      <c r="C425" s="124"/>
      <c r="D425" s="122"/>
      <c r="E425" s="123"/>
      <c r="F425" s="123"/>
      <c r="G425" s="123"/>
      <c r="H425" s="125"/>
      <c r="I425" s="125"/>
      <c r="J425" s="125">
        <f t="shared" si="4646"/>
        <v>0</v>
      </c>
      <c r="K425" s="125">
        <f t="shared" si="5078"/>
        <v>3</v>
      </c>
      <c r="L425" s="150"/>
      <c r="M425" s="151">
        <f>IFERROR(VLOOKUP($L425,'2-2 引出数据_合同数据仓库'!$B$5:$BP$20,3,FALSE),0)</f>
        <v>0</v>
      </c>
      <c r="N425" s="125"/>
      <c r="O425" s="151">
        <f>IFERROR(VLOOKUP((LEFT(VLOOKUP($L425,'2-2 引出数据_合同数据仓库'!$B$5:$BP$20,64,FALSE),15)&amp;(RIGHT(VLOOKUP($L425,'2-2 引出数据_合同数据仓库'!$B$5:$BP$20,64,FALSE),4)+1)),'2-2 引出数据_合同数据仓库'!$B$5:$BP$20,3,FALSE),0)</f>
        <v>0</v>
      </c>
      <c r="P425" s="125"/>
      <c r="Q425" s="125">
        <f>IFERROR(VLOOKUP($L425,'2-2 引出数据_合同数据仓库'!$B$5:$BP$20,28,FALSE),0)</f>
        <v>0</v>
      </c>
      <c r="R425" s="125">
        <f>IFERROR(VLOOKUP($L425,'2-2 引出数据_合同数据仓库'!$B$5:$BP$20,29,FALSE),0)</f>
        <v>0</v>
      </c>
      <c r="S425" s="125">
        <f>IFERROR(VLOOKUP($L425,'2-2 引出数据_合同数据仓库'!$B$5:$BP$20,4,FALSE),0)</f>
        <v>0</v>
      </c>
      <c r="T425" s="125"/>
      <c r="U425" s="125">
        <f>IFERROR(VLOOKUP($L425,'2-2 引出数据_合同数据仓库'!$B$5:$BP$20,15,FALSE),0)</f>
        <v>0</v>
      </c>
      <c r="V425" s="125">
        <f t="shared" si="5007"/>
        <v>0</v>
      </c>
      <c r="W425" s="125"/>
      <c r="X425" s="157">
        <v>45658</v>
      </c>
      <c r="Y425" s="157">
        <f t="shared" si="5008"/>
        <v>45688</v>
      </c>
      <c r="Z425" s="161">
        <f t="shared" si="5009"/>
        <v>0</v>
      </c>
      <c r="AA425" s="157">
        <f t="shared" si="5010"/>
        <v>45689</v>
      </c>
      <c r="AB425" s="157">
        <f t="shared" si="5011"/>
        <v>45716</v>
      </c>
      <c r="AC425" s="161">
        <f t="shared" si="5012"/>
        <v>0</v>
      </c>
      <c r="AD425" s="157">
        <f t="shared" si="5013"/>
        <v>45717</v>
      </c>
      <c r="AE425" s="157">
        <f t="shared" si="5014"/>
        <v>45747</v>
      </c>
      <c r="AF425" s="161">
        <f t="shared" si="5015"/>
        <v>0</v>
      </c>
      <c r="AG425" s="157">
        <f t="shared" si="5016"/>
        <v>45748</v>
      </c>
      <c r="AH425" s="157">
        <f t="shared" si="5017"/>
        <v>45777</v>
      </c>
      <c r="AI425" s="161">
        <f t="shared" si="5018"/>
        <v>0</v>
      </c>
      <c r="AJ425" s="157">
        <f t="shared" si="5019"/>
        <v>45778</v>
      </c>
      <c r="AK425" s="157">
        <f t="shared" si="5020"/>
        <v>45808</v>
      </c>
      <c r="AL425" s="161">
        <f t="shared" si="5021"/>
        <v>0</v>
      </c>
      <c r="AM425" s="157">
        <f t="shared" si="5022"/>
        <v>45809</v>
      </c>
      <c r="AN425" s="157">
        <f t="shared" si="5023"/>
        <v>45838</v>
      </c>
      <c r="AO425" s="161">
        <f t="shared" si="5024"/>
        <v>0</v>
      </c>
      <c r="AP425" s="157">
        <f t="shared" si="5025"/>
        <v>45839</v>
      </c>
      <c r="AQ425" s="157">
        <f t="shared" si="5026"/>
        <v>45869</v>
      </c>
      <c r="AR425" s="161">
        <f t="shared" si="5027"/>
        <v>0</v>
      </c>
      <c r="AS425" s="157">
        <f t="shared" si="5028"/>
        <v>45870</v>
      </c>
      <c r="AT425" s="157">
        <f t="shared" si="5029"/>
        <v>45900</v>
      </c>
      <c r="AU425" s="161">
        <f t="shared" si="5030"/>
        <v>0</v>
      </c>
      <c r="AV425" s="157">
        <f t="shared" si="5031"/>
        <v>45901</v>
      </c>
      <c r="AW425" s="157">
        <f t="shared" si="5032"/>
        <v>45930</v>
      </c>
      <c r="AX425" s="161">
        <f t="shared" si="5033"/>
        <v>0</v>
      </c>
      <c r="AY425" s="157">
        <f t="shared" si="5034"/>
        <v>45931</v>
      </c>
      <c r="AZ425" s="157">
        <f t="shared" si="5035"/>
        <v>45961</v>
      </c>
      <c r="BA425" s="161">
        <f t="shared" si="5036"/>
        <v>0</v>
      </c>
      <c r="BB425" s="157">
        <f t="shared" si="5037"/>
        <v>45962</v>
      </c>
      <c r="BC425" s="157">
        <f t="shared" si="5038"/>
        <v>45991</v>
      </c>
      <c r="BD425" s="161">
        <f t="shared" si="5039"/>
        <v>0</v>
      </c>
      <c r="BE425" s="157">
        <f t="shared" si="5040"/>
        <v>45992</v>
      </c>
      <c r="BF425" s="157">
        <f t="shared" si="5041"/>
        <v>46022</v>
      </c>
      <c r="BG425" s="161">
        <f t="shared" si="5042"/>
        <v>0</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hidden="1" customHeight="1" outlineLevel="3" collapsed="1" spans="1:95">
      <c r="A426" s="122"/>
      <c r="B426" s="123"/>
      <c r="C426" s="124"/>
      <c r="D426" s="122"/>
      <c r="E426" s="123"/>
      <c r="F426" s="123"/>
      <c r="G426" s="123"/>
      <c r="H426" s="125"/>
      <c r="I426" s="125"/>
      <c r="J426" s="125">
        <f t="shared" si="4646"/>
        <v>0</v>
      </c>
      <c r="K426" s="125">
        <f t="shared" si="5078"/>
        <v>4</v>
      </c>
      <c r="L426" s="150"/>
      <c r="M426" s="151">
        <f>IFERROR(VLOOKUP($L426,'2-2 引出数据_合同数据仓库'!$B$5:$BP$20,3,FALSE),0)</f>
        <v>0</v>
      </c>
      <c r="N426" s="125"/>
      <c r="O426" s="151">
        <f>IFERROR(VLOOKUP((LEFT(VLOOKUP($L426,'2-2 引出数据_合同数据仓库'!$B$5:$BP$20,64,FALSE),15)&amp;(RIGHT(VLOOKUP($L426,'2-2 引出数据_合同数据仓库'!$B$5:$BP$20,64,FALSE),4)+1)),'2-2 引出数据_合同数据仓库'!$B$5:$BP$20,3,FALSE),0)</f>
        <v>0</v>
      </c>
      <c r="P426" s="125"/>
      <c r="Q426" s="125">
        <f>IFERROR(VLOOKUP($L426,'2-2 引出数据_合同数据仓库'!$B$5:$BP$20,28,FALSE),0)</f>
        <v>0</v>
      </c>
      <c r="R426" s="125">
        <f>IFERROR(VLOOKUP($L426,'2-2 引出数据_合同数据仓库'!$B$5:$BP$20,29,FALSE),0)</f>
        <v>0</v>
      </c>
      <c r="S426" s="125">
        <f>IFERROR(VLOOKUP($L426,'2-2 引出数据_合同数据仓库'!$B$5:$BP$20,4,FALSE),0)</f>
        <v>0</v>
      </c>
      <c r="T426" s="125"/>
      <c r="U426" s="125">
        <f>IFERROR(VLOOKUP($L426,'2-2 引出数据_合同数据仓库'!$B$5:$BP$20,15,FALSE),0)</f>
        <v>0</v>
      </c>
      <c r="V426" s="125">
        <f t="shared" si="5007"/>
        <v>0</v>
      </c>
      <c r="W426" s="125"/>
      <c r="X426" s="157">
        <v>45658</v>
      </c>
      <c r="Y426" s="157">
        <f t="shared" si="5008"/>
        <v>45688</v>
      </c>
      <c r="Z426" s="161">
        <f t="shared" si="5009"/>
        <v>0</v>
      </c>
      <c r="AA426" s="157">
        <f t="shared" si="5010"/>
        <v>45689</v>
      </c>
      <c r="AB426" s="157">
        <f t="shared" si="5011"/>
        <v>45716</v>
      </c>
      <c r="AC426" s="161">
        <f t="shared" si="5012"/>
        <v>0</v>
      </c>
      <c r="AD426" s="157">
        <f t="shared" si="5013"/>
        <v>45717</v>
      </c>
      <c r="AE426" s="157">
        <f t="shared" si="5014"/>
        <v>45747</v>
      </c>
      <c r="AF426" s="161">
        <f t="shared" si="5015"/>
        <v>0</v>
      </c>
      <c r="AG426" s="157">
        <f t="shared" si="5016"/>
        <v>45748</v>
      </c>
      <c r="AH426" s="157">
        <f t="shared" si="5017"/>
        <v>45777</v>
      </c>
      <c r="AI426" s="161">
        <f t="shared" si="5018"/>
        <v>0</v>
      </c>
      <c r="AJ426" s="157">
        <f t="shared" si="5019"/>
        <v>45778</v>
      </c>
      <c r="AK426" s="157">
        <f t="shared" si="5020"/>
        <v>45808</v>
      </c>
      <c r="AL426" s="161">
        <f t="shared" si="5021"/>
        <v>0</v>
      </c>
      <c r="AM426" s="157">
        <f t="shared" si="5022"/>
        <v>45809</v>
      </c>
      <c r="AN426" s="157">
        <f t="shared" si="5023"/>
        <v>45838</v>
      </c>
      <c r="AO426" s="161">
        <f t="shared" si="5024"/>
        <v>0</v>
      </c>
      <c r="AP426" s="157">
        <f t="shared" si="5025"/>
        <v>45839</v>
      </c>
      <c r="AQ426" s="157">
        <f t="shared" si="5026"/>
        <v>45869</v>
      </c>
      <c r="AR426" s="161">
        <f t="shared" si="5027"/>
        <v>0</v>
      </c>
      <c r="AS426" s="157">
        <f t="shared" si="5028"/>
        <v>45870</v>
      </c>
      <c r="AT426" s="157">
        <f t="shared" si="5029"/>
        <v>45900</v>
      </c>
      <c r="AU426" s="161">
        <f t="shared" si="5030"/>
        <v>0</v>
      </c>
      <c r="AV426" s="157">
        <f t="shared" si="5031"/>
        <v>45901</v>
      </c>
      <c r="AW426" s="157">
        <f t="shared" si="5032"/>
        <v>45930</v>
      </c>
      <c r="AX426" s="161">
        <f t="shared" si="5033"/>
        <v>0</v>
      </c>
      <c r="AY426" s="157">
        <f t="shared" si="5034"/>
        <v>45931</v>
      </c>
      <c r="AZ426" s="157">
        <f t="shared" si="5035"/>
        <v>45961</v>
      </c>
      <c r="BA426" s="161">
        <f t="shared" si="5036"/>
        <v>0</v>
      </c>
      <c r="BB426" s="157">
        <f t="shared" si="5037"/>
        <v>45962</v>
      </c>
      <c r="BC426" s="157">
        <f t="shared" si="5038"/>
        <v>45991</v>
      </c>
      <c r="BD426" s="161">
        <f t="shared" si="5039"/>
        <v>0</v>
      </c>
      <c r="BE426" s="157">
        <f t="shared" si="5040"/>
        <v>45992</v>
      </c>
      <c r="BF426" s="157">
        <f t="shared" si="5041"/>
        <v>46022</v>
      </c>
      <c r="BG426" s="161">
        <f t="shared" si="5042"/>
        <v>0</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hidden="1" customHeight="1" outlineLevel="4" spans="1:95">
      <c r="A427" s="126" t="s">
        <v>2770</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hidden="1" customHeight="1" outlineLevel="1" collapsed="1" spans="1:95">
      <c r="A428" s="22"/>
      <c r="B428" s="112" t="s">
        <v>742</v>
      </c>
      <c r="C428" s="113" t="s">
        <v>222</v>
      </c>
      <c r="D428" s="22" t="s">
        <v>223</v>
      </c>
      <c r="E428" s="112"/>
      <c r="F428" s="112"/>
      <c r="G428" s="112"/>
      <c r="H428" s="114">
        <f>X428+AA428+AD428+AG428+AJ428+AM428+AP428+AS428+AV428+AY428+BB428+BE428</f>
        <v>0</v>
      </c>
      <c r="I428" s="114">
        <f>Y428+AB428+AE428+AH428+AK428+AN428+AQ428+AT428+AW428+AZ428+BC428+BF428</f>
        <v>0</v>
      </c>
      <c r="J428" s="114">
        <f t="shared" si="4646"/>
        <v>0</v>
      </c>
      <c r="K428" s="114"/>
      <c r="L428" s="147"/>
      <c r="M428" s="147"/>
      <c r="N428" s="114"/>
      <c r="O428" s="114"/>
      <c r="P428" s="114"/>
      <c r="Q428" s="114"/>
      <c r="R428" s="114"/>
      <c r="S428" s="114"/>
      <c r="T428" s="114"/>
      <c r="U428" s="114"/>
      <c r="V428" s="114"/>
      <c r="W428" s="114"/>
      <c r="X428" s="114">
        <f>VLOOKUP($C428,'1 预算编制表单'!$C:$BJ,27,FALSE)</f>
        <v>0</v>
      </c>
      <c r="Y428" s="114">
        <f>X428-Z428</f>
        <v>0</v>
      </c>
      <c r="Z428" s="114">
        <f>Z429+Z436+Z442+Z448+Z454+Z460+Z466+Z472+Z478+Z484+Z490+Z496+Z502</f>
        <v>0</v>
      </c>
      <c r="AA428" s="114">
        <f>VLOOKUP($C428,'1 预算编制表单'!$C:$BJ,30,FALSE)</f>
        <v>0</v>
      </c>
      <c r="AB428" s="114">
        <f>AA428-AC428</f>
        <v>0</v>
      </c>
      <c r="AC428" s="114">
        <f>AC429+AC436+AC442+AC448+AC454+AC460+AC466+AC472+AC478+AC484+AC490+AC496+AC502</f>
        <v>0</v>
      </c>
      <c r="AD428" s="114">
        <f>VLOOKUP($C428,'1 预算编制表单'!$C:$BJ,33,FALSE)</f>
        <v>0</v>
      </c>
      <c r="AE428" s="114">
        <f>AD428-AF428</f>
        <v>0</v>
      </c>
      <c r="AF428" s="114">
        <f>AF429+AF436+AF442+AF448+AF454+AF460+AF466+AF472+AF478+AF484+AF490+AF496+AF502</f>
        <v>0</v>
      </c>
      <c r="AG428" s="114">
        <f>VLOOKUP($C428,'1 预算编制表单'!$C:$BJ,36,FALSE)</f>
        <v>0</v>
      </c>
      <c r="AH428" s="114">
        <f>AG428-AI428</f>
        <v>0</v>
      </c>
      <c r="AI428" s="114">
        <f>AI429+AI436+AI442+AI448+AI454+AI460+AI466+AI472+AI478+AI484+AI490+AI496+AI502</f>
        <v>0</v>
      </c>
      <c r="AJ428" s="114">
        <f>VLOOKUP($C428,'1 预算编制表单'!$C:$BJ,39,FALSE)</f>
        <v>0</v>
      </c>
      <c r="AK428" s="114">
        <f>AJ428-AL428</f>
        <v>0</v>
      </c>
      <c r="AL428" s="114">
        <f>AL429+AL436+AL442+AL448+AL454+AL460+AL466+AL472+AL478+AL484+AL490+AL496+AL502</f>
        <v>0</v>
      </c>
      <c r="AM428" s="114">
        <f>VLOOKUP($C428,'1 预算编制表单'!$C:$BJ,42,FALSE)</f>
        <v>0</v>
      </c>
      <c r="AN428" s="114">
        <f>AM428-AO428</f>
        <v>0</v>
      </c>
      <c r="AO428" s="114">
        <f>AO429+AO436+AO442+AO448+AO454+AO460+AO466+AO472+AO478+AO484+AO490+AO496+AO502</f>
        <v>0</v>
      </c>
      <c r="AP428" s="114">
        <f>VLOOKUP($C428,'1 预算编制表单'!$C:$BJ,45,FALSE)</f>
        <v>0</v>
      </c>
      <c r="AQ428" s="114">
        <f>AP428-AR428</f>
        <v>0</v>
      </c>
      <c r="AR428" s="114">
        <f>AR429+AR436+AR442+AR448+AR454+AR460+AR466+AR472+AR478+AR484+AR490+AR496+AR502</f>
        <v>0</v>
      </c>
      <c r="AS428" s="114">
        <f>VLOOKUP($C428,'1 预算编制表单'!$C:$BJ,48,FALSE)</f>
        <v>0</v>
      </c>
      <c r="AT428" s="114">
        <f>AS428-AU428</f>
        <v>0</v>
      </c>
      <c r="AU428" s="114">
        <f>AU429+AU436+AU442+AU448+AU454+AU460+AU466+AU472+AU478+AU484+AU490+AU496+AU502</f>
        <v>0</v>
      </c>
      <c r="AV428" s="114">
        <f>VLOOKUP($C428,'1 预算编制表单'!$C:$BJ,51,FALSE)</f>
        <v>0</v>
      </c>
      <c r="AW428" s="114">
        <f>AV428-AX428</f>
        <v>0</v>
      </c>
      <c r="AX428" s="114">
        <f>AX429+AX436+AX442+AX448+AX454+AX460+AX466+AX472+AX478+AX484+AX490+AX496+AX502</f>
        <v>0</v>
      </c>
      <c r="AY428" s="114">
        <f>VLOOKUP($C428,'1 预算编制表单'!$C:$BJ,54,FALSE)</f>
        <v>0</v>
      </c>
      <c r="AZ428" s="114">
        <f>AY428-BA428</f>
        <v>0</v>
      </c>
      <c r="BA428" s="114">
        <f>BA429+BA436+BA442+BA448+BA454+BA460+BA466+BA472+BA478+BA484+BA490+BA496+BA502</f>
        <v>0</v>
      </c>
      <c r="BB428" s="114">
        <f>VLOOKUP($C428,'1 预算编制表单'!$C:$BJ,57,FALSE)</f>
        <v>0</v>
      </c>
      <c r="BC428" s="114">
        <f>BB428-BD428</f>
        <v>0</v>
      </c>
      <c r="BD428" s="114">
        <f>BD429+BD436+BD442+BD448+BD454+BD460+BD466+BD472+BD478+BD484+BD490+BD496+BD502</f>
        <v>0</v>
      </c>
      <c r="BE428" s="114">
        <f>VLOOKUP($C428,'1 预算编制表单'!$C:$BJ,60,FALSE)</f>
        <v>0</v>
      </c>
      <c r="BF428" s="114">
        <f>BE428-BG428</f>
        <v>0</v>
      </c>
      <c r="BG428" s="114">
        <f>BG429+BG436+BG442+BG448+BG454+BG460+BG466+BG472+BG478+BG484+BG490+BG496+BG502</f>
        <v>0</v>
      </c>
      <c r="BH428" s="114">
        <f>VLOOKUP($C428,'1 预算编制表单'!$C:$BJ,27,FALSE)</f>
        <v>0</v>
      </c>
      <c r="BI428" s="114">
        <f>BH428-BJ428</f>
        <v>0</v>
      </c>
      <c r="BJ428" s="114">
        <f>BJ429+BJ436+BJ442+BJ448+BJ454+BJ460+BJ466+BJ472+BJ478+BJ484+BJ490+BJ496+BJ502</f>
        <v>0</v>
      </c>
      <c r="BK428" s="114">
        <f>VLOOKUP($C428,'1 预算编制表单'!$C:$BJ,30,FALSE)</f>
        <v>0</v>
      </c>
      <c r="BL428" s="114">
        <f>BK428-BM428</f>
        <v>0</v>
      </c>
      <c r="BM428" s="114">
        <f>BM429+BM436+BM442+BM448+BM454+BM460+BM466+BM472+BM478+BM484+BM490+BM496+BM502</f>
        <v>0</v>
      </c>
      <c r="BN428" s="114">
        <f>VLOOKUP($C428,'1 预算编制表单'!$C:$BJ,33,FALSE)</f>
        <v>0</v>
      </c>
      <c r="BO428" s="114">
        <f>BN428-BP428</f>
        <v>0</v>
      </c>
      <c r="BP428" s="114">
        <f>BP429+BP436+BP442+BP448+BP454+BP460+BP466+BP472+BP478+BP484+BP490+BP496+BP502</f>
        <v>0</v>
      </c>
      <c r="BQ428" s="114">
        <f>VLOOKUP($C428,'1 预算编制表单'!$C:$BJ,36,FALSE)</f>
        <v>0</v>
      </c>
      <c r="BR428" s="114">
        <f>BQ428-BS428</f>
        <v>0</v>
      </c>
      <c r="BS428" s="114">
        <f>BS429+BS436+BS442+BS448+BS454+BS460+BS466+BS472+BS478+BS484+BS490+BS496+BS502</f>
        <v>0</v>
      </c>
      <c r="BT428" s="114">
        <f>VLOOKUP($C428,'1 预算编制表单'!$C:$BJ,39,FALSE)</f>
        <v>0</v>
      </c>
      <c r="BU428" s="114">
        <f>BT428-BV428</f>
        <v>0</v>
      </c>
      <c r="BV428" s="114">
        <f>BV429+BV436+BV442+BV448+BV454+BV460+BV466+BV472+BV478+BV484+BV490+BV496+BV502</f>
        <v>0</v>
      </c>
      <c r="BW428" s="114">
        <f>VLOOKUP($C428,'1 预算编制表单'!$C:$BJ,42,FALSE)</f>
        <v>0</v>
      </c>
      <c r="BX428" s="114">
        <f>BW428-BY428</f>
        <v>0</v>
      </c>
      <c r="BY428" s="114">
        <f>BY429+BY436+BY442+BY448+BY454+BY460+BY466+BY472+BY478+BY484+BY490+BY496+BY502</f>
        <v>0</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hidden="1" customHeight="1" outlineLevel="2" collapsed="1" spans="1:95">
      <c r="A429" s="48"/>
      <c r="B429" s="115" t="s">
        <v>747</v>
      </c>
      <c r="C429" s="116" t="s">
        <v>1372</v>
      </c>
      <c r="D429" s="48" t="s">
        <v>1373</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hidden="1" customHeight="1" outlineLevel="3" spans="1:95">
      <c r="A430" s="122"/>
      <c r="B430" s="123"/>
      <c r="C430" s="124" t="s">
        <v>1374</v>
      </c>
      <c r="D430" s="122" t="s">
        <v>2789</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hidden="1" customHeight="1" outlineLevel="3" spans="1:95">
      <c r="A431" s="122"/>
      <c r="B431" s="123"/>
      <c r="C431" s="124"/>
      <c r="D431" s="122"/>
      <c r="E431" s="123"/>
      <c r="F431" s="123"/>
      <c r="G431" s="123"/>
      <c r="H431" s="125"/>
      <c r="I431" s="125"/>
      <c r="J431" s="125">
        <f t="shared" si="4646"/>
        <v>0</v>
      </c>
      <c r="K431" s="125">
        <f>K430+1</f>
        <v>1</v>
      </c>
      <c r="L431" s="150" t="s">
        <v>2790</v>
      </c>
      <c r="M431" s="151">
        <f>IFERROR(VLOOKUP($L431,'2-2 引出数据_合同数据仓库'!$B$5:$BP$20,3,FALSE),0)</f>
        <v>0</v>
      </c>
      <c r="N431" s="125"/>
      <c r="O431" s="151">
        <f>IFERROR(VLOOKUP((LEFT(VLOOKUP($L431,'2-2 引出数据_合同数据仓库'!$B$5:$BP$20,64,FALSE),15)&amp;(RIGHT(VLOOKUP($L431,'2-2 引出数据_合同数据仓库'!$B$5:$BP$20,64,FALSE),4)+1)),'2-2 引出数据_合同数据仓库'!$B$5:$BP$20,3,FALSE),0)</f>
        <v>0</v>
      </c>
      <c r="P431" s="125"/>
      <c r="Q431" s="125">
        <f>IFERROR(VLOOKUP($L431,'2-2 引出数据_合同数据仓库'!$B$5:$BP$20,28,FALSE),0)</f>
        <v>0</v>
      </c>
      <c r="R431" s="125">
        <f>IFERROR(VLOOKUP($L431,'2-2 引出数据_合同数据仓库'!$B$5:$BP$20,29,FALSE),0)</f>
        <v>0</v>
      </c>
      <c r="S431" s="125">
        <f>IFERROR(VLOOKUP($L431,'2-2 引出数据_合同数据仓库'!$B$5:$BP$20,4,FALSE),0)</f>
        <v>0</v>
      </c>
      <c r="T431" s="125"/>
      <c r="U431" s="125">
        <f>IFERROR(VLOOKUP($L431,'2-2 引出数据_合同数据仓库'!$B$5:$BP$20,15,FALSE),0)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hidden="1" customHeight="1" outlineLevel="3" spans="1:95">
      <c r="A432" s="122"/>
      <c r="B432" s="123"/>
      <c r="C432" s="124"/>
      <c r="D432" s="122"/>
      <c r="E432" s="123"/>
      <c r="F432" s="123"/>
      <c r="G432" s="123"/>
      <c r="H432" s="125"/>
      <c r="I432" s="125"/>
      <c r="J432" s="125">
        <f t="shared" si="4646"/>
        <v>0</v>
      </c>
      <c r="K432" s="125">
        <f>K431+1</f>
        <v>2</v>
      </c>
      <c r="L432" s="150" t="s">
        <v>2791</v>
      </c>
      <c r="M432" s="151">
        <f>IFERROR(VLOOKUP($L432,'2-2 引出数据_合同数据仓库'!$B$5:$BP$20,3,FALSE),0)</f>
        <v>0</v>
      </c>
      <c r="N432" s="125"/>
      <c r="O432" s="151">
        <f>IFERROR(VLOOKUP((LEFT(VLOOKUP($L432,'2-2 引出数据_合同数据仓库'!$B$5:$BP$20,64,FALSE),15)&amp;(RIGHT(VLOOKUP($L432,'2-2 引出数据_合同数据仓库'!$B$5:$BP$20,64,FALSE),4)+1)),'2-2 引出数据_合同数据仓库'!$B$5:$BP$20,3,FALSE),0)</f>
        <v>0</v>
      </c>
      <c r="P432" s="125"/>
      <c r="Q432" s="125">
        <f>IFERROR(VLOOKUP($L432,'2-2 引出数据_合同数据仓库'!$B$5:$BP$20,28,FALSE),0)</f>
        <v>0</v>
      </c>
      <c r="R432" s="125">
        <f>IFERROR(VLOOKUP($L432,'2-2 引出数据_合同数据仓库'!$B$5:$BP$20,29,FALSE),0)</f>
        <v>0</v>
      </c>
      <c r="S432" s="125">
        <f>IFERROR(VLOOKUP($L432,'2-2 引出数据_合同数据仓库'!$B$5:$BP$20,4,FALSE),0)</f>
        <v>0</v>
      </c>
      <c r="T432" s="125"/>
      <c r="U432" s="125">
        <f>IFERROR(VLOOKUP($L432,'2-2 引出数据_合同数据仓库'!$B$5:$BP$20,15,FALSE),0)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hidden="1" customHeight="1" outlineLevel="3" spans="1:95">
      <c r="A433" s="122"/>
      <c r="B433" s="123"/>
      <c r="C433" s="124"/>
      <c r="D433" s="122"/>
      <c r="E433" s="123"/>
      <c r="F433" s="123"/>
      <c r="G433" s="123"/>
      <c r="H433" s="125"/>
      <c r="I433" s="125"/>
      <c r="J433" s="125">
        <f t="shared" si="4646"/>
        <v>0</v>
      </c>
      <c r="K433" s="125">
        <f>K432+1</f>
        <v>3</v>
      </c>
      <c r="L433" s="150" t="s">
        <v>2792</v>
      </c>
      <c r="M433" s="151">
        <f>IFERROR(VLOOKUP($L433,'2-2 引出数据_合同数据仓库'!$B$5:$BP$20,3,FALSE),0)</f>
        <v>0</v>
      </c>
      <c r="N433" s="125"/>
      <c r="O433" s="151">
        <f>IFERROR(VLOOKUP((LEFT(VLOOKUP($L433,'2-2 引出数据_合同数据仓库'!$B$5:$BP$20,64,FALSE),15)&amp;(RIGHT(VLOOKUP($L433,'2-2 引出数据_合同数据仓库'!$B$5:$BP$20,64,FALSE),4)+1)),'2-2 引出数据_合同数据仓库'!$B$5:$BP$20,3,FALSE),0)</f>
        <v>0</v>
      </c>
      <c r="P433" s="125"/>
      <c r="Q433" s="125">
        <f>IFERROR(VLOOKUP($L433,'2-2 引出数据_合同数据仓库'!$B$5:$BP$20,28,FALSE),0)</f>
        <v>0</v>
      </c>
      <c r="R433" s="125">
        <f>IFERROR(VLOOKUP($L433,'2-2 引出数据_合同数据仓库'!$B$5:$BP$20,29,FALSE),0)</f>
        <v>0</v>
      </c>
      <c r="S433" s="125">
        <f>IFERROR(VLOOKUP($L433,'2-2 引出数据_合同数据仓库'!$B$5:$BP$20,4,FALSE),0)</f>
        <v>0</v>
      </c>
      <c r="T433" s="125"/>
      <c r="U433" s="125">
        <f>IFERROR(VLOOKUP($L433,'2-2 引出数据_合同数据仓库'!$B$5:$BP$20,15,FALSE),0)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hidden="1" customHeight="1" outlineLevel="3" collapsed="1" spans="1:95">
      <c r="A434" s="122"/>
      <c r="B434" s="123"/>
      <c r="C434" s="124"/>
      <c r="D434" s="122"/>
      <c r="E434" s="123"/>
      <c r="F434" s="123"/>
      <c r="G434" s="123"/>
      <c r="H434" s="125"/>
      <c r="I434" s="125"/>
      <c r="J434" s="125">
        <f t="shared" si="4646"/>
        <v>0</v>
      </c>
      <c r="K434" s="125">
        <f>K432+1</f>
        <v>3</v>
      </c>
      <c r="L434" s="150" t="s">
        <v>2793</v>
      </c>
      <c r="M434" s="151">
        <f>IFERROR(VLOOKUP($L434,'2-2 引出数据_合同数据仓库'!$B$5:$BP$20,3,FALSE),0)</f>
        <v>0</v>
      </c>
      <c r="N434" s="125"/>
      <c r="O434" s="151">
        <f>IFERROR(VLOOKUP((LEFT(VLOOKUP($L434,'2-2 引出数据_合同数据仓库'!$B$5:$BP$20,64,FALSE),15)&amp;(RIGHT(VLOOKUP($L434,'2-2 引出数据_合同数据仓库'!$B$5:$BP$20,64,FALSE),4)+1)),'2-2 引出数据_合同数据仓库'!$B$5:$BP$20,3,FALSE),0)</f>
        <v>0</v>
      </c>
      <c r="P434" s="125"/>
      <c r="Q434" s="125">
        <f>IFERROR(VLOOKUP($L434,'2-2 引出数据_合同数据仓库'!$B$5:$BP$20,28,FALSE),0)</f>
        <v>0</v>
      </c>
      <c r="R434" s="125">
        <f>IFERROR(VLOOKUP($L434,'2-2 引出数据_合同数据仓库'!$B$5:$BP$20,29,FALSE),0)</f>
        <v>0</v>
      </c>
      <c r="S434" s="125">
        <f>IFERROR(VLOOKUP($L434,'2-2 引出数据_合同数据仓库'!$B$5:$BP$20,4,FALSE),0)</f>
        <v>0</v>
      </c>
      <c r="T434" s="125"/>
      <c r="U434" s="125">
        <f>IFERROR(VLOOKUP($L434,'2-2 引出数据_合同数据仓库'!$B$5:$BP$20,15,FALSE),0)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hidden="1" customHeight="1" outlineLevel="4" spans="1:95">
      <c r="A435" s="126" t="s">
        <v>2770</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hidden="1" customHeight="1" outlineLevel="2" collapsed="1" spans="1:95">
      <c r="A436" s="48"/>
      <c r="B436" s="115" t="s">
        <v>747</v>
      </c>
      <c r="C436" s="116" t="s">
        <v>1387</v>
      </c>
      <c r="D436" s="48" t="s">
        <v>1388</v>
      </c>
      <c r="E436" s="115"/>
      <c r="F436" s="115"/>
      <c r="G436" s="115" t="s">
        <v>891</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hidden="1"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引出数据_合同数据仓库'!$B$5:$BP$20,3,FALSE),0)</f>
        <v>0</v>
      </c>
      <c r="N437" s="125"/>
      <c r="O437" s="151">
        <f>IFERROR(VLOOKUP((LEFT(VLOOKUP($L437,'2-2 引出数据_合同数据仓库'!$B$5:$BP$20,64,FALSE),15)&amp;(RIGHT(VLOOKUP($L437,'2-2 引出数据_合同数据仓库'!$B$5:$BP$20,64,FALSE),4)+1)),'2-2 引出数据_合同数据仓库'!$B$5:$BP$20,3,FALSE),0)</f>
        <v>0</v>
      </c>
      <c r="P437" s="125"/>
      <c r="Q437" s="125">
        <f>IFERROR(VLOOKUP($L437,'2-2 引出数据_合同数据仓库'!$B$5:$BP$20,28,FALSE),0)</f>
        <v>0</v>
      </c>
      <c r="R437" s="125">
        <f>IFERROR(VLOOKUP($L437,'2-2 引出数据_合同数据仓库'!$B$5:$BP$20,29,FALSE),0)</f>
        <v>0</v>
      </c>
      <c r="S437" s="125">
        <f>IFERROR(VLOOKUP($L437,'2-2 引出数据_合同数据仓库'!$B$5:$BP$20,4,FALSE),0)</f>
        <v>0</v>
      </c>
      <c r="T437" s="125"/>
      <c r="U437" s="125">
        <f>IFERROR(VLOOKUP($L437,'2-2 引出数据_合同数据仓库'!$B$5:$BP$20,15,FALSE),0)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hidden="1"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引出数据_合同数据仓库'!$B$5:$BP$20,3,FALSE),0)</f>
        <v>0</v>
      </c>
      <c r="N438" s="125"/>
      <c r="O438" s="151">
        <f>IFERROR(VLOOKUP((LEFT(VLOOKUP($L438,'2-2 引出数据_合同数据仓库'!$B$5:$BP$20,64,FALSE),15)&amp;(RIGHT(VLOOKUP($L438,'2-2 引出数据_合同数据仓库'!$B$5:$BP$20,64,FALSE),4)+1)),'2-2 引出数据_合同数据仓库'!$B$5:$BP$20,3,FALSE),0)</f>
        <v>0</v>
      </c>
      <c r="P438" s="125"/>
      <c r="Q438" s="125">
        <f>IFERROR(VLOOKUP($L438,'2-2 引出数据_合同数据仓库'!$B$5:$BP$20,28,FALSE),0)</f>
        <v>0</v>
      </c>
      <c r="R438" s="125">
        <f>IFERROR(VLOOKUP($L438,'2-2 引出数据_合同数据仓库'!$B$5:$BP$20,29,FALSE),0)</f>
        <v>0</v>
      </c>
      <c r="S438" s="125">
        <f>IFERROR(VLOOKUP($L438,'2-2 引出数据_合同数据仓库'!$B$5:$BP$20,4,FALSE),0)</f>
        <v>0</v>
      </c>
      <c r="T438" s="125"/>
      <c r="U438" s="125">
        <f>IFERROR(VLOOKUP($L438,'2-2 引出数据_合同数据仓库'!$B$5:$BP$20,15,FALSE),0)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hidden="1"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引出数据_合同数据仓库'!$B$5:$BP$20,3,FALSE),0)</f>
        <v>0</v>
      </c>
      <c r="N439" s="125"/>
      <c r="O439" s="151">
        <f>IFERROR(VLOOKUP((LEFT(VLOOKUP($L439,'2-2 引出数据_合同数据仓库'!$B$5:$BP$20,64,FALSE),15)&amp;(RIGHT(VLOOKUP($L439,'2-2 引出数据_合同数据仓库'!$B$5:$BP$20,64,FALSE),4)+1)),'2-2 引出数据_合同数据仓库'!$B$5:$BP$20,3,FALSE),0)</f>
        <v>0</v>
      </c>
      <c r="P439" s="125"/>
      <c r="Q439" s="125">
        <f>IFERROR(VLOOKUP($L439,'2-2 引出数据_合同数据仓库'!$B$5:$BP$20,28,FALSE),0)</f>
        <v>0</v>
      </c>
      <c r="R439" s="125">
        <f>IFERROR(VLOOKUP($L439,'2-2 引出数据_合同数据仓库'!$B$5:$BP$20,29,FALSE),0)</f>
        <v>0</v>
      </c>
      <c r="S439" s="125">
        <f>IFERROR(VLOOKUP($L439,'2-2 引出数据_合同数据仓库'!$B$5:$BP$20,4,FALSE),0)</f>
        <v>0</v>
      </c>
      <c r="T439" s="125"/>
      <c r="U439" s="125">
        <f>IFERROR(VLOOKUP($L439,'2-2 引出数据_合同数据仓库'!$B$5:$BP$20,15,FALSE),0)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hidden="1" customHeight="1" outlineLevel="3" collapsed="1"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引出数据_合同数据仓库'!$B$5:$BP$20,3,FALSE),0)</f>
        <v>0</v>
      </c>
      <c r="N440" s="125"/>
      <c r="O440" s="151">
        <f>IFERROR(VLOOKUP((LEFT(VLOOKUP($L440,'2-2 引出数据_合同数据仓库'!$B$5:$BP$20,64,FALSE),15)&amp;(RIGHT(VLOOKUP($L440,'2-2 引出数据_合同数据仓库'!$B$5:$BP$20,64,FALSE),4)+1)),'2-2 引出数据_合同数据仓库'!$B$5:$BP$20,3,FALSE),0)</f>
        <v>0</v>
      </c>
      <c r="P440" s="125"/>
      <c r="Q440" s="125">
        <f>IFERROR(VLOOKUP($L440,'2-2 引出数据_合同数据仓库'!$B$5:$BP$20,28,FALSE),0)</f>
        <v>0</v>
      </c>
      <c r="R440" s="125">
        <f>IFERROR(VLOOKUP($L440,'2-2 引出数据_合同数据仓库'!$B$5:$BP$20,29,FALSE),0)</f>
        <v>0</v>
      </c>
      <c r="S440" s="125">
        <f>IFERROR(VLOOKUP($L440,'2-2 引出数据_合同数据仓库'!$B$5:$BP$20,4,FALSE),0)</f>
        <v>0</v>
      </c>
      <c r="T440" s="125"/>
      <c r="U440" s="125">
        <f>IFERROR(VLOOKUP($L440,'2-2 引出数据_合同数据仓库'!$B$5:$BP$20,15,FALSE),0)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hidden="1" customHeight="1" outlineLevel="4" spans="1:95">
      <c r="A441" s="126" t="s">
        <v>2770</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hidden="1" customHeight="1" outlineLevel="2" collapsed="1" spans="1:95">
      <c r="A442" s="48"/>
      <c r="B442" s="115" t="s">
        <v>747</v>
      </c>
      <c r="C442" s="116" t="s">
        <v>1389</v>
      </c>
      <c r="D442" s="48" t="s">
        <v>1390</v>
      </c>
      <c r="E442" s="115"/>
      <c r="F442" s="115"/>
      <c r="G442" s="115"/>
      <c r="H442" s="117">
        <f>X442+AA442+AD442+AG442+AJ442+AM442+AP442+AS442+AV442+AY442+BB442+BE442</f>
        <v>0</v>
      </c>
      <c r="I442" s="117">
        <f>Y442+AB442+AE442+AH442+AK442+AN442+AQ442+AT442+AW442+AZ442+BC442+BF442</f>
        <v>0</v>
      </c>
      <c r="J442" s="117">
        <f>Z442+AC442+AF442+AI442+AL442+AO442+AR442+AU442+AX442+BA442+BD442+BG442</f>
        <v>0</v>
      </c>
      <c r="K442" s="117"/>
      <c r="L442" s="148"/>
      <c r="M442" s="148"/>
      <c r="N442" s="117"/>
      <c r="O442" s="117"/>
      <c r="P442" s="117"/>
      <c r="Q442" s="117"/>
      <c r="R442" s="117"/>
      <c r="S442" s="117"/>
      <c r="T442" s="117"/>
      <c r="U442" s="117"/>
      <c r="V442" s="117"/>
      <c r="W442" s="117"/>
      <c r="X442" s="117">
        <f>VLOOKUP($C442,'1 预算编制表单'!$C:$BJ,27,FALSE)</f>
        <v>0</v>
      </c>
      <c r="Y442" s="117">
        <f>X442-Z442</f>
        <v>0</v>
      </c>
      <c r="Z442" s="117">
        <f>SUM(Z443:Z447)</f>
        <v>0</v>
      </c>
      <c r="AA442" s="117">
        <f>VLOOKUP($C442,'1 预算编制表单'!$C:$BJ,30,FALSE)</f>
        <v>0</v>
      </c>
      <c r="AB442" s="117">
        <f>AA442-AC442</f>
        <v>0</v>
      </c>
      <c r="AC442" s="117">
        <f>SUM(AC443:AC447)</f>
        <v>0</v>
      </c>
      <c r="AD442" s="117">
        <f>VLOOKUP($C442,'1 预算编制表单'!$C:$BJ,33,FALSE)</f>
        <v>0</v>
      </c>
      <c r="AE442" s="117">
        <f>AD442-AF442</f>
        <v>0</v>
      </c>
      <c r="AF442" s="117">
        <f>SUM(AF443:AF447)</f>
        <v>0</v>
      </c>
      <c r="AG442" s="117">
        <f>VLOOKUP($C442,'1 预算编制表单'!$C:$BJ,36,FALSE)</f>
        <v>0</v>
      </c>
      <c r="AH442" s="117">
        <f>AG442-AI442</f>
        <v>0</v>
      </c>
      <c r="AI442" s="117">
        <f>SUM(AI443:AI447)</f>
        <v>0</v>
      </c>
      <c r="AJ442" s="117">
        <f>VLOOKUP($C442,'1 预算编制表单'!$C:$BJ,39,FALSE)</f>
        <v>0</v>
      </c>
      <c r="AK442" s="117">
        <f>AJ442-AL442</f>
        <v>0</v>
      </c>
      <c r="AL442" s="117">
        <f>SUM(AL443:AL447)</f>
        <v>0</v>
      </c>
      <c r="AM442" s="117">
        <f>VLOOKUP($C442,'1 预算编制表单'!$C:$BJ,42,FALSE)</f>
        <v>0</v>
      </c>
      <c r="AN442" s="117">
        <f>AM442-AO442</f>
        <v>0</v>
      </c>
      <c r="AO442" s="117">
        <f>SUM(AO443:AO447)</f>
        <v>0</v>
      </c>
      <c r="AP442" s="117">
        <f>VLOOKUP($C442,'1 预算编制表单'!$C:$BJ,45,FALSE)</f>
        <v>0</v>
      </c>
      <c r="AQ442" s="117">
        <f>AP442-AR442</f>
        <v>0</v>
      </c>
      <c r="AR442" s="117">
        <f>SUM(AR443:AR447)</f>
        <v>0</v>
      </c>
      <c r="AS442" s="117">
        <f>VLOOKUP($C442,'1 预算编制表单'!$C:$BJ,48,FALSE)</f>
        <v>0</v>
      </c>
      <c r="AT442" s="117">
        <f>AS442-AU442</f>
        <v>0</v>
      </c>
      <c r="AU442" s="117">
        <f>SUM(AU443:AU447)</f>
        <v>0</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hidden="1" customHeight="1" outlineLevel="3" spans="1:95">
      <c r="A443" s="122"/>
      <c r="B443" s="123"/>
      <c r="C443" s="124"/>
      <c r="D443" s="122"/>
      <c r="E443" s="123"/>
      <c r="F443" s="123"/>
      <c r="G443" s="123"/>
      <c r="H443" s="125"/>
      <c r="I443" s="125"/>
      <c r="J443" s="125">
        <f>Z443+AC443+AF443+AI443+AL443+AO443+AR443+AU443+AX443+BA443+BD443+BG443</f>
        <v>0</v>
      </c>
      <c r="K443" s="125">
        <v>1</v>
      </c>
      <c r="L443" s="150"/>
      <c r="M443" s="151">
        <f>IFERROR(VLOOKUP($L443,'2-2 引出数据_合同数据仓库'!$B$5:$BP$20,3,FALSE),0)</f>
        <v>0</v>
      </c>
      <c r="N443" s="125"/>
      <c r="O443" s="151">
        <f>IFERROR(VLOOKUP((LEFT(VLOOKUP($L443,'2-2 引出数据_合同数据仓库'!$B$5:$BP$20,64,FALSE),15)&amp;(RIGHT(VLOOKUP($L443,'2-2 引出数据_合同数据仓库'!$B$5:$BP$20,64,FALSE),4)+1)),'2-2 引出数据_合同数据仓库'!$B$5:$BP$20,3,FALSE),0)</f>
        <v>0</v>
      </c>
      <c r="P443" s="125"/>
      <c r="Q443" s="125">
        <f>IFERROR(VLOOKUP($L443,'2-2 引出数据_合同数据仓库'!$B$5:$BP$20,28,FALSE),0)</f>
        <v>0</v>
      </c>
      <c r="R443" s="125">
        <f>IFERROR(VLOOKUP($L443,'2-2 引出数据_合同数据仓库'!$B$5:$BP$20,29,FALSE),0)</f>
        <v>0</v>
      </c>
      <c r="S443" s="125">
        <f>IFERROR(VLOOKUP($L443,'2-2 引出数据_合同数据仓库'!$B$5:$BP$20,4,FALSE),0)</f>
        <v>0</v>
      </c>
      <c r="T443" s="125"/>
      <c r="U443" s="125">
        <f>IFERROR(VLOOKUP($L443,'2-2 引出数据_合同数据仓库'!$B$5:$BP$20,15,FALSE),0)</f>
        <v>0</v>
      </c>
      <c r="V443" s="125">
        <f t="shared" ref="V443:V446" si="5151">U443/(S443-R443+1)*365</f>
        <v>0</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0</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0</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0</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0</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0</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0</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0</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0</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hidden="1"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引出数据_合同数据仓库'!$B$5:$BP$20,3,FALSE),0)</f>
        <v>0</v>
      </c>
      <c r="N444" s="125"/>
      <c r="O444" s="151">
        <f>IFERROR(VLOOKUP((LEFT(VLOOKUP($L444,'2-2 引出数据_合同数据仓库'!$B$5:$BP$20,64,FALSE),15)&amp;(RIGHT(VLOOKUP($L444,'2-2 引出数据_合同数据仓库'!$B$5:$BP$20,64,FALSE),4)+1)),'2-2 引出数据_合同数据仓库'!$B$5:$BP$20,3,FALSE),0)</f>
        <v>0</v>
      </c>
      <c r="P444" s="125"/>
      <c r="Q444" s="125">
        <f>IFERROR(VLOOKUP($L444,'2-2 引出数据_合同数据仓库'!$B$5:$BP$20,28,FALSE),0)</f>
        <v>0</v>
      </c>
      <c r="R444" s="125">
        <f>IFERROR(VLOOKUP($L444,'2-2 引出数据_合同数据仓库'!$B$5:$BP$20,29,FALSE),0)</f>
        <v>0</v>
      </c>
      <c r="S444" s="125">
        <f>IFERROR(VLOOKUP($L444,'2-2 引出数据_合同数据仓库'!$B$5:$BP$20,4,FALSE),0)</f>
        <v>0</v>
      </c>
      <c r="T444" s="125"/>
      <c r="U444" s="125">
        <f>IFERROR(VLOOKUP($L444,'2-2 引出数据_合同数据仓库'!$B$5:$BP$20,15,FALSE),0)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hidden="1"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引出数据_合同数据仓库'!$B$5:$BP$20,3,FALSE),0)</f>
        <v>0</v>
      </c>
      <c r="N445" s="125"/>
      <c r="O445" s="151">
        <f>IFERROR(VLOOKUP((LEFT(VLOOKUP($L445,'2-2 引出数据_合同数据仓库'!$B$5:$BP$20,64,FALSE),15)&amp;(RIGHT(VLOOKUP($L445,'2-2 引出数据_合同数据仓库'!$B$5:$BP$20,64,FALSE),4)+1)),'2-2 引出数据_合同数据仓库'!$B$5:$BP$20,3,FALSE),0)</f>
        <v>0</v>
      </c>
      <c r="P445" s="125"/>
      <c r="Q445" s="125">
        <f>IFERROR(VLOOKUP($L445,'2-2 引出数据_合同数据仓库'!$B$5:$BP$20,28,FALSE),0)</f>
        <v>0</v>
      </c>
      <c r="R445" s="125">
        <f>IFERROR(VLOOKUP($L445,'2-2 引出数据_合同数据仓库'!$B$5:$BP$20,29,FALSE),0)</f>
        <v>0</v>
      </c>
      <c r="S445" s="125">
        <f>IFERROR(VLOOKUP($L445,'2-2 引出数据_合同数据仓库'!$B$5:$BP$20,4,FALSE),0)</f>
        <v>0</v>
      </c>
      <c r="T445" s="125"/>
      <c r="U445" s="125">
        <f>IFERROR(VLOOKUP($L445,'2-2 引出数据_合同数据仓库'!$B$5:$BP$20,15,FALSE),0)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hidden="1" customHeight="1" outlineLevel="3" collapsed="1"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引出数据_合同数据仓库'!$B$5:$BP$20,3,FALSE),0)</f>
        <v>0</v>
      </c>
      <c r="N446" s="125"/>
      <c r="O446" s="151">
        <f>IFERROR(VLOOKUP((LEFT(VLOOKUP($L446,'2-2 引出数据_合同数据仓库'!$B$5:$BP$20,64,FALSE),15)&amp;(RIGHT(VLOOKUP($L446,'2-2 引出数据_合同数据仓库'!$B$5:$BP$20,64,FALSE),4)+1)),'2-2 引出数据_合同数据仓库'!$B$5:$BP$20,3,FALSE),0)</f>
        <v>0</v>
      </c>
      <c r="P446" s="125"/>
      <c r="Q446" s="125">
        <f>IFERROR(VLOOKUP($L446,'2-2 引出数据_合同数据仓库'!$B$5:$BP$20,28,FALSE),0)</f>
        <v>0</v>
      </c>
      <c r="R446" s="125">
        <f>IFERROR(VLOOKUP($L446,'2-2 引出数据_合同数据仓库'!$B$5:$BP$20,29,FALSE),0)</f>
        <v>0</v>
      </c>
      <c r="S446" s="125">
        <f>IFERROR(VLOOKUP($L446,'2-2 引出数据_合同数据仓库'!$B$5:$BP$20,4,FALSE),0)</f>
        <v>0</v>
      </c>
      <c r="T446" s="125"/>
      <c r="U446" s="125">
        <f>IFERROR(VLOOKUP($L446,'2-2 引出数据_合同数据仓库'!$B$5:$BP$20,15,FALSE),0)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hidden="1" customHeight="1" outlineLevel="4" spans="1:95">
      <c r="A447" s="126" t="s">
        <v>2770</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hidden="1" customHeight="1" outlineLevel="2" collapsed="1" spans="1:95">
      <c r="A448" s="48"/>
      <c r="B448" s="115" t="s">
        <v>747</v>
      </c>
      <c r="C448" s="116" t="s">
        <v>1445</v>
      </c>
      <c r="D448" s="48" t="s">
        <v>1446</v>
      </c>
      <c r="E448" s="115"/>
      <c r="F448" s="115"/>
      <c r="G448" s="115"/>
      <c r="H448" s="117">
        <f>X448+AA448+AD448+AG448+AJ448+AM448+AP448+AS448+AV448+AY448+BB448+BE448</f>
        <v>0</v>
      </c>
      <c r="I448" s="117">
        <f>Y448+AB448+AE448+AH448+AK448+AN448+AQ448+AT448+AW448+AZ448+BC448+BF448</f>
        <v>0</v>
      </c>
      <c r="J448" s="117">
        <f>Z448+AC448+AF448+AI448+AL448+AO448+AR448+AU448+AX448+BA448+BD448+BG448</f>
        <v>0</v>
      </c>
      <c r="K448" s="117"/>
      <c r="L448" s="148"/>
      <c r="M448" s="148"/>
      <c r="N448" s="117"/>
      <c r="O448" s="117"/>
      <c r="P448" s="117"/>
      <c r="Q448" s="117"/>
      <c r="R448" s="117"/>
      <c r="S448" s="117"/>
      <c r="T448" s="117"/>
      <c r="U448" s="117"/>
      <c r="V448" s="117"/>
      <c r="W448" s="117"/>
      <c r="X448" s="117">
        <f>VLOOKUP($C448,'1 预算编制表单'!$C:$BJ,27,FALSE)</f>
        <v>0</v>
      </c>
      <c r="Y448" s="117">
        <f>X448-Z448</f>
        <v>0</v>
      </c>
      <c r="Z448" s="117">
        <f>SUM(Z449:Z453)</f>
        <v>0</v>
      </c>
      <c r="AA448" s="117">
        <f>VLOOKUP($C448,'1 预算编制表单'!$C:$BJ,30,FALSE)</f>
        <v>0</v>
      </c>
      <c r="AB448" s="117">
        <f>AA448-AC448</f>
        <v>0</v>
      </c>
      <c r="AC448" s="117">
        <f>SUM(AC449:AC453)</f>
        <v>0</v>
      </c>
      <c r="AD448" s="117">
        <f>VLOOKUP($C448,'1 预算编制表单'!$C:$BJ,33,FALSE)</f>
        <v>0</v>
      </c>
      <c r="AE448" s="117">
        <f>AD448-AF448</f>
        <v>0</v>
      </c>
      <c r="AF448" s="117">
        <f>SUM(AF449:AF453)</f>
        <v>0</v>
      </c>
      <c r="AG448" s="117">
        <f>VLOOKUP($C448,'1 预算编制表单'!$C:$BJ,36,FALSE)</f>
        <v>0</v>
      </c>
      <c r="AH448" s="117">
        <f>AG448-AI448</f>
        <v>0</v>
      </c>
      <c r="AI448" s="117">
        <f>SUM(AI449:AI453)</f>
        <v>0</v>
      </c>
      <c r="AJ448" s="117">
        <f>VLOOKUP($C448,'1 预算编制表单'!$C:$BJ,39,FALSE)</f>
        <v>0</v>
      </c>
      <c r="AK448" s="117">
        <f>AJ448-AL448</f>
        <v>0</v>
      </c>
      <c r="AL448" s="117">
        <f>SUM(AL449:AL453)</f>
        <v>0</v>
      </c>
      <c r="AM448" s="117">
        <f>VLOOKUP($C448,'1 预算编制表单'!$C:$BJ,42,FALSE)</f>
        <v>0</v>
      </c>
      <c r="AN448" s="117">
        <f>AM448-AO448</f>
        <v>0</v>
      </c>
      <c r="AO448" s="117">
        <f>SUM(AO449:AO453)</f>
        <v>0</v>
      </c>
      <c r="AP448" s="117">
        <f>VLOOKUP($C448,'1 预算编制表单'!$C:$BJ,45,FALSE)</f>
        <v>0</v>
      </c>
      <c r="AQ448" s="117">
        <f>AP448-AR448</f>
        <v>0</v>
      </c>
      <c r="AR448" s="117">
        <f>SUM(AR449:AR453)</f>
        <v>0</v>
      </c>
      <c r="AS448" s="117">
        <f>VLOOKUP($C448,'1 预算编制表单'!$C:$BJ,48,FALSE)</f>
        <v>0</v>
      </c>
      <c r="AT448" s="117">
        <f>AS448-AU448</f>
        <v>0</v>
      </c>
      <c r="AU448" s="117">
        <f>SUM(AU449:AU453)</f>
        <v>0</v>
      </c>
      <c r="AV448" s="117">
        <f>VLOOKUP($C448,'1 预算编制表单'!$C:$BJ,51,FALSE)</f>
        <v>0</v>
      </c>
      <c r="AW448" s="117">
        <f>AV448-AX448</f>
        <v>0</v>
      </c>
      <c r="AX448" s="117">
        <f>SUM(AX449:AX453)</f>
        <v>0</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hidden="1" customHeight="1" outlineLevel="3" spans="1:95">
      <c r="A449" s="122"/>
      <c r="B449" s="123"/>
      <c r="C449" s="124"/>
      <c r="D449" s="122"/>
      <c r="E449" s="123"/>
      <c r="F449" s="123"/>
      <c r="G449" s="123"/>
      <c r="H449" s="125"/>
      <c r="I449" s="125"/>
      <c r="J449" s="125">
        <f>Z449+AC449+AF449+AI449+AL449+AO449+AR449+AU449+AX449+BA449+BD449+BG449</f>
        <v>0</v>
      </c>
      <c r="K449" s="125">
        <v>1</v>
      </c>
      <c r="L449" s="150"/>
      <c r="M449" s="151">
        <f>IFERROR(VLOOKUP($L449,'2-2 引出数据_合同数据仓库'!$B$5:$BP$20,3,FALSE),0)</f>
        <v>0</v>
      </c>
      <c r="N449" s="125"/>
      <c r="O449" s="151">
        <f>IFERROR(VLOOKUP((LEFT(VLOOKUP($L449,'2-2 引出数据_合同数据仓库'!$B$5:$BP$20,64,FALSE),15)&amp;(RIGHT(VLOOKUP($L449,'2-2 引出数据_合同数据仓库'!$B$5:$BP$20,64,FALSE),4)+1)),'2-2 引出数据_合同数据仓库'!$B$5:$BP$20,3,FALSE),0)</f>
        <v>0</v>
      </c>
      <c r="P449" s="125"/>
      <c r="Q449" s="125">
        <f>IFERROR(VLOOKUP($L449,'2-2 引出数据_合同数据仓库'!$B$5:$BP$20,28,FALSE),0)</f>
        <v>0</v>
      </c>
      <c r="R449" s="125">
        <f>IFERROR(VLOOKUP($L449,'2-2 引出数据_合同数据仓库'!$B$5:$BP$20,29,FALSE),0)</f>
        <v>0</v>
      </c>
      <c r="S449" s="125">
        <f>IFERROR(VLOOKUP($L449,'2-2 引出数据_合同数据仓库'!$B$5:$BP$20,4,FALSE),0)</f>
        <v>0</v>
      </c>
      <c r="T449" s="125"/>
      <c r="U449" s="125">
        <f>IFERROR(VLOOKUP($L449,'2-2 引出数据_合同数据仓库'!$B$5:$BP$20,15,FALSE),0)</f>
        <v>0</v>
      </c>
      <c r="V449" s="125">
        <f t="shared" ref="V449:V452" si="5223">U449/(S449-R449+1)*365</f>
        <v>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0</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0</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0</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0</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0</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0</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0</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0</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0</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hidden="1" customHeight="1" outlineLevel="3" spans="1:95">
      <c r="A450" s="122"/>
      <c r="B450" s="123"/>
      <c r="C450" s="124"/>
      <c r="D450" s="122"/>
      <c r="E450" s="123"/>
      <c r="F450" s="123"/>
      <c r="G450" s="123"/>
      <c r="H450" s="125"/>
      <c r="I450" s="125"/>
      <c r="J450" s="125">
        <f>Z450+AC450+AF450+AI450+AL450+AO450+AR450+AU450+AX450+BA450+BD450+BG450</f>
        <v>0</v>
      </c>
      <c r="K450" s="125">
        <f t="shared" ref="K450:K452" si="5294">K449+1</f>
        <v>2</v>
      </c>
      <c r="L450" s="150"/>
      <c r="M450" s="151">
        <f>IFERROR(VLOOKUP($L450,'2-2 引出数据_合同数据仓库'!$B$5:$BP$20,3,FALSE),0)</f>
        <v>0</v>
      </c>
      <c r="N450" s="125"/>
      <c r="O450" s="151">
        <f>IFERROR(VLOOKUP((LEFT(VLOOKUP($L450,'2-2 引出数据_合同数据仓库'!$B$5:$BP$20,64,FALSE),15)&amp;(RIGHT(VLOOKUP($L450,'2-2 引出数据_合同数据仓库'!$B$5:$BP$20,64,FALSE),4)+1)),'2-2 引出数据_合同数据仓库'!$B$5:$BP$20,3,FALSE),0)</f>
        <v>0</v>
      </c>
      <c r="P450" s="125"/>
      <c r="Q450" s="125">
        <f>IFERROR(VLOOKUP($L450,'2-2 引出数据_合同数据仓库'!$B$5:$BP$20,28,FALSE),0)</f>
        <v>0</v>
      </c>
      <c r="R450" s="125">
        <f>IFERROR(VLOOKUP($L450,'2-2 引出数据_合同数据仓库'!$B$5:$BP$20,29,FALSE),0)</f>
        <v>0</v>
      </c>
      <c r="S450" s="125">
        <f>IFERROR(VLOOKUP($L450,'2-2 引出数据_合同数据仓库'!$B$5:$BP$20,4,FALSE),0)</f>
        <v>0</v>
      </c>
      <c r="T450" s="125"/>
      <c r="U450" s="125">
        <f>IFERROR(VLOOKUP($L450,'2-2 引出数据_合同数据仓库'!$B$5:$BP$20,15,FALSE),0)</f>
        <v>0</v>
      </c>
      <c r="V450" s="125">
        <f t="shared" si="5223"/>
        <v>0</v>
      </c>
      <c r="W450" s="125"/>
      <c r="X450" s="157">
        <v>45658</v>
      </c>
      <c r="Y450" s="157">
        <f t="shared" si="5224"/>
        <v>45688</v>
      </c>
      <c r="Z450" s="161">
        <f t="shared" si="5225"/>
        <v>0</v>
      </c>
      <c r="AA450" s="157">
        <f t="shared" si="5226"/>
        <v>45689</v>
      </c>
      <c r="AB450" s="157">
        <f t="shared" si="5227"/>
        <v>45716</v>
      </c>
      <c r="AC450" s="161">
        <f t="shared" si="5228"/>
        <v>0</v>
      </c>
      <c r="AD450" s="157">
        <f t="shared" si="5229"/>
        <v>45717</v>
      </c>
      <c r="AE450" s="157">
        <f t="shared" si="5230"/>
        <v>45747</v>
      </c>
      <c r="AF450" s="161">
        <f t="shared" si="5231"/>
        <v>0</v>
      </c>
      <c r="AG450" s="157">
        <f t="shared" si="5232"/>
        <v>45748</v>
      </c>
      <c r="AH450" s="157">
        <f t="shared" si="5233"/>
        <v>45777</v>
      </c>
      <c r="AI450" s="161">
        <f t="shared" si="5234"/>
        <v>0</v>
      </c>
      <c r="AJ450" s="157">
        <f t="shared" si="5235"/>
        <v>45778</v>
      </c>
      <c r="AK450" s="157">
        <f t="shared" si="5236"/>
        <v>45808</v>
      </c>
      <c r="AL450" s="161">
        <f t="shared" si="5237"/>
        <v>0</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hidden="1"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引出数据_合同数据仓库'!$B$5:$BP$20,3,FALSE),0)</f>
        <v>0</v>
      </c>
      <c r="N451" s="125"/>
      <c r="O451" s="151">
        <f>IFERROR(VLOOKUP((LEFT(VLOOKUP($L451,'2-2 引出数据_合同数据仓库'!$B$5:$BP$20,64,FALSE),15)&amp;(RIGHT(VLOOKUP($L451,'2-2 引出数据_合同数据仓库'!$B$5:$BP$20,64,FALSE),4)+1)),'2-2 引出数据_合同数据仓库'!$B$5:$BP$20,3,FALSE),0)</f>
        <v>0</v>
      </c>
      <c r="P451" s="125"/>
      <c r="Q451" s="125">
        <f>IFERROR(VLOOKUP($L451,'2-2 引出数据_合同数据仓库'!$B$5:$BP$20,28,FALSE),0)</f>
        <v>0</v>
      </c>
      <c r="R451" s="125">
        <f>IFERROR(VLOOKUP($L451,'2-2 引出数据_合同数据仓库'!$B$5:$BP$20,29,FALSE),0)</f>
        <v>0</v>
      </c>
      <c r="S451" s="125">
        <f>IFERROR(VLOOKUP($L451,'2-2 引出数据_合同数据仓库'!$B$5:$BP$20,4,FALSE),0)</f>
        <v>0</v>
      </c>
      <c r="T451" s="125"/>
      <c r="U451" s="125">
        <f>IFERROR(VLOOKUP($L451,'2-2 引出数据_合同数据仓库'!$B$5:$BP$20,15,FALSE),0)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hidden="1" customHeight="1" outlineLevel="3" collapsed="1"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引出数据_合同数据仓库'!$B$5:$BP$20,3,FALSE),0)</f>
        <v>0</v>
      </c>
      <c r="N452" s="125"/>
      <c r="O452" s="151">
        <f>IFERROR(VLOOKUP((LEFT(VLOOKUP($L452,'2-2 引出数据_合同数据仓库'!$B$5:$BP$20,64,FALSE),15)&amp;(RIGHT(VLOOKUP($L452,'2-2 引出数据_合同数据仓库'!$B$5:$BP$20,64,FALSE),4)+1)),'2-2 引出数据_合同数据仓库'!$B$5:$BP$20,3,FALSE),0)</f>
        <v>0</v>
      </c>
      <c r="P452" s="125"/>
      <c r="Q452" s="125">
        <f>IFERROR(VLOOKUP($L452,'2-2 引出数据_合同数据仓库'!$B$5:$BP$20,28,FALSE),0)</f>
        <v>0</v>
      </c>
      <c r="R452" s="125">
        <f>IFERROR(VLOOKUP($L452,'2-2 引出数据_合同数据仓库'!$B$5:$BP$20,29,FALSE),0)</f>
        <v>0</v>
      </c>
      <c r="S452" s="125">
        <f>IFERROR(VLOOKUP($L452,'2-2 引出数据_合同数据仓库'!$B$5:$BP$20,4,FALSE),0)</f>
        <v>0</v>
      </c>
      <c r="T452" s="125"/>
      <c r="U452" s="125">
        <f>IFERROR(VLOOKUP($L452,'2-2 引出数据_合同数据仓库'!$B$5:$BP$20,15,FALSE),0)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hidden="1" customHeight="1" outlineLevel="4" spans="1:95">
      <c r="A453" s="126" t="s">
        <v>2770</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hidden="1" customHeight="1" outlineLevel="2" collapsed="1" spans="1:95">
      <c r="A454" s="48"/>
      <c r="B454" s="115" t="s">
        <v>747</v>
      </c>
      <c r="C454" s="116" t="s">
        <v>1501</v>
      </c>
      <c r="D454" s="48" t="s">
        <v>1502</v>
      </c>
      <c r="E454" s="115"/>
      <c r="F454" s="115"/>
      <c r="G454" s="115"/>
      <c r="H454" s="117">
        <f>X454+AA454+AD454+AG454+AJ454+AM454+AP454+AS454+AV454+AY454+BB454+BE454</f>
        <v>0</v>
      </c>
      <c r="I454" s="117">
        <f>Y454+AB454+AE454+AH454+AK454+AN454+AQ454+AT454+AW454+AZ454+BC454+BF454</f>
        <v>0</v>
      </c>
      <c r="J454" s="117">
        <f>Z454+AC454+AF454+AI454+AL454+AO454+AR454+AU454+AX454+BA454+BD454+BG454</f>
        <v>0</v>
      </c>
      <c r="K454" s="117"/>
      <c r="L454" s="148"/>
      <c r="M454" s="148"/>
      <c r="N454" s="117"/>
      <c r="O454" s="117"/>
      <c r="P454" s="117"/>
      <c r="Q454" s="117"/>
      <c r="R454" s="117"/>
      <c r="S454" s="117"/>
      <c r="T454" s="117"/>
      <c r="U454" s="117"/>
      <c r="V454" s="117"/>
      <c r="W454" s="117"/>
      <c r="X454" s="117">
        <f>VLOOKUP($C454,'1 预算编制表单'!$C:$BJ,27,FALSE)</f>
        <v>0</v>
      </c>
      <c r="Y454" s="117">
        <f>X454-Z454</f>
        <v>0</v>
      </c>
      <c r="Z454" s="117">
        <f>SUM(Z455:Z459)</f>
        <v>0</v>
      </c>
      <c r="AA454" s="117">
        <f>VLOOKUP($C454,'1 预算编制表单'!$C:$BJ,30,FALSE)</f>
        <v>0</v>
      </c>
      <c r="AB454" s="117">
        <f>AA454-AC454</f>
        <v>0</v>
      </c>
      <c r="AC454" s="117">
        <f>SUM(AC455:AC459)</f>
        <v>0</v>
      </c>
      <c r="AD454" s="117">
        <f>VLOOKUP($C454,'1 预算编制表单'!$C:$BJ,33,FALSE)</f>
        <v>0</v>
      </c>
      <c r="AE454" s="117">
        <f>AD454-AF454</f>
        <v>0</v>
      </c>
      <c r="AF454" s="117">
        <f>SUM(AF455:AF459)</f>
        <v>0</v>
      </c>
      <c r="AG454" s="117">
        <f>VLOOKUP($C454,'1 预算编制表单'!$C:$BJ,36,FALSE)</f>
        <v>0</v>
      </c>
      <c r="AH454" s="117">
        <f>AG454-AI454</f>
        <v>0</v>
      </c>
      <c r="AI454" s="117">
        <f>SUM(AI455:AI459)</f>
        <v>0</v>
      </c>
      <c r="AJ454" s="117">
        <f>VLOOKUP($C454,'1 预算编制表单'!$C:$BJ,39,FALSE)</f>
        <v>0</v>
      </c>
      <c r="AK454" s="117">
        <f>AJ454-AL454</f>
        <v>0</v>
      </c>
      <c r="AL454" s="117">
        <f>SUM(AL455:AL459)</f>
        <v>0</v>
      </c>
      <c r="AM454" s="117">
        <f>VLOOKUP($C454,'1 预算编制表单'!$C:$BJ,42,FALSE)</f>
        <v>0</v>
      </c>
      <c r="AN454" s="117">
        <f>AM454-AO454</f>
        <v>0</v>
      </c>
      <c r="AO454" s="117">
        <f>SUM(AO455:AO459)</f>
        <v>0</v>
      </c>
      <c r="AP454" s="117">
        <f>VLOOKUP($C454,'1 预算编制表单'!$C:$BJ,45,FALSE)</f>
        <v>0</v>
      </c>
      <c r="AQ454" s="117">
        <f>AP454-AR454</f>
        <v>0</v>
      </c>
      <c r="AR454" s="117">
        <f>SUM(AR455:AR459)</f>
        <v>0</v>
      </c>
      <c r="AS454" s="117">
        <f>VLOOKUP($C454,'1 预算编制表单'!$C:$BJ,48,FALSE)</f>
        <v>0</v>
      </c>
      <c r="AT454" s="117">
        <f>AS454-AU454</f>
        <v>0</v>
      </c>
      <c r="AU454" s="117">
        <f>SUM(AU455:AU459)</f>
        <v>0</v>
      </c>
      <c r="AV454" s="117">
        <f>VLOOKUP($C454,'1 预算编制表单'!$C:$BJ,51,FALSE)</f>
        <v>0</v>
      </c>
      <c r="AW454" s="117">
        <f>AV454-AX454</f>
        <v>0</v>
      </c>
      <c r="AX454" s="117">
        <f>SUM(AX455:AX459)</f>
        <v>0</v>
      </c>
      <c r="AY454" s="117">
        <f>VLOOKUP($C454,'1 预算编制表单'!$C:$BJ,54,FALSE)</f>
        <v>0</v>
      </c>
      <c r="AZ454" s="117">
        <f>AY454-BA454</f>
        <v>0</v>
      </c>
      <c r="BA454" s="117">
        <f>SUM(BA455:BA459)</f>
        <v>0</v>
      </c>
      <c r="BB454" s="117">
        <f>VLOOKUP($C454,'1 预算编制表单'!$C:$BJ,57,FALSE)</f>
        <v>0</v>
      </c>
      <c r="BC454" s="117">
        <f>BB454-BD454</f>
        <v>0</v>
      </c>
      <c r="BD454" s="117">
        <f>SUM(BD455:BD459)</f>
        <v>0</v>
      </c>
      <c r="BE454" s="117">
        <f>VLOOKUP($C454,'1 预算编制表单'!$C:$BJ,60,FALSE)</f>
        <v>0</v>
      </c>
      <c r="BF454" s="117">
        <f>BE454-BG454</f>
        <v>0</v>
      </c>
      <c r="BG454" s="117">
        <f>SUM(BG455:BG459)</f>
        <v>0</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hidden="1" customHeight="1" outlineLevel="3" spans="1:95">
      <c r="A455" s="122"/>
      <c r="B455" s="123"/>
      <c r="C455" s="124"/>
      <c r="D455" s="122"/>
      <c r="E455" s="123"/>
      <c r="F455" s="123"/>
      <c r="G455" s="123"/>
      <c r="H455" s="125"/>
      <c r="I455" s="125"/>
      <c r="J455" s="125">
        <f>Z455+AC455+AF455+AI455+AL455+AO455+AR455+AU455+AX455+BA455+BD455+BG455</f>
        <v>0</v>
      </c>
      <c r="K455" s="125">
        <v>1</v>
      </c>
      <c r="L455" s="150"/>
      <c r="M455" s="151">
        <f>IFERROR(VLOOKUP($L455,'2-2 引出数据_合同数据仓库'!$B$5:$BP$20,3,FALSE),0)</f>
        <v>0</v>
      </c>
      <c r="N455" s="125"/>
      <c r="O455" s="151">
        <f>IFERROR(VLOOKUP((LEFT(VLOOKUP($L455,'2-2 引出数据_合同数据仓库'!$B$5:$BP$20,64,FALSE),15)&amp;(RIGHT(VLOOKUP($L455,'2-2 引出数据_合同数据仓库'!$B$5:$BP$20,64,FALSE),4)+1)),'2-2 引出数据_合同数据仓库'!$B$5:$BP$20,3,FALSE),0)</f>
        <v>0</v>
      </c>
      <c r="P455" s="125"/>
      <c r="Q455" s="125">
        <f>IFERROR(VLOOKUP($L455,'2-2 引出数据_合同数据仓库'!$B$5:$BP$20,28,FALSE),0)</f>
        <v>0</v>
      </c>
      <c r="R455" s="125">
        <f>IFERROR(VLOOKUP($L455,'2-2 引出数据_合同数据仓库'!$B$5:$BP$20,29,FALSE),0)</f>
        <v>0</v>
      </c>
      <c r="S455" s="125">
        <f>IFERROR(VLOOKUP($L455,'2-2 引出数据_合同数据仓库'!$B$5:$BP$20,4,FALSE),0)</f>
        <v>0</v>
      </c>
      <c r="T455" s="125"/>
      <c r="U455" s="125">
        <f>IFERROR(VLOOKUP($L455,'2-2 引出数据_合同数据仓库'!$B$5:$BP$20,15,FALSE),0)</f>
        <v>0</v>
      </c>
      <c r="V455" s="125">
        <f t="shared" ref="V455:V458" si="5295">U455/(S455-R455+1)*365</f>
        <v>0</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0</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0</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0</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0</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0</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0</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0</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0</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0</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0</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0</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0</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hidden="1" customHeight="1" outlineLevel="3" spans="1:95">
      <c r="A456" s="122"/>
      <c r="B456" s="123"/>
      <c r="C456" s="124"/>
      <c r="D456" s="122"/>
      <c r="E456" s="123"/>
      <c r="F456" s="123"/>
      <c r="G456" s="123"/>
      <c r="H456" s="125"/>
      <c r="I456" s="125"/>
      <c r="J456" s="125">
        <f>Z456+AC456+AF456+AI456+AL456+AO456+AR456+AU456+AX456+BA456+BD456+BG456</f>
        <v>0</v>
      </c>
      <c r="K456" s="125">
        <f t="shared" ref="K456:K458" si="5366">K455+1</f>
        <v>2</v>
      </c>
      <c r="L456" s="150"/>
      <c r="M456" s="151">
        <f>IFERROR(VLOOKUP($L456,'2-2 引出数据_合同数据仓库'!$B$5:$BP$20,3,FALSE),0)</f>
        <v>0</v>
      </c>
      <c r="N456" s="125"/>
      <c r="O456" s="151">
        <f>IFERROR(VLOOKUP((LEFT(VLOOKUP($L456,'2-2 引出数据_合同数据仓库'!$B$5:$BP$20,64,FALSE),15)&amp;(RIGHT(VLOOKUP($L456,'2-2 引出数据_合同数据仓库'!$B$5:$BP$20,64,FALSE),4)+1)),'2-2 引出数据_合同数据仓库'!$B$5:$BP$20,3,FALSE),0)</f>
        <v>0</v>
      </c>
      <c r="P456" s="125"/>
      <c r="Q456" s="125">
        <f>IFERROR(VLOOKUP($L456,'2-2 引出数据_合同数据仓库'!$B$5:$BP$20,28,FALSE),0)</f>
        <v>0</v>
      </c>
      <c r="R456" s="125">
        <f>IFERROR(VLOOKUP($L456,'2-2 引出数据_合同数据仓库'!$B$5:$BP$20,29,FALSE),0)</f>
        <v>0</v>
      </c>
      <c r="S456" s="125">
        <f>IFERROR(VLOOKUP($L456,'2-2 引出数据_合同数据仓库'!$B$5:$BP$20,4,FALSE),0)</f>
        <v>0</v>
      </c>
      <c r="T456" s="125"/>
      <c r="U456" s="125">
        <f>IFERROR(VLOOKUP($L456,'2-2 引出数据_合同数据仓库'!$B$5:$BP$20,15,FALSE),0)</f>
        <v>0</v>
      </c>
      <c r="V456" s="125">
        <f t="shared" si="5295"/>
        <v>0</v>
      </c>
      <c r="W456" s="125"/>
      <c r="X456" s="157">
        <v>45658</v>
      </c>
      <c r="Y456" s="157">
        <f t="shared" si="5296"/>
        <v>45688</v>
      </c>
      <c r="Z456" s="161">
        <f t="shared" si="5297"/>
        <v>0</v>
      </c>
      <c r="AA456" s="157">
        <f t="shared" si="5298"/>
        <v>45689</v>
      </c>
      <c r="AB456" s="157">
        <f t="shared" si="5299"/>
        <v>45716</v>
      </c>
      <c r="AC456" s="161">
        <f t="shared" si="5300"/>
        <v>0</v>
      </c>
      <c r="AD456" s="157">
        <f t="shared" si="5301"/>
        <v>45717</v>
      </c>
      <c r="AE456" s="157">
        <f t="shared" si="5302"/>
        <v>45747</v>
      </c>
      <c r="AF456" s="161">
        <f t="shared" si="5303"/>
        <v>0</v>
      </c>
      <c r="AG456" s="157">
        <f t="shared" si="5304"/>
        <v>45748</v>
      </c>
      <c r="AH456" s="157">
        <f t="shared" si="5305"/>
        <v>45777</v>
      </c>
      <c r="AI456" s="161">
        <f t="shared" si="5306"/>
        <v>0</v>
      </c>
      <c r="AJ456" s="157">
        <f t="shared" si="5307"/>
        <v>45778</v>
      </c>
      <c r="AK456" s="157">
        <f t="shared" si="5308"/>
        <v>45808</v>
      </c>
      <c r="AL456" s="161">
        <f t="shared" si="5309"/>
        <v>0</v>
      </c>
      <c r="AM456" s="157">
        <f t="shared" si="5310"/>
        <v>45809</v>
      </c>
      <c r="AN456" s="157">
        <f t="shared" si="5311"/>
        <v>45838</v>
      </c>
      <c r="AO456" s="161">
        <f t="shared" si="5312"/>
        <v>0</v>
      </c>
      <c r="AP456" s="157">
        <f t="shared" si="5313"/>
        <v>45839</v>
      </c>
      <c r="AQ456" s="157">
        <f t="shared" si="5314"/>
        <v>45869</v>
      </c>
      <c r="AR456" s="161">
        <f t="shared" si="5315"/>
        <v>0</v>
      </c>
      <c r="AS456" s="157">
        <f t="shared" si="5316"/>
        <v>45870</v>
      </c>
      <c r="AT456" s="157">
        <f t="shared" si="5317"/>
        <v>45900</v>
      </c>
      <c r="AU456" s="161">
        <f t="shared" si="5318"/>
        <v>0</v>
      </c>
      <c r="AV456" s="157">
        <f t="shared" si="5319"/>
        <v>45901</v>
      </c>
      <c r="AW456" s="157">
        <f t="shared" si="5320"/>
        <v>45930</v>
      </c>
      <c r="AX456" s="161">
        <f t="shared" si="5321"/>
        <v>0</v>
      </c>
      <c r="AY456" s="157">
        <f t="shared" si="5322"/>
        <v>45931</v>
      </c>
      <c r="AZ456" s="157">
        <f t="shared" si="5323"/>
        <v>45961</v>
      </c>
      <c r="BA456" s="161">
        <f t="shared" si="5324"/>
        <v>0</v>
      </c>
      <c r="BB456" s="157">
        <f t="shared" si="5325"/>
        <v>45962</v>
      </c>
      <c r="BC456" s="157">
        <f t="shared" si="5326"/>
        <v>45991</v>
      </c>
      <c r="BD456" s="161">
        <f t="shared" si="5327"/>
        <v>0</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hidden="1"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引出数据_合同数据仓库'!$B$5:$BP$20,3,FALSE),0)</f>
        <v>0</v>
      </c>
      <c r="N457" s="125"/>
      <c r="O457" s="151">
        <f>IFERROR(VLOOKUP((LEFT(VLOOKUP($L457,'2-2 引出数据_合同数据仓库'!$B$5:$BP$20,64,FALSE),15)&amp;(RIGHT(VLOOKUP($L457,'2-2 引出数据_合同数据仓库'!$B$5:$BP$20,64,FALSE),4)+1)),'2-2 引出数据_合同数据仓库'!$B$5:$BP$20,3,FALSE),0)</f>
        <v>0</v>
      </c>
      <c r="P457" s="125"/>
      <c r="Q457" s="125">
        <f>IFERROR(VLOOKUP($L457,'2-2 引出数据_合同数据仓库'!$B$5:$BP$20,28,FALSE),0)</f>
        <v>0</v>
      </c>
      <c r="R457" s="125">
        <f>IFERROR(VLOOKUP($L457,'2-2 引出数据_合同数据仓库'!$B$5:$BP$20,29,FALSE),0)</f>
        <v>0</v>
      </c>
      <c r="S457" s="125">
        <f>IFERROR(VLOOKUP($L457,'2-2 引出数据_合同数据仓库'!$B$5:$BP$20,4,FALSE),0)</f>
        <v>0</v>
      </c>
      <c r="T457" s="125"/>
      <c r="U457" s="125">
        <f>IFERROR(VLOOKUP($L457,'2-2 引出数据_合同数据仓库'!$B$5:$BP$20,15,FALSE),0)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hidden="1" customHeight="1" outlineLevel="3" collapsed="1" spans="1:95">
      <c r="A458" s="122"/>
      <c r="B458" s="123"/>
      <c r="C458" s="124"/>
      <c r="D458" s="122"/>
      <c r="E458" s="123"/>
      <c r="F458" s="123"/>
      <c r="G458" s="123"/>
      <c r="H458" s="125"/>
      <c r="I458" s="125"/>
      <c r="J458" s="125">
        <f t="shared" si="5367"/>
        <v>0</v>
      </c>
      <c r="K458" s="125">
        <f t="shared" si="5366"/>
        <v>4</v>
      </c>
      <c r="L458" s="150"/>
      <c r="M458" s="151">
        <f>IFERROR(VLOOKUP($L458,'2-2 引出数据_合同数据仓库'!$B$5:$BP$20,3,FALSE),0)</f>
        <v>0</v>
      </c>
      <c r="N458" s="125"/>
      <c r="O458" s="151">
        <f>IFERROR(VLOOKUP((LEFT(VLOOKUP($L458,'2-2 引出数据_合同数据仓库'!$B$5:$BP$20,64,FALSE),15)&amp;(RIGHT(VLOOKUP($L458,'2-2 引出数据_合同数据仓库'!$B$5:$BP$20,64,FALSE),4)+1)),'2-2 引出数据_合同数据仓库'!$B$5:$BP$20,3,FALSE),0)</f>
        <v>0</v>
      </c>
      <c r="P458" s="125"/>
      <c r="Q458" s="125">
        <f>IFERROR(VLOOKUP($L458,'2-2 引出数据_合同数据仓库'!$B$5:$BP$20,28,FALSE),0)</f>
        <v>0</v>
      </c>
      <c r="R458" s="125">
        <f>IFERROR(VLOOKUP($L458,'2-2 引出数据_合同数据仓库'!$B$5:$BP$20,29,FALSE),0)</f>
        <v>0</v>
      </c>
      <c r="S458" s="125">
        <f>IFERROR(VLOOKUP($L458,'2-2 引出数据_合同数据仓库'!$B$5:$BP$20,4,FALSE),0)</f>
        <v>0</v>
      </c>
      <c r="T458" s="125"/>
      <c r="U458" s="125">
        <f>IFERROR(VLOOKUP($L458,'2-2 引出数据_合同数据仓库'!$B$5:$BP$20,15,FALSE),0)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hidden="1" customHeight="1" outlineLevel="4" spans="1:95">
      <c r="A459" s="126" t="s">
        <v>2770</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hidden="1" customHeight="1" outlineLevel="2" collapsed="1" spans="1:95">
      <c r="A460" s="48"/>
      <c r="B460" s="115" t="s">
        <v>747</v>
      </c>
      <c r="C460" s="116" t="s">
        <v>1516</v>
      </c>
      <c r="D460" s="48" t="s">
        <v>1517</v>
      </c>
      <c r="E460" s="115" t="s">
        <v>1518</v>
      </c>
      <c r="F460" s="115"/>
      <c r="G460" s="115" t="s">
        <v>891</v>
      </c>
      <c r="H460" s="117">
        <f>X460+AA460+AD460+AG460+AJ460+AM460+AP460+AS460+AV460+AY460+BB460+BE460</f>
        <v>0</v>
      </c>
      <c r="I460" s="117">
        <f>Y460+AB460+AE460+AH460+AK460+AN460+AQ460+AT460+AW460+AZ460+BC460+BF460</f>
        <v>0</v>
      </c>
      <c r="J460" s="117">
        <f t="shared" si="5367"/>
        <v>0</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0</v>
      </c>
      <c r="AC460" s="117">
        <f>SUM(AC461:AC465)</f>
        <v>0</v>
      </c>
      <c r="AD460" s="117">
        <f>VLOOKUP($C460,'1 预算编制表单'!$C:$BJ,33,FALSE)</f>
        <v>0</v>
      </c>
      <c r="AE460" s="117">
        <f>AD460-AF460</f>
        <v>0</v>
      </c>
      <c r="AF460" s="117">
        <f>SUM(AF461:AF465)</f>
        <v>0</v>
      </c>
      <c r="AG460" s="117">
        <f>VLOOKUP($C460,'1 预算编制表单'!$C:$BJ,36,FALSE)</f>
        <v>0</v>
      </c>
      <c r="AH460" s="117">
        <f>AG460-AI460</f>
        <v>0</v>
      </c>
      <c r="AI460" s="117">
        <f>SUM(AI461:AI465)</f>
        <v>0</v>
      </c>
      <c r="AJ460" s="117">
        <f>VLOOKUP($C460,'1 预算编制表单'!$C:$BJ,39,FALSE)</f>
        <v>0</v>
      </c>
      <c r="AK460" s="117">
        <f>AJ460-AL460</f>
        <v>0</v>
      </c>
      <c r="AL460" s="117">
        <f>SUM(AL461:AL465)</f>
        <v>0</v>
      </c>
      <c r="AM460" s="117">
        <f>VLOOKUP($C460,'1 预算编制表单'!$C:$BJ,42,FALSE)</f>
        <v>0</v>
      </c>
      <c r="AN460" s="117">
        <f>AM460-AO460</f>
        <v>0</v>
      </c>
      <c r="AO460" s="117">
        <f>SUM(AO461:AO465)</f>
        <v>0</v>
      </c>
      <c r="AP460" s="117">
        <f>VLOOKUP($C460,'1 预算编制表单'!$C:$BJ,45,FALSE)</f>
        <v>0</v>
      </c>
      <c r="AQ460" s="117">
        <f>AP460-AR460</f>
        <v>0</v>
      </c>
      <c r="AR460" s="117">
        <f>SUM(AR461:AR465)</f>
        <v>0</v>
      </c>
      <c r="AS460" s="117">
        <f>VLOOKUP($C460,'1 预算编制表单'!$C:$BJ,48,FALSE)</f>
        <v>0</v>
      </c>
      <c r="AT460" s="117">
        <f>AS460-AU460</f>
        <v>0</v>
      </c>
      <c r="AU460" s="117">
        <f>SUM(AU461:AU465)</f>
        <v>0</v>
      </c>
      <c r="AV460" s="117">
        <f>VLOOKUP($C460,'1 预算编制表单'!$C:$BJ,51,FALSE)</f>
        <v>0</v>
      </c>
      <c r="AW460" s="117">
        <f>AV460-AX460</f>
        <v>0</v>
      </c>
      <c r="AX460" s="117">
        <f>SUM(AX461:AX465)</f>
        <v>0</v>
      </c>
      <c r="AY460" s="117">
        <f>VLOOKUP($C460,'1 预算编制表单'!$C:$BJ,54,FALSE)</f>
        <v>0</v>
      </c>
      <c r="AZ460" s="117">
        <f>AY460-BA460</f>
        <v>0</v>
      </c>
      <c r="BA460" s="117">
        <f>SUM(BA461:BA465)</f>
        <v>0</v>
      </c>
      <c r="BB460" s="117">
        <f>VLOOKUP($C460,'1 预算编制表单'!$C:$BJ,57,FALSE)</f>
        <v>0</v>
      </c>
      <c r="BC460" s="117">
        <f>BB460-BD460</f>
        <v>0</v>
      </c>
      <c r="BD460" s="117">
        <f>SUM(BD461:BD465)</f>
        <v>0</v>
      </c>
      <c r="BE460" s="117">
        <f>VLOOKUP($C460,'1 预算编制表单'!$C:$BJ,60,FALSE)</f>
        <v>0</v>
      </c>
      <c r="BF460" s="117">
        <f>BE460-BG460</f>
        <v>0</v>
      </c>
      <c r="BG460" s="117">
        <f>SUM(BG461:BG465)</f>
        <v>0</v>
      </c>
      <c r="BH460" s="117">
        <f>VLOOKUP($C460,'1 预算编制表单'!$C:$BJ,27,FALSE)</f>
        <v>0</v>
      </c>
      <c r="BI460" s="117">
        <f>BH460-BJ460</f>
        <v>0</v>
      </c>
      <c r="BJ460" s="117">
        <f>SUM(BJ461:BJ465)</f>
        <v>0</v>
      </c>
      <c r="BK460" s="117">
        <f>VLOOKUP($C460,'1 预算编制表单'!$C:$BJ,30,FALSE)</f>
        <v>0</v>
      </c>
      <c r="BL460" s="117">
        <f>BK460-BM460</f>
        <v>0</v>
      </c>
      <c r="BM460" s="117">
        <f>SUM(BM461:BM465)</f>
        <v>0</v>
      </c>
      <c r="BN460" s="117">
        <f>VLOOKUP($C460,'1 预算编制表单'!$C:$BJ,33,FALSE)</f>
        <v>0</v>
      </c>
      <c r="BO460" s="117">
        <f>BN460-BP460</f>
        <v>0</v>
      </c>
      <c r="BP460" s="117">
        <f>SUM(BP461:BP465)</f>
        <v>0</v>
      </c>
      <c r="BQ460" s="117">
        <f>VLOOKUP($C460,'1 预算编制表单'!$C:$BJ,36,FALSE)</f>
        <v>0</v>
      </c>
      <c r="BR460" s="117">
        <f>BQ460-BS460</f>
        <v>0</v>
      </c>
      <c r="BS460" s="117">
        <f>SUM(BS461:BS465)</f>
        <v>0</v>
      </c>
      <c r="BT460" s="117">
        <f>VLOOKUP($C460,'1 预算编制表单'!$C:$BJ,39,FALSE)</f>
        <v>0</v>
      </c>
      <c r="BU460" s="117">
        <f>BT460-BV460</f>
        <v>0</v>
      </c>
      <c r="BV460" s="117">
        <f>SUM(BV461:BV465)</f>
        <v>0</v>
      </c>
      <c r="BW460" s="117">
        <f>VLOOKUP($C460,'1 预算编制表单'!$C:$BJ,42,FALSE)</f>
        <v>0</v>
      </c>
      <c r="BX460" s="117">
        <f>BW460-BY460</f>
        <v>0</v>
      </c>
      <c r="BY460" s="117">
        <f>SUM(BY461:BY465)</f>
        <v>0</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hidden="1" customHeight="1" outlineLevel="3" spans="1:95">
      <c r="A461" s="122"/>
      <c r="B461" s="123"/>
      <c r="C461" s="124"/>
      <c r="D461" s="122"/>
      <c r="E461" s="123"/>
      <c r="F461" s="123"/>
      <c r="G461" s="123"/>
      <c r="H461" s="125"/>
      <c r="I461" s="125"/>
      <c r="J461" s="125">
        <f t="shared" si="5367"/>
        <v>0</v>
      </c>
      <c r="K461" s="125">
        <v>1</v>
      </c>
      <c r="L461" s="150"/>
      <c r="M461" s="151">
        <f>IFERROR(VLOOKUP($L461,'2-2 引出数据_合同数据仓库'!$B$5:$BP$20,3,FALSE),0)</f>
        <v>0</v>
      </c>
      <c r="N461" s="125"/>
      <c r="O461" s="151">
        <f>IFERROR(VLOOKUP((LEFT(VLOOKUP($L461,'2-2 引出数据_合同数据仓库'!$B$5:$BP$20,64,FALSE),15)&amp;(RIGHT(VLOOKUP($L461,'2-2 引出数据_合同数据仓库'!$B$5:$BP$20,64,FALSE),4)+1)),'2-2 引出数据_合同数据仓库'!$B$5:$BP$20,3,FALSE),0)</f>
        <v>0</v>
      </c>
      <c r="P461" s="125"/>
      <c r="Q461" s="125">
        <f>IFERROR(VLOOKUP($L461,'2-2 引出数据_合同数据仓库'!$B$5:$BP$20,28,FALSE),0)</f>
        <v>0</v>
      </c>
      <c r="R461" s="125">
        <f>IFERROR(VLOOKUP($L461,'2-2 引出数据_合同数据仓库'!$B$5:$BP$20,29,FALSE),0)</f>
        <v>0</v>
      </c>
      <c r="S461" s="125">
        <f>IFERROR(VLOOKUP($L461,'2-2 引出数据_合同数据仓库'!$B$5:$BP$20,4,FALSE),0)</f>
        <v>0</v>
      </c>
      <c r="T461" s="125"/>
      <c r="U461" s="125">
        <f>IFERROR(VLOOKUP($L461,'2-2 引出数据_合同数据仓库'!$B$5:$BP$20,15,FALSE),0)</f>
        <v>0</v>
      </c>
      <c r="V461" s="125">
        <f t="shared" ref="V461:V464" si="5368">U461/(S461-R461+1)*365</f>
        <v>0</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0</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0</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0</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0</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0</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0</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0</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0</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0</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0</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0</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0</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0</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0</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0</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0</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0</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hidden="1"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引出数据_合同数据仓库'!$B$5:$BP$20,3,FALSE),0)</f>
        <v>0</v>
      </c>
      <c r="N462" s="125"/>
      <c r="O462" s="151">
        <f>IFERROR(VLOOKUP((LEFT(VLOOKUP($L462,'2-2 引出数据_合同数据仓库'!$B$5:$BP$20,64,FALSE),15)&amp;(RIGHT(VLOOKUP($L462,'2-2 引出数据_合同数据仓库'!$B$5:$BP$20,64,FALSE),4)+1)),'2-2 引出数据_合同数据仓库'!$B$5:$BP$20,3,FALSE),0)</f>
        <v>0</v>
      </c>
      <c r="P462" s="125"/>
      <c r="Q462" s="125">
        <f>IFERROR(VLOOKUP($L462,'2-2 引出数据_合同数据仓库'!$B$5:$BP$20,28,FALSE),0)</f>
        <v>0</v>
      </c>
      <c r="R462" s="125">
        <f>IFERROR(VLOOKUP($L462,'2-2 引出数据_合同数据仓库'!$B$5:$BP$20,29,FALSE),0)</f>
        <v>0</v>
      </c>
      <c r="S462" s="125">
        <f>IFERROR(VLOOKUP($L462,'2-2 引出数据_合同数据仓库'!$B$5:$BP$20,4,FALSE),0)</f>
        <v>0</v>
      </c>
      <c r="T462" s="125"/>
      <c r="U462" s="125">
        <f>IFERROR(VLOOKUP($L462,'2-2 引出数据_合同数据仓库'!$B$5:$BP$20,15,FALSE),0)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hidden="1"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引出数据_合同数据仓库'!$B$5:$BP$20,3,FALSE),0)</f>
        <v>0</v>
      </c>
      <c r="N463" s="125"/>
      <c r="O463" s="151">
        <f>IFERROR(VLOOKUP((LEFT(VLOOKUP($L463,'2-2 引出数据_合同数据仓库'!$B$5:$BP$20,64,FALSE),15)&amp;(RIGHT(VLOOKUP($L463,'2-2 引出数据_合同数据仓库'!$B$5:$BP$20,64,FALSE),4)+1)),'2-2 引出数据_合同数据仓库'!$B$5:$BP$20,3,FALSE),0)</f>
        <v>0</v>
      </c>
      <c r="P463" s="125"/>
      <c r="Q463" s="125">
        <f>IFERROR(VLOOKUP($L463,'2-2 引出数据_合同数据仓库'!$B$5:$BP$20,28,FALSE),0)</f>
        <v>0</v>
      </c>
      <c r="R463" s="125">
        <f>IFERROR(VLOOKUP($L463,'2-2 引出数据_合同数据仓库'!$B$5:$BP$20,29,FALSE),0)</f>
        <v>0</v>
      </c>
      <c r="S463" s="125">
        <f>IFERROR(VLOOKUP($L463,'2-2 引出数据_合同数据仓库'!$B$5:$BP$20,4,FALSE),0)</f>
        <v>0</v>
      </c>
      <c r="T463" s="125"/>
      <c r="U463" s="125">
        <f>IFERROR(VLOOKUP($L463,'2-2 引出数据_合同数据仓库'!$B$5:$BP$20,15,FALSE),0)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hidden="1" customHeight="1" outlineLevel="3" collapsed="1" spans="1:95">
      <c r="A464" s="122"/>
      <c r="B464" s="123"/>
      <c r="C464" s="124"/>
      <c r="D464" s="122"/>
      <c r="E464" s="123"/>
      <c r="F464" s="123"/>
      <c r="G464" s="123"/>
      <c r="H464" s="125"/>
      <c r="I464" s="125"/>
      <c r="J464" s="125">
        <f t="shared" si="5367"/>
        <v>0</v>
      </c>
      <c r="K464" s="125">
        <f t="shared" si="5439"/>
        <v>4</v>
      </c>
      <c r="L464" s="150"/>
      <c r="M464" s="151">
        <f>IFERROR(VLOOKUP($L464,'2-2 引出数据_合同数据仓库'!$B$5:$BP$20,3,FALSE),0)</f>
        <v>0</v>
      </c>
      <c r="N464" s="125"/>
      <c r="O464" s="151">
        <f>IFERROR(VLOOKUP((LEFT(VLOOKUP($L464,'2-2 引出数据_合同数据仓库'!$B$5:$BP$20,64,FALSE),15)&amp;(RIGHT(VLOOKUP($L464,'2-2 引出数据_合同数据仓库'!$B$5:$BP$20,64,FALSE),4)+1)),'2-2 引出数据_合同数据仓库'!$B$5:$BP$20,3,FALSE),0)</f>
        <v>0</v>
      </c>
      <c r="P464" s="125"/>
      <c r="Q464" s="125">
        <f>IFERROR(VLOOKUP($L464,'2-2 引出数据_合同数据仓库'!$B$5:$BP$20,28,FALSE),0)</f>
        <v>0</v>
      </c>
      <c r="R464" s="125">
        <f>IFERROR(VLOOKUP($L464,'2-2 引出数据_合同数据仓库'!$B$5:$BP$20,29,FALSE),0)</f>
        <v>0</v>
      </c>
      <c r="S464" s="125">
        <f>IFERROR(VLOOKUP($L464,'2-2 引出数据_合同数据仓库'!$B$5:$BP$20,4,FALSE),0)</f>
        <v>0</v>
      </c>
      <c r="T464" s="125"/>
      <c r="U464" s="125">
        <f>IFERROR(VLOOKUP($L464,'2-2 引出数据_合同数据仓库'!$B$5:$BP$20,15,FALSE),0)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hidden="1" customHeight="1" outlineLevel="4" spans="1:95">
      <c r="A465" s="126" t="s">
        <v>2770</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hidden="1" customHeight="1" outlineLevel="2" collapsed="1" spans="1:95">
      <c r="A466" s="48"/>
      <c r="B466" s="115" t="s">
        <v>747</v>
      </c>
      <c r="C466" s="116" t="s">
        <v>1519</v>
      </c>
      <c r="D466" s="48" t="s">
        <v>1520</v>
      </c>
      <c r="E466" s="115" t="s">
        <v>1521</v>
      </c>
      <c r="F466" s="115"/>
      <c r="G466" s="115" t="s">
        <v>891</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hidden="1"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引出数据_合同数据仓库'!$B$5:$BP$20,3,FALSE),0)</f>
        <v>0</v>
      </c>
      <c r="N467" s="125"/>
      <c r="O467" s="151">
        <f>IFERROR(VLOOKUP((LEFT(VLOOKUP($L467,'2-2 引出数据_合同数据仓库'!$B$5:$BP$20,64,FALSE),15)&amp;(RIGHT(VLOOKUP($L467,'2-2 引出数据_合同数据仓库'!$B$5:$BP$20,64,FALSE),4)+1)),'2-2 引出数据_合同数据仓库'!$B$5:$BP$20,3,FALSE),0)</f>
        <v>0</v>
      </c>
      <c r="P467" s="125"/>
      <c r="Q467" s="125">
        <f>IFERROR(VLOOKUP($L467,'2-2 引出数据_合同数据仓库'!$B$5:$BP$20,28,FALSE),0)</f>
        <v>0</v>
      </c>
      <c r="R467" s="125">
        <f>IFERROR(VLOOKUP($L467,'2-2 引出数据_合同数据仓库'!$B$5:$BP$20,29,FALSE),0)</f>
        <v>0</v>
      </c>
      <c r="S467" s="125">
        <f>IFERROR(VLOOKUP($L467,'2-2 引出数据_合同数据仓库'!$B$5:$BP$20,4,FALSE),0)</f>
        <v>0</v>
      </c>
      <c r="T467" s="125"/>
      <c r="U467" s="125">
        <f>IFERROR(VLOOKUP($L467,'2-2 引出数据_合同数据仓库'!$B$5:$BP$20,15,FALSE),0)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hidden="1"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引出数据_合同数据仓库'!$B$5:$BP$20,3,FALSE),0)</f>
        <v>0</v>
      </c>
      <c r="N468" s="125"/>
      <c r="O468" s="151">
        <f>IFERROR(VLOOKUP((LEFT(VLOOKUP($L468,'2-2 引出数据_合同数据仓库'!$B$5:$BP$20,64,FALSE),15)&amp;(RIGHT(VLOOKUP($L468,'2-2 引出数据_合同数据仓库'!$B$5:$BP$20,64,FALSE),4)+1)),'2-2 引出数据_合同数据仓库'!$B$5:$BP$20,3,FALSE),0)</f>
        <v>0</v>
      </c>
      <c r="P468" s="125"/>
      <c r="Q468" s="125">
        <f>IFERROR(VLOOKUP($L468,'2-2 引出数据_合同数据仓库'!$B$5:$BP$20,28,FALSE),0)</f>
        <v>0</v>
      </c>
      <c r="R468" s="125">
        <f>IFERROR(VLOOKUP($L468,'2-2 引出数据_合同数据仓库'!$B$5:$BP$20,29,FALSE),0)</f>
        <v>0</v>
      </c>
      <c r="S468" s="125">
        <f>IFERROR(VLOOKUP($L468,'2-2 引出数据_合同数据仓库'!$B$5:$BP$20,4,FALSE),0)</f>
        <v>0</v>
      </c>
      <c r="T468" s="125"/>
      <c r="U468" s="125">
        <f>IFERROR(VLOOKUP($L468,'2-2 引出数据_合同数据仓库'!$B$5:$BP$20,15,FALSE),0)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hidden="1"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引出数据_合同数据仓库'!$B$5:$BP$20,3,FALSE),0)</f>
        <v>0</v>
      </c>
      <c r="N469" s="125"/>
      <c r="O469" s="151">
        <f>IFERROR(VLOOKUP((LEFT(VLOOKUP($L469,'2-2 引出数据_合同数据仓库'!$B$5:$BP$20,64,FALSE),15)&amp;(RIGHT(VLOOKUP($L469,'2-2 引出数据_合同数据仓库'!$B$5:$BP$20,64,FALSE),4)+1)),'2-2 引出数据_合同数据仓库'!$B$5:$BP$20,3,FALSE),0)</f>
        <v>0</v>
      </c>
      <c r="P469" s="125"/>
      <c r="Q469" s="125">
        <f>IFERROR(VLOOKUP($L469,'2-2 引出数据_合同数据仓库'!$B$5:$BP$20,28,FALSE),0)</f>
        <v>0</v>
      </c>
      <c r="R469" s="125">
        <f>IFERROR(VLOOKUP($L469,'2-2 引出数据_合同数据仓库'!$B$5:$BP$20,29,FALSE),0)</f>
        <v>0</v>
      </c>
      <c r="S469" s="125">
        <f>IFERROR(VLOOKUP($L469,'2-2 引出数据_合同数据仓库'!$B$5:$BP$20,4,FALSE),0)</f>
        <v>0</v>
      </c>
      <c r="T469" s="125"/>
      <c r="U469" s="125">
        <f>IFERROR(VLOOKUP($L469,'2-2 引出数据_合同数据仓库'!$B$5:$BP$20,15,FALSE),0)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hidden="1" customHeight="1" outlineLevel="3" collapsed="1" spans="1:95">
      <c r="A470" s="122"/>
      <c r="B470" s="123"/>
      <c r="C470" s="124"/>
      <c r="D470" s="122"/>
      <c r="E470" s="123"/>
      <c r="F470" s="123"/>
      <c r="G470" s="123"/>
      <c r="H470" s="125"/>
      <c r="I470" s="125"/>
      <c r="J470" s="125">
        <f t="shared" si="5367"/>
        <v>0</v>
      </c>
      <c r="K470" s="125">
        <f t="shared" si="5511"/>
        <v>4</v>
      </c>
      <c r="L470" s="150"/>
      <c r="M470" s="151">
        <f>IFERROR(VLOOKUP($L470,'2-2 引出数据_合同数据仓库'!$B$5:$BP$20,3,FALSE),0)</f>
        <v>0</v>
      </c>
      <c r="N470" s="125"/>
      <c r="O470" s="151">
        <f>IFERROR(VLOOKUP((LEFT(VLOOKUP($L470,'2-2 引出数据_合同数据仓库'!$B$5:$BP$20,64,FALSE),15)&amp;(RIGHT(VLOOKUP($L470,'2-2 引出数据_合同数据仓库'!$B$5:$BP$20,64,FALSE),4)+1)),'2-2 引出数据_合同数据仓库'!$B$5:$BP$20,3,FALSE),0)</f>
        <v>0</v>
      </c>
      <c r="P470" s="125"/>
      <c r="Q470" s="125">
        <f>IFERROR(VLOOKUP($L470,'2-2 引出数据_合同数据仓库'!$B$5:$BP$20,28,FALSE),0)</f>
        <v>0</v>
      </c>
      <c r="R470" s="125">
        <f>IFERROR(VLOOKUP($L470,'2-2 引出数据_合同数据仓库'!$B$5:$BP$20,29,FALSE),0)</f>
        <v>0</v>
      </c>
      <c r="S470" s="125">
        <f>IFERROR(VLOOKUP($L470,'2-2 引出数据_合同数据仓库'!$B$5:$BP$20,4,FALSE),0)</f>
        <v>0</v>
      </c>
      <c r="T470" s="125"/>
      <c r="U470" s="125">
        <f>IFERROR(VLOOKUP($L470,'2-2 引出数据_合同数据仓库'!$B$5:$BP$20,15,FALSE),0)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hidden="1" customHeight="1" outlineLevel="4" spans="1:95">
      <c r="A471" s="126" t="s">
        <v>2770</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hidden="1" customHeight="1" outlineLevel="2" collapsed="1" spans="1:95">
      <c r="A472" s="48"/>
      <c r="B472" s="115" t="s">
        <v>747</v>
      </c>
      <c r="C472" s="116" t="s">
        <v>1522</v>
      </c>
      <c r="D472" s="48" t="s">
        <v>1523</v>
      </c>
      <c r="E472" s="115" t="s">
        <v>1524</v>
      </c>
      <c r="F472" s="115"/>
      <c r="G472" s="115" t="s">
        <v>891</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hidden="1"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引出数据_合同数据仓库'!$B$5:$BP$20,3,FALSE),0)</f>
        <v>0</v>
      </c>
      <c r="N473" s="125"/>
      <c r="O473" s="151">
        <f>IFERROR(VLOOKUP((LEFT(VLOOKUP($L473,'2-2 引出数据_合同数据仓库'!$B$5:$BP$20,64,FALSE),15)&amp;(RIGHT(VLOOKUP($L473,'2-2 引出数据_合同数据仓库'!$B$5:$BP$20,64,FALSE),4)+1)),'2-2 引出数据_合同数据仓库'!$B$5:$BP$20,3,FALSE),0)</f>
        <v>0</v>
      </c>
      <c r="P473" s="125"/>
      <c r="Q473" s="125">
        <f>IFERROR(VLOOKUP($L473,'2-2 引出数据_合同数据仓库'!$B$5:$BP$20,28,FALSE),0)</f>
        <v>0</v>
      </c>
      <c r="R473" s="125">
        <f>IFERROR(VLOOKUP($L473,'2-2 引出数据_合同数据仓库'!$B$5:$BP$20,29,FALSE),0)</f>
        <v>0</v>
      </c>
      <c r="S473" s="125">
        <f>IFERROR(VLOOKUP($L473,'2-2 引出数据_合同数据仓库'!$B$5:$BP$20,4,FALSE),0)</f>
        <v>0</v>
      </c>
      <c r="T473" s="125"/>
      <c r="U473" s="125">
        <f>IFERROR(VLOOKUP($L473,'2-2 引出数据_合同数据仓库'!$B$5:$BP$20,15,FALSE),0)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hidden="1"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引出数据_合同数据仓库'!$B$5:$BP$20,3,FALSE),0)</f>
        <v>0</v>
      </c>
      <c r="N474" s="125"/>
      <c r="O474" s="151">
        <f>IFERROR(VLOOKUP((LEFT(VLOOKUP($L474,'2-2 引出数据_合同数据仓库'!$B$5:$BP$20,64,FALSE),15)&amp;(RIGHT(VLOOKUP($L474,'2-2 引出数据_合同数据仓库'!$B$5:$BP$20,64,FALSE),4)+1)),'2-2 引出数据_合同数据仓库'!$B$5:$BP$20,3,FALSE),0)</f>
        <v>0</v>
      </c>
      <c r="P474" s="125"/>
      <c r="Q474" s="125">
        <f>IFERROR(VLOOKUP($L474,'2-2 引出数据_合同数据仓库'!$B$5:$BP$20,28,FALSE),0)</f>
        <v>0</v>
      </c>
      <c r="R474" s="125">
        <f>IFERROR(VLOOKUP($L474,'2-2 引出数据_合同数据仓库'!$B$5:$BP$20,29,FALSE),0)</f>
        <v>0</v>
      </c>
      <c r="S474" s="125">
        <f>IFERROR(VLOOKUP($L474,'2-2 引出数据_合同数据仓库'!$B$5:$BP$20,4,FALSE),0)</f>
        <v>0</v>
      </c>
      <c r="T474" s="125"/>
      <c r="U474" s="125">
        <f>IFERROR(VLOOKUP($L474,'2-2 引出数据_合同数据仓库'!$B$5:$BP$20,15,FALSE),0)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hidden="1"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引出数据_合同数据仓库'!$B$5:$BP$20,3,FALSE),0)</f>
        <v>0</v>
      </c>
      <c r="N475" s="125"/>
      <c r="O475" s="151">
        <f>IFERROR(VLOOKUP((LEFT(VLOOKUP($L475,'2-2 引出数据_合同数据仓库'!$B$5:$BP$20,64,FALSE),15)&amp;(RIGHT(VLOOKUP($L475,'2-2 引出数据_合同数据仓库'!$B$5:$BP$20,64,FALSE),4)+1)),'2-2 引出数据_合同数据仓库'!$B$5:$BP$20,3,FALSE),0)</f>
        <v>0</v>
      </c>
      <c r="P475" s="125"/>
      <c r="Q475" s="125">
        <f>IFERROR(VLOOKUP($L475,'2-2 引出数据_合同数据仓库'!$B$5:$BP$20,28,FALSE),0)</f>
        <v>0</v>
      </c>
      <c r="R475" s="125">
        <f>IFERROR(VLOOKUP($L475,'2-2 引出数据_合同数据仓库'!$B$5:$BP$20,29,FALSE),0)</f>
        <v>0</v>
      </c>
      <c r="S475" s="125">
        <f>IFERROR(VLOOKUP($L475,'2-2 引出数据_合同数据仓库'!$B$5:$BP$20,4,FALSE),0)</f>
        <v>0</v>
      </c>
      <c r="T475" s="125"/>
      <c r="U475" s="125">
        <f>IFERROR(VLOOKUP($L475,'2-2 引出数据_合同数据仓库'!$B$5:$BP$20,15,FALSE),0)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hidden="1" customHeight="1" outlineLevel="3" collapsed="1" spans="1:95">
      <c r="A476" s="122"/>
      <c r="B476" s="123"/>
      <c r="C476" s="124"/>
      <c r="D476" s="122"/>
      <c r="E476" s="123"/>
      <c r="F476" s="123"/>
      <c r="G476" s="123"/>
      <c r="H476" s="125"/>
      <c r="I476" s="125"/>
      <c r="J476" s="125">
        <f t="shared" si="5367"/>
        <v>0</v>
      </c>
      <c r="K476" s="125">
        <f t="shared" si="5583"/>
        <v>4</v>
      </c>
      <c r="L476" s="150"/>
      <c r="M476" s="151">
        <f>IFERROR(VLOOKUP($L476,'2-2 引出数据_合同数据仓库'!$B$5:$BP$20,3,FALSE),0)</f>
        <v>0</v>
      </c>
      <c r="N476" s="125"/>
      <c r="O476" s="151">
        <f>IFERROR(VLOOKUP((LEFT(VLOOKUP($L476,'2-2 引出数据_合同数据仓库'!$B$5:$BP$20,64,FALSE),15)&amp;(RIGHT(VLOOKUP($L476,'2-2 引出数据_合同数据仓库'!$B$5:$BP$20,64,FALSE),4)+1)),'2-2 引出数据_合同数据仓库'!$B$5:$BP$20,3,FALSE),0)</f>
        <v>0</v>
      </c>
      <c r="P476" s="125"/>
      <c r="Q476" s="125">
        <f>IFERROR(VLOOKUP($L476,'2-2 引出数据_合同数据仓库'!$B$5:$BP$20,28,FALSE),0)</f>
        <v>0</v>
      </c>
      <c r="R476" s="125">
        <f>IFERROR(VLOOKUP($L476,'2-2 引出数据_合同数据仓库'!$B$5:$BP$20,29,FALSE),0)</f>
        <v>0</v>
      </c>
      <c r="S476" s="125">
        <f>IFERROR(VLOOKUP($L476,'2-2 引出数据_合同数据仓库'!$B$5:$BP$20,4,FALSE),0)</f>
        <v>0</v>
      </c>
      <c r="T476" s="125"/>
      <c r="U476" s="125">
        <f>IFERROR(VLOOKUP($L476,'2-2 引出数据_合同数据仓库'!$B$5:$BP$20,15,FALSE),0)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hidden="1" customHeight="1" outlineLevel="4" spans="1:95">
      <c r="A477" s="126" t="s">
        <v>2770</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hidden="1" customHeight="1" outlineLevel="2" collapsed="1" spans="1:95">
      <c r="A478" s="48"/>
      <c r="B478" s="115" t="s">
        <v>747</v>
      </c>
      <c r="C478" s="116" t="s">
        <v>1525</v>
      </c>
      <c r="D478" s="48" t="s">
        <v>1526</v>
      </c>
      <c r="E478" s="115"/>
      <c r="F478" s="115"/>
      <c r="G478" s="115" t="s">
        <v>891</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hidden="1" customHeight="1" outlineLevel="3" spans="1:95">
      <c r="A479" s="122"/>
      <c r="B479" s="123"/>
      <c r="C479" s="124" t="s">
        <v>1527</v>
      </c>
      <c r="D479" s="122" t="s">
        <v>2794</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hidden="1"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引出数据_合同数据仓库'!$B$5:$BP$20,3,FALSE),0)</f>
        <v>0</v>
      </c>
      <c r="N480" s="125"/>
      <c r="O480" s="151">
        <f>IFERROR(VLOOKUP((LEFT(VLOOKUP($L480,'2-2 引出数据_合同数据仓库'!$B$5:$BP$20,64,FALSE),15)&amp;(RIGHT(VLOOKUP($L480,'2-2 引出数据_合同数据仓库'!$B$5:$BP$20,64,FALSE),4)+1)),'2-2 引出数据_合同数据仓库'!$B$5:$BP$20,3,FALSE),0)</f>
        <v>0</v>
      </c>
      <c r="P480" s="125"/>
      <c r="Q480" s="125">
        <f>IFERROR(VLOOKUP($L480,'2-2 引出数据_合同数据仓库'!$B$5:$BP$20,28,FALSE),0)</f>
        <v>0</v>
      </c>
      <c r="R480" s="125">
        <f>IFERROR(VLOOKUP($L480,'2-2 引出数据_合同数据仓库'!$B$5:$BP$20,29,FALSE),0)</f>
        <v>0</v>
      </c>
      <c r="S480" s="125">
        <f>IFERROR(VLOOKUP($L480,'2-2 引出数据_合同数据仓库'!$B$5:$BP$20,4,FALSE),0)</f>
        <v>0</v>
      </c>
      <c r="T480" s="125"/>
      <c r="U480" s="125">
        <f>IFERROR(VLOOKUP($L480,'2-2 引出数据_合同数据仓库'!$B$5:$BP$20,15,FALSE),0)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hidden="1"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引出数据_合同数据仓库'!$B$5:$BP$20,3,FALSE),0)</f>
        <v>0</v>
      </c>
      <c r="N481" s="125"/>
      <c r="O481" s="151">
        <f>IFERROR(VLOOKUP((LEFT(VLOOKUP($L481,'2-2 引出数据_合同数据仓库'!$B$5:$BP$20,64,FALSE),15)&amp;(RIGHT(VLOOKUP($L481,'2-2 引出数据_合同数据仓库'!$B$5:$BP$20,64,FALSE),4)+1)),'2-2 引出数据_合同数据仓库'!$B$5:$BP$20,3,FALSE),0)</f>
        <v>0</v>
      </c>
      <c r="P481" s="125"/>
      <c r="Q481" s="125">
        <f>IFERROR(VLOOKUP($L481,'2-2 引出数据_合同数据仓库'!$B$5:$BP$20,28,FALSE),0)</f>
        <v>0</v>
      </c>
      <c r="R481" s="125">
        <f>IFERROR(VLOOKUP($L481,'2-2 引出数据_合同数据仓库'!$B$5:$BP$20,29,FALSE),0)</f>
        <v>0</v>
      </c>
      <c r="S481" s="125">
        <f>IFERROR(VLOOKUP($L481,'2-2 引出数据_合同数据仓库'!$B$5:$BP$20,4,FALSE),0)</f>
        <v>0</v>
      </c>
      <c r="T481" s="125"/>
      <c r="U481" s="125">
        <f>IFERROR(VLOOKUP($L481,'2-2 引出数据_合同数据仓库'!$B$5:$BP$20,15,FALSE),0)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hidden="1" customHeight="1" outlineLevel="3" collapsed="1" spans="1:95">
      <c r="A482" s="122"/>
      <c r="B482" s="123"/>
      <c r="C482" s="124"/>
      <c r="D482" s="122"/>
      <c r="E482" s="123"/>
      <c r="F482" s="123"/>
      <c r="G482" s="123"/>
      <c r="H482" s="125"/>
      <c r="I482" s="125"/>
      <c r="J482" s="125">
        <f t="shared" si="5367"/>
        <v>0</v>
      </c>
      <c r="K482" s="125">
        <f t="shared" si="5619"/>
        <v>3</v>
      </c>
      <c r="L482" s="150"/>
      <c r="M482" s="151">
        <f>IFERROR(VLOOKUP($L482,'2-2 引出数据_合同数据仓库'!$B$5:$BP$20,3,FALSE),0)</f>
        <v>0</v>
      </c>
      <c r="N482" s="125"/>
      <c r="O482" s="151">
        <f>IFERROR(VLOOKUP((LEFT(VLOOKUP($L482,'2-2 引出数据_合同数据仓库'!$B$5:$BP$20,64,FALSE),15)&amp;(RIGHT(VLOOKUP($L482,'2-2 引出数据_合同数据仓库'!$B$5:$BP$20,64,FALSE),4)+1)),'2-2 引出数据_合同数据仓库'!$B$5:$BP$20,3,FALSE),0)</f>
        <v>0</v>
      </c>
      <c r="P482" s="125"/>
      <c r="Q482" s="125">
        <f>IFERROR(VLOOKUP($L482,'2-2 引出数据_合同数据仓库'!$B$5:$BP$20,28,FALSE),0)</f>
        <v>0</v>
      </c>
      <c r="R482" s="125">
        <f>IFERROR(VLOOKUP($L482,'2-2 引出数据_合同数据仓库'!$B$5:$BP$20,29,FALSE),0)</f>
        <v>0</v>
      </c>
      <c r="S482" s="125">
        <f>IFERROR(VLOOKUP($L482,'2-2 引出数据_合同数据仓库'!$B$5:$BP$20,4,FALSE),0)</f>
        <v>0</v>
      </c>
      <c r="T482" s="125"/>
      <c r="U482" s="125">
        <f>IFERROR(VLOOKUP($L482,'2-2 引出数据_合同数据仓库'!$B$5:$BP$20,15,FALSE),0)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hidden="1" customHeight="1" outlineLevel="4" spans="1:95">
      <c r="A483" s="126" t="s">
        <v>2770</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hidden="1" customHeight="1" outlineLevel="2" collapsed="1" spans="1:95">
      <c r="A484" s="48"/>
      <c r="B484" s="115" t="s">
        <v>747</v>
      </c>
      <c r="C484" s="116" t="s">
        <v>1543</v>
      </c>
      <c r="D484" s="48" t="s">
        <v>1544</v>
      </c>
      <c r="E484" s="115" t="s">
        <v>1545</v>
      </c>
      <c r="F484" s="115"/>
      <c r="G484" s="115" t="s">
        <v>891</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hidden="1" customHeight="1" outlineLevel="3" spans="1:95">
      <c r="A485" s="122"/>
      <c r="B485" s="123"/>
      <c r="C485" s="124"/>
      <c r="D485" s="122"/>
      <c r="E485" s="123"/>
      <c r="F485" s="123"/>
      <c r="G485" s="123"/>
      <c r="H485" s="125"/>
      <c r="I485" s="125"/>
      <c r="J485" s="125">
        <f t="shared" si="5367"/>
        <v>0</v>
      </c>
      <c r="K485" s="125">
        <v>1</v>
      </c>
      <c r="L485" s="150" t="s">
        <v>2795</v>
      </c>
      <c r="M485" s="151">
        <f>IFERROR(VLOOKUP($L485,'2-2 引出数据_合同数据仓库'!$B$5:$BP$20,3,FALSE),0)</f>
        <v>0</v>
      </c>
      <c r="N485" s="125"/>
      <c r="O485" s="151">
        <f>IFERROR(VLOOKUP((LEFT(VLOOKUP($L485,'2-2 引出数据_合同数据仓库'!$B$5:$BP$20,64,FALSE),15)&amp;(RIGHT(VLOOKUP($L485,'2-2 引出数据_合同数据仓库'!$B$5:$BP$20,64,FALSE),4)+1)),'2-2 引出数据_合同数据仓库'!$B$5:$BP$20,3,FALSE),0)</f>
        <v>0</v>
      </c>
      <c r="P485" s="125"/>
      <c r="Q485" s="125">
        <f>IFERROR(VLOOKUP($L485,'2-2 引出数据_合同数据仓库'!$B$5:$BP$20,28,FALSE),0)</f>
        <v>0</v>
      </c>
      <c r="R485" s="125">
        <f>IFERROR(VLOOKUP($L485,'2-2 引出数据_合同数据仓库'!$B$5:$BP$20,29,FALSE),0)</f>
        <v>0</v>
      </c>
      <c r="S485" s="125">
        <f>IFERROR(VLOOKUP($L485,'2-2 引出数据_合同数据仓库'!$B$5:$BP$20,4,FALSE),0)</f>
        <v>0</v>
      </c>
      <c r="T485" s="125"/>
      <c r="U485" s="125">
        <f>IFERROR(VLOOKUP($L485,'2-2 引出数据_合同数据仓库'!$B$5:$BP$20,15,FALSE),0)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hidden="1"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引出数据_合同数据仓库'!$B$5:$BP$20,3,FALSE),0)</f>
        <v>0</v>
      </c>
      <c r="N486" s="125"/>
      <c r="O486" s="151">
        <f>IFERROR(VLOOKUP((LEFT(VLOOKUP($L486,'2-2 引出数据_合同数据仓库'!$B$5:$BP$20,64,FALSE),15)&amp;(RIGHT(VLOOKUP($L486,'2-2 引出数据_合同数据仓库'!$B$5:$BP$20,64,FALSE),4)+1)),'2-2 引出数据_合同数据仓库'!$B$5:$BP$20,3,FALSE),0)</f>
        <v>0</v>
      </c>
      <c r="P486" s="125"/>
      <c r="Q486" s="125">
        <f>IFERROR(VLOOKUP($L486,'2-2 引出数据_合同数据仓库'!$B$5:$BP$20,28,FALSE),0)</f>
        <v>0</v>
      </c>
      <c r="R486" s="125">
        <f>IFERROR(VLOOKUP($L486,'2-2 引出数据_合同数据仓库'!$B$5:$BP$20,29,FALSE),0)</f>
        <v>0</v>
      </c>
      <c r="S486" s="125">
        <f>IFERROR(VLOOKUP($L486,'2-2 引出数据_合同数据仓库'!$B$5:$BP$20,4,FALSE),0)</f>
        <v>0</v>
      </c>
      <c r="T486" s="125"/>
      <c r="U486" s="125">
        <f>IFERROR(VLOOKUP($L486,'2-2 引出数据_合同数据仓库'!$B$5:$BP$20,15,FALSE),0)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hidden="1"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引出数据_合同数据仓库'!$B$5:$BP$20,3,FALSE),0)</f>
        <v>0</v>
      </c>
      <c r="N487" s="125"/>
      <c r="O487" s="151">
        <f>IFERROR(VLOOKUP((LEFT(VLOOKUP($L487,'2-2 引出数据_合同数据仓库'!$B$5:$BP$20,64,FALSE),15)&amp;(RIGHT(VLOOKUP($L487,'2-2 引出数据_合同数据仓库'!$B$5:$BP$20,64,FALSE),4)+1)),'2-2 引出数据_合同数据仓库'!$B$5:$BP$20,3,FALSE),0)</f>
        <v>0</v>
      </c>
      <c r="P487" s="125"/>
      <c r="Q487" s="125">
        <f>IFERROR(VLOOKUP($L487,'2-2 引出数据_合同数据仓库'!$B$5:$BP$20,28,FALSE),0)</f>
        <v>0</v>
      </c>
      <c r="R487" s="125">
        <f>IFERROR(VLOOKUP($L487,'2-2 引出数据_合同数据仓库'!$B$5:$BP$20,29,FALSE),0)</f>
        <v>0</v>
      </c>
      <c r="S487" s="125">
        <f>IFERROR(VLOOKUP($L487,'2-2 引出数据_合同数据仓库'!$B$5:$BP$20,4,FALSE),0)</f>
        <v>0</v>
      </c>
      <c r="T487" s="125"/>
      <c r="U487" s="125">
        <f>IFERROR(VLOOKUP($L487,'2-2 引出数据_合同数据仓库'!$B$5:$BP$20,15,FALSE),0)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hidden="1" customHeight="1" outlineLevel="3" collapsed="1" spans="1:95">
      <c r="A488" s="122"/>
      <c r="B488" s="123"/>
      <c r="C488" s="124"/>
      <c r="D488" s="122"/>
      <c r="E488" s="123"/>
      <c r="F488" s="123"/>
      <c r="G488" s="123"/>
      <c r="H488" s="125"/>
      <c r="I488" s="125"/>
      <c r="J488" s="125">
        <f t="shared" si="5367"/>
        <v>0</v>
      </c>
      <c r="K488" s="125">
        <f t="shared" si="5762"/>
        <v>4</v>
      </c>
      <c r="L488" s="150"/>
      <c r="M488" s="151">
        <f>IFERROR(VLOOKUP($L488,'2-2 引出数据_合同数据仓库'!$B$5:$BP$20,3,FALSE),0)</f>
        <v>0</v>
      </c>
      <c r="N488" s="125"/>
      <c r="O488" s="151">
        <f>IFERROR(VLOOKUP((LEFT(VLOOKUP($L488,'2-2 引出数据_合同数据仓库'!$B$5:$BP$20,64,FALSE),15)&amp;(RIGHT(VLOOKUP($L488,'2-2 引出数据_合同数据仓库'!$B$5:$BP$20,64,FALSE),4)+1)),'2-2 引出数据_合同数据仓库'!$B$5:$BP$20,3,FALSE),0)</f>
        <v>0</v>
      </c>
      <c r="P488" s="125"/>
      <c r="Q488" s="125">
        <f>IFERROR(VLOOKUP($L488,'2-2 引出数据_合同数据仓库'!$B$5:$BP$20,28,FALSE),0)</f>
        <v>0</v>
      </c>
      <c r="R488" s="125">
        <f>IFERROR(VLOOKUP($L488,'2-2 引出数据_合同数据仓库'!$B$5:$BP$20,29,FALSE),0)</f>
        <v>0</v>
      </c>
      <c r="S488" s="125">
        <f>IFERROR(VLOOKUP($L488,'2-2 引出数据_合同数据仓库'!$B$5:$BP$20,4,FALSE),0)</f>
        <v>0</v>
      </c>
      <c r="T488" s="125"/>
      <c r="U488" s="125">
        <f>IFERROR(VLOOKUP($L488,'2-2 引出数据_合同数据仓库'!$B$5:$BP$20,15,FALSE),0)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hidden="1" customHeight="1" outlineLevel="4" spans="1:95">
      <c r="A489" s="126" t="s">
        <v>2770</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hidden="1" customHeight="1" outlineLevel="2" collapsed="1" spans="1:95">
      <c r="A490" s="48"/>
      <c r="B490" s="115" t="s">
        <v>747</v>
      </c>
      <c r="C490" s="116" t="s">
        <v>1546</v>
      </c>
      <c r="D490" s="48" t="s">
        <v>1547</v>
      </c>
      <c r="E490" s="115" t="s">
        <v>1548</v>
      </c>
      <c r="F490" s="115"/>
      <c r="G490" s="115" t="s">
        <v>891</v>
      </c>
      <c r="H490" s="117">
        <f>X490+AA490+AD490+AG490+AJ490+AM490+AP490+AS490+AV490+AY490+BB490+BE490</f>
        <v>0</v>
      </c>
      <c r="I490" s="117">
        <f>Y490+AB490+AE490+AH490+AK490+AN490+AQ490+AT490+AW490+AZ490+BC490+BF490</f>
        <v>0</v>
      </c>
      <c r="J490" s="117">
        <f t="shared" si="5367"/>
        <v>0</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0</v>
      </c>
      <c r="AR490" s="117">
        <f>SUM(AR491:AR495)</f>
        <v>0</v>
      </c>
      <c r="AS490" s="117">
        <f>VLOOKUP($C490,'1 预算编制表单'!$C:$BJ,48,FALSE)</f>
        <v>0</v>
      </c>
      <c r="AT490" s="117">
        <f>AS490-AU490</f>
        <v>0</v>
      </c>
      <c r="AU490" s="117">
        <f>SUM(AU491:AU495)</f>
        <v>0</v>
      </c>
      <c r="AV490" s="117">
        <f>VLOOKUP($C490,'1 预算编制表单'!$C:$BJ,51,FALSE)</f>
        <v>0</v>
      </c>
      <c r="AW490" s="117">
        <f>AV490-AX490</f>
        <v>0</v>
      </c>
      <c r="AX490" s="117">
        <f>SUM(AX491:AX495)</f>
        <v>0</v>
      </c>
      <c r="AY490" s="117">
        <f>VLOOKUP($C490,'1 预算编制表单'!$C:$BJ,54,FALSE)</f>
        <v>0</v>
      </c>
      <c r="AZ490" s="117">
        <f>AY490-BA490</f>
        <v>0</v>
      </c>
      <c r="BA490" s="117">
        <f>SUM(BA491:BA495)</f>
        <v>0</v>
      </c>
      <c r="BB490" s="117">
        <f>VLOOKUP($C490,'1 预算编制表单'!$C:$BJ,57,FALSE)</f>
        <v>0</v>
      </c>
      <c r="BC490" s="117">
        <f>BB490-BD490</f>
        <v>0</v>
      </c>
      <c r="BD490" s="117">
        <f>SUM(BD491:BD495)</f>
        <v>0</v>
      </c>
      <c r="BE490" s="117">
        <f>VLOOKUP($C490,'1 预算编制表单'!$C:$BJ,60,FALSE)</f>
        <v>0</v>
      </c>
      <c r="BF490" s="117">
        <f>BE490-BG490</f>
        <v>0</v>
      </c>
      <c r="BG490" s="117">
        <f>SUM(BG491:BG495)</f>
        <v>0</v>
      </c>
      <c r="BH490" s="117">
        <f>VLOOKUP($C490,'1 预算编制表单'!$C:$BJ,27,FALSE)</f>
        <v>0</v>
      </c>
      <c r="BI490" s="117">
        <f>BH490-BJ490</f>
        <v>0</v>
      </c>
      <c r="BJ490" s="117">
        <f>SUM(BJ491:BJ495)</f>
        <v>0</v>
      </c>
      <c r="BK490" s="117">
        <f>VLOOKUP($C490,'1 预算编制表单'!$C:$BJ,30,FALSE)</f>
        <v>0</v>
      </c>
      <c r="BL490" s="117">
        <f>BK490-BM490</f>
        <v>0</v>
      </c>
      <c r="BM490" s="117">
        <f>SUM(BM491:BM495)</f>
        <v>0</v>
      </c>
      <c r="BN490" s="117">
        <f>VLOOKUP($C490,'1 预算编制表单'!$C:$BJ,33,FALSE)</f>
        <v>0</v>
      </c>
      <c r="BO490" s="117">
        <f>BN490-BP490</f>
        <v>0</v>
      </c>
      <c r="BP490" s="117">
        <f>SUM(BP491:BP495)</f>
        <v>0</v>
      </c>
      <c r="BQ490" s="117">
        <f>VLOOKUP($C490,'1 预算编制表单'!$C:$BJ,36,FALSE)</f>
        <v>0</v>
      </c>
      <c r="BR490" s="117">
        <f>BQ490-BS490</f>
        <v>0</v>
      </c>
      <c r="BS490" s="117">
        <f>SUM(BS491:BS495)</f>
        <v>0</v>
      </c>
      <c r="BT490" s="117">
        <f>VLOOKUP($C490,'1 预算编制表单'!$C:$BJ,39,FALSE)</f>
        <v>0</v>
      </c>
      <c r="BU490" s="117">
        <f>BT490-BV490</f>
        <v>0</v>
      </c>
      <c r="BV490" s="117">
        <f>SUM(BV491:BV495)</f>
        <v>0</v>
      </c>
      <c r="BW490" s="117">
        <f>VLOOKUP($C490,'1 预算编制表单'!$C:$BJ,42,FALSE)</f>
        <v>0</v>
      </c>
      <c r="BX490" s="117">
        <f>BW490-BY490</f>
        <v>0</v>
      </c>
      <c r="BY490" s="117">
        <f>SUM(BY491:BY495)</f>
        <v>0</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hidden="1" customHeight="1" outlineLevel="3" spans="1:95">
      <c r="A491" s="122"/>
      <c r="B491" s="123"/>
      <c r="C491" s="124"/>
      <c r="D491" s="122"/>
      <c r="E491" s="123"/>
      <c r="F491" s="123"/>
      <c r="G491" s="123"/>
      <c r="H491" s="125"/>
      <c r="I491" s="125"/>
      <c r="J491" s="125">
        <f t="shared" si="5367"/>
        <v>0</v>
      </c>
      <c r="K491" s="125">
        <v>1</v>
      </c>
      <c r="L491" s="150"/>
      <c r="M491" s="151">
        <f>IFERROR(VLOOKUP($L491,'2-2 引出数据_合同数据仓库'!$B$5:$BP$20,3,FALSE),0)</f>
        <v>0</v>
      </c>
      <c r="N491" s="125"/>
      <c r="O491" s="151">
        <f>IFERROR(VLOOKUP((LEFT(VLOOKUP($L491,'2-2 引出数据_合同数据仓库'!$B$5:$BP$20,64,FALSE),15)&amp;(RIGHT(VLOOKUP($L491,'2-2 引出数据_合同数据仓库'!$B$5:$BP$20,64,FALSE),4)+1)),'2-2 引出数据_合同数据仓库'!$B$5:$BP$20,3,FALSE),0)</f>
        <v>0</v>
      </c>
      <c r="P491" s="125"/>
      <c r="Q491" s="125">
        <f>IFERROR(VLOOKUP($L491,'2-2 引出数据_合同数据仓库'!$B$5:$BP$20,28,FALSE),0)</f>
        <v>0</v>
      </c>
      <c r="R491" s="125">
        <f>IFERROR(VLOOKUP($L491,'2-2 引出数据_合同数据仓库'!$B$5:$BP$20,29,FALSE),0)</f>
        <v>0</v>
      </c>
      <c r="S491" s="125">
        <f>IFERROR(VLOOKUP($L491,'2-2 引出数据_合同数据仓库'!$B$5:$BP$20,4,FALSE),0)</f>
        <v>0</v>
      </c>
      <c r="T491" s="125"/>
      <c r="U491" s="125">
        <f>IFERROR(VLOOKUP($L491,'2-2 引出数据_合同数据仓库'!$B$5:$BP$20,15,FALSE),0)</f>
        <v>0</v>
      </c>
      <c r="V491" s="125">
        <f t="shared" ref="V491:V494" si="5763">U491/(S491-R491+1)*365</f>
        <v>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0</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0</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0</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0</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0</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0</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0</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0</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0</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0</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0</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0</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hidden="1"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引出数据_合同数据仓库'!$B$5:$BP$20,3,FALSE),0)</f>
        <v>0</v>
      </c>
      <c r="N492" s="125"/>
      <c r="O492" s="151">
        <f>IFERROR(VLOOKUP((LEFT(VLOOKUP($L492,'2-2 引出数据_合同数据仓库'!$B$5:$BP$20,64,FALSE),15)&amp;(RIGHT(VLOOKUP($L492,'2-2 引出数据_合同数据仓库'!$B$5:$BP$20,64,FALSE),4)+1)),'2-2 引出数据_合同数据仓库'!$B$5:$BP$20,3,FALSE),0)</f>
        <v>0</v>
      </c>
      <c r="P492" s="125"/>
      <c r="Q492" s="125">
        <f>IFERROR(VLOOKUP($L492,'2-2 引出数据_合同数据仓库'!$B$5:$BP$20,28,FALSE),0)</f>
        <v>0</v>
      </c>
      <c r="R492" s="125">
        <f>IFERROR(VLOOKUP($L492,'2-2 引出数据_合同数据仓库'!$B$5:$BP$20,29,FALSE),0)</f>
        <v>0</v>
      </c>
      <c r="S492" s="125">
        <f>IFERROR(VLOOKUP($L492,'2-2 引出数据_合同数据仓库'!$B$5:$BP$20,4,FALSE),0)</f>
        <v>0</v>
      </c>
      <c r="T492" s="125"/>
      <c r="U492" s="125">
        <f>IFERROR(VLOOKUP($L492,'2-2 引出数据_合同数据仓库'!$B$5:$BP$20,15,FALSE),0)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hidden="1"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引出数据_合同数据仓库'!$B$5:$BP$20,3,FALSE),0)</f>
        <v>0</v>
      </c>
      <c r="N493" s="125"/>
      <c r="O493" s="151">
        <f>IFERROR(VLOOKUP((LEFT(VLOOKUP($L493,'2-2 引出数据_合同数据仓库'!$B$5:$BP$20,64,FALSE),15)&amp;(RIGHT(VLOOKUP($L493,'2-2 引出数据_合同数据仓库'!$B$5:$BP$20,64,FALSE),4)+1)),'2-2 引出数据_合同数据仓库'!$B$5:$BP$20,3,FALSE),0)</f>
        <v>0</v>
      </c>
      <c r="P493" s="125"/>
      <c r="Q493" s="125">
        <f>IFERROR(VLOOKUP($L493,'2-2 引出数据_合同数据仓库'!$B$5:$BP$20,28,FALSE),0)</f>
        <v>0</v>
      </c>
      <c r="R493" s="125">
        <f>IFERROR(VLOOKUP($L493,'2-2 引出数据_合同数据仓库'!$B$5:$BP$20,29,FALSE),0)</f>
        <v>0</v>
      </c>
      <c r="S493" s="125">
        <f>IFERROR(VLOOKUP($L493,'2-2 引出数据_合同数据仓库'!$B$5:$BP$20,4,FALSE),0)</f>
        <v>0</v>
      </c>
      <c r="T493" s="125"/>
      <c r="U493" s="125">
        <f>IFERROR(VLOOKUP($L493,'2-2 引出数据_合同数据仓库'!$B$5:$BP$20,15,FALSE),0)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hidden="1" customHeight="1" outlineLevel="3" collapsed="1" spans="1:95">
      <c r="A494" s="122"/>
      <c r="B494" s="123"/>
      <c r="C494" s="124"/>
      <c r="D494" s="122"/>
      <c r="E494" s="123"/>
      <c r="F494" s="123"/>
      <c r="G494" s="123"/>
      <c r="H494" s="125"/>
      <c r="I494" s="125"/>
      <c r="J494" s="125">
        <f t="shared" si="5367"/>
        <v>0</v>
      </c>
      <c r="K494" s="125">
        <f t="shared" si="5834"/>
        <v>4</v>
      </c>
      <c r="L494" s="150"/>
      <c r="M494" s="151">
        <f>IFERROR(VLOOKUP($L494,'2-2 引出数据_合同数据仓库'!$B$5:$BP$20,3,FALSE),0)</f>
        <v>0</v>
      </c>
      <c r="N494" s="125"/>
      <c r="O494" s="151">
        <f>IFERROR(VLOOKUP((LEFT(VLOOKUP($L494,'2-2 引出数据_合同数据仓库'!$B$5:$BP$20,64,FALSE),15)&amp;(RIGHT(VLOOKUP($L494,'2-2 引出数据_合同数据仓库'!$B$5:$BP$20,64,FALSE),4)+1)),'2-2 引出数据_合同数据仓库'!$B$5:$BP$20,3,FALSE),0)</f>
        <v>0</v>
      </c>
      <c r="P494" s="125"/>
      <c r="Q494" s="125">
        <f>IFERROR(VLOOKUP($L494,'2-2 引出数据_合同数据仓库'!$B$5:$BP$20,28,FALSE),0)</f>
        <v>0</v>
      </c>
      <c r="R494" s="125">
        <f>IFERROR(VLOOKUP($L494,'2-2 引出数据_合同数据仓库'!$B$5:$BP$20,29,FALSE),0)</f>
        <v>0</v>
      </c>
      <c r="S494" s="125">
        <f>IFERROR(VLOOKUP($L494,'2-2 引出数据_合同数据仓库'!$B$5:$BP$20,4,FALSE),0)</f>
        <v>0</v>
      </c>
      <c r="T494" s="125"/>
      <c r="U494" s="125">
        <f>IFERROR(VLOOKUP($L494,'2-2 引出数据_合同数据仓库'!$B$5:$BP$20,15,FALSE),0)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hidden="1" customHeight="1" outlineLevel="4" spans="1:95">
      <c r="A495" s="126" t="s">
        <v>2770</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hidden="1" customHeight="1" outlineLevel="2" collapsed="1" spans="1:95">
      <c r="A496" s="48"/>
      <c r="B496" s="115" t="s">
        <v>747</v>
      </c>
      <c r="C496" s="116" t="s">
        <v>1549</v>
      </c>
      <c r="D496" s="48" t="s">
        <v>1550</v>
      </c>
      <c r="E496" s="115"/>
      <c r="F496" s="115"/>
      <c r="G496" s="115"/>
      <c r="H496" s="117">
        <f>X496+AA496+AD496+AG496+AJ496+AM496+AP496+AS496+AV496+AY496+BB496+BE496</f>
        <v>0</v>
      </c>
      <c r="I496" s="117">
        <f>Y496+AB496+AE496+AH496+AK496+AN496+AQ496+AT496+AW496+AZ496+BC496+BF496</f>
        <v>0</v>
      </c>
      <c r="J496" s="117">
        <f t="shared" si="5367"/>
        <v>0</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0</v>
      </c>
      <c r="AL496" s="117">
        <f>SUM(AL497:AL501)</f>
        <v>0</v>
      </c>
      <c r="AM496" s="117">
        <f>VLOOKUP($C496,'1 预算编制表单'!$C:$BJ,42,FALSE)</f>
        <v>0</v>
      </c>
      <c r="AN496" s="117">
        <f>AM496-AO496</f>
        <v>0</v>
      </c>
      <c r="AO496" s="117">
        <f>SUM(AO497:AO501)</f>
        <v>0</v>
      </c>
      <c r="AP496" s="117">
        <f>VLOOKUP($C496,'1 预算编制表单'!$C:$BJ,45,FALSE)</f>
        <v>0</v>
      </c>
      <c r="AQ496" s="117">
        <f>AP496-AR496</f>
        <v>0</v>
      </c>
      <c r="AR496" s="117">
        <f>SUM(AR497:AR501)</f>
        <v>0</v>
      </c>
      <c r="AS496" s="117">
        <f>VLOOKUP($C496,'1 预算编制表单'!$C:$BJ,48,FALSE)</f>
        <v>0</v>
      </c>
      <c r="AT496" s="117">
        <f>AS496-AU496</f>
        <v>0</v>
      </c>
      <c r="AU496" s="117">
        <f>SUM(AU497:AU501)</f>
        <v>0</v>
      </c>
      <c r="AV496" s="117">
        <f>VLOOKUP($C496,'1 预算编制表单'!$C:$BJ,51,FALSE)</f>
        <v>0</v>
      </c>
      <c r="AW496" s="117">
        <f>AV496-AX496</f>
        <v>0</v>
      </c>
      <c r="AX496" s="117">
        <f>SUM(AX497:AX501)</f>
        <v>0</v>
      </c>
      <c r="AY496" s="117">
        <f>VLOOKUP($C496,'1 预算编制表单'!$C:$BJ,54,FALSE)</f>
        <v>0</v>
      </c>
      <c r="AZ496" s="117">
        <f>AY496-BA496</f>
        <v>0</v>
      </c>
      <c r="BA496" s="117">
        <f>SUM(BA497:BA501)</f>
        <v>0</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hidden="1" customHeight="1" outlineLevel="3" spans="1:95">
      <c r="A497" s="122"/>
      <c r="B497" s="123"/>
      <c r="C497" s="124"/>
      <c r="D497" s="122"/>
      <c r="E497" s="123"/>
      <c r="F497" s="123"/>
      <c r="G497" s="123"/>
      <c r="H497" s="125"/>
      <c r="I497" s="125"/>
      <c r="J497" s="125">
        <f t="shared" si="5367"/>
        <v>0</v>
      </c>
      <c r="K497" s="125">
        <v>1</v>
      </c>
      <c r="L497" s="150"/>
      <c r="M497" s="151">
        <f>IFERROR(VLOOKUP($L497,'2-2 引出数据_合同数据仓库'!$B$5:$BP$20,3,FALSE),0)</f>
        <v>0</v>
      </c>
      <c r="N497" s="125"/>
      <c r="O497" s="151">
        <f>IFERROR(VLOOKUP((LEFT(VLOOKUP($L497,'2-2 引出数据_合同数据仓库'!$B$5:$BP$20,64,FALSE),15)&amp;(RIGHT(VLOOKUP($L497,'2-2 引出数据_合同数据仓库'!$B$5:$BP$20,64,FALSE),4)+1)),'2-2 引出数据_合同数据仓库'!$B$5:$BP$20,3,FALSE),0)</f>
        <v>0</v>
      </c>
      <c r="P497" s="125"/>
      <c r="Q497" s="125">
        <f>IFERROR(VLOOKUP($L497,'2-2 引出数据_合同数据仓库'!$B$5:$BP$20,28,FALSE),0)</f>
        <v>0</v>
      </c>
      <c r="R497" s="125">
        <f>IFERROR(VLOOKUP($L497,'2-2 引出数据_合同数据仓库'!$B$5:$BP$20,29,FALSE),0)</f>
        <v>0</v>
      </c>
      <c r="S497" s="125">
        <f>IFERROR(VLOOKUP($L497,'2-2 引出数据_合同数据仓库'!$B$5:$BP$20,4,FALSE),0)</f>
        <v>0</v>
      </c>
      <c r="T497" s="125"/>
      <c r="U497" s="125">
        <f>IFERROR(VLOOKUP($L497,'2-2 引出数据_合同数据仓库'!$B$5:$BP$20,15,FALSE),0)</f>
        <v>0</v>
      </c>
      <c r="V497" s="125">
        <f t="shared" ref="V497:V500" si="5835">U497/(S497-R497+1)*365</f>
        <v>0</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0</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0</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0</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0</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0</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0</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hidden="1" customHeight="1" outlineLevel="3" spans="1:95">
      <c r="A498" s="122"/>
      <c r="B498" s="123"/>
      <c r="C498" s="124"/>
      <c r="D498" s="122"/>
      <c r="E498" s="123"/>
      <c r="F498" s="123"/>
      <c r="G498" s="123"/>
      <c r="H498" s="125"/>
      <c r="I498" s="125"/>
      <c r="J498" s="125">
        <f t="shared" si="5367"/>
        <v>0</v>
      </c>
      <c r="K498" s="125">
        <f t="shared" ref="K498:K500" si="5906">K497+1</f>
        <v>2</v>
      </c>
      <c r="L498" s="150"/>
      <c r="M498" s="151">
        <f>IFERROR(VLOOKUP($L498,'2-2 引出数据_合同数据仓库'!$B$5:$BP$20,3,FALSE),0)</f>
        <v>0</v>
      </c>
      <c r="N498" s="125"/>
      <c r="O498" s="151">
        <f>IFERROR(VLOOKUP((LEFT(VLOOKUP($L498,'2-2 引出数据_合同数据仓库'!$B$5:$BP$20,64,FALSE),15)&amp;(RIGHT(VLOOKUP($L498,'2-2 引出数据_合同数据仓库'!$B$5:$BP$20,64,FALSE),4)+1)),'2-2 引出数据_合同数据仓库'!$B$5:$BP$20,3,FALSE),0)</f>
        <v>0</v>
      </c>
      <c r="P498" s="125"/>
      <c r="Q498" s="125">
        <f>IFERROR(VLOOKUP($L498,'2-2 引出数据_合同数据仓库'!$B$5:$BP$20,28,FALSE),0)</f>
        <v>0</v>
      </c>
      <c r="R498" s="125">
        <f>IFERROR(VLOOKUP($L498,'2-2 引出数据_合同数据仓库'!$B$5:$BP$20,29,FALSE),0)</f>
        <v>0</v>
      </c>
      <c r="S498" s="125">
        <f>IFERROR(VLOOKUP($L498,'2-2 引出数据_合同数据仓库'!$B$5:$BP$20,4,FALSE),0)</f>
        <v>0</v>
      </c>
      <c r="T498" s="125"/>
      <c r="U498" s="125">
        <f>IFERROR(VLOOKUP($L498,'2-2 引出数据_合同数据仓库'!$B$5:$BP$20,15,FALSE),0)</f>
        <v>0</v>
      </c>
      <c r="V498" s="125">
        <f t="shared" si="5835"/>
        <v>0</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hidden="1" customHeight="1" outlineLevel="3" spans="1:95">
      <c r="A499" s="122"/>
      <c r="B499" s="123"/>
      <c r="C499" s="124"/>
      <c r="D499" s="122"/>
      <c r="E499" s="123"/>
      <c r="F499" s="123"/>
      <c r="G499" s="123"/>
      <c r="H499" s="125"/>
      <c r="I499" s="125"/>
      <c r="J499" s="125">
        <f t="shared" si="5367"/>
        <v>0</v>
      </c>
      <c r="K499" s="125">
        <f t="shared" si="5906"/>
        <v>3</v>
      </c>
      <c r="L499" s="150"/>
      <c r="M499" s="151">
        <f>IFERROR(VLOOKUP($L499,'2-2 引出数据_合同数据仓库'!$B$5:$BP$20,3,FALSE),0)</f>
        <v>0</v>
      </c>
      <c r="N499" s="125"/>
      <c r="O499" s="151">
        <f>IFERROR(VLOOKUP((LEFT(VLOOKUP($L499,'2-2 引出数据_合同数据仓库'!$B$5:$BP$20,64,FALSE),15)&amp;(RIGHT(VLOOKUP($L499,'2-2 引出数据_合同数据仓库'!$B$5:$BP$20,64,FALSE),4)+1)),'2-2 引出数据_合同数据仓库'!$B$5:$BP$20,3,FALSE),0)</f>
        <v>0</v>
      </c>
      <c r="P499" s="125"/>
      <c r="Q499" s="125">
        <f>IFERROR(VLOOKUP($L499,'2-2 引出数据_合同数据仓库'!$B$5:$BP$20,28,FALSE),0)</f>
        <v>0</v>
      </c>
      <c r="R499" s="125">
        <f>IFERROR(VLOOKUP($L499,'2-2 引出数据_合同数据仓库'!$B$5:$BP$20,29,FALSE),0)</f>
        <v>0</v>
      </c>
      <c r="S499" s="125">
        <f>IFERROR(VLOOKUP($L499,'2-2 引出数据_合同数据仓库'!$B$5:$BP$20,4,FALSE),0)</f>
        <v>0</v>
      </c>
      <c r="T499" s="125"/>
      <c r="U499" s="125">
        <f>IFERROR(VLOOKUP($L499,'2-2 引出数据_合同数据仓库'!$B$5:$BP$20,15,FALSE),0)</f>
        <v>0</v>
      </c>
      <c r="V499" s="125">
        <f t="shared" si="5835"/>
        <v>0</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hidden="1" customHeight="1" outlineLevel="3" collapsed="1" spans="1:95">
      <c r="A500" s="122"/>
      <c r="B500" s="123"/>
      <c r="C500" s="124"/>
      <c r="D500" s="122"/>
      <c r="E500" s="123"/>
      <c r="F500" s="123"/>
      <c r="G500" s="123"/>
      <c r="H500" s="125"/>
      <c r="I500" s="125"/>
      <c r="J500" s="125">
        <f t="shared" si="5367"/>
        <v>0</v>
      </c>
      <c r="K500" s="125">
        <f t="shared" si="5906"/>
        <v>4</v>
      </c>
      <c r="L500" s="150"/>
      <c r="M500" s="151">
        <f>IFERROR(VLOOKUP($L500,'2-2 引出数据_合同数据仓库'!$B$5:$BP$20,3,FALSE),0)</f>
        <v>0</v>
      </c>
      <c r="N500" s="125"/>
      <c r="O500" s="151">
        <f>IFERROR(VLOOKUP((LEFT(VLOOKUP($L500,'2-2 引出数据_合同数据仓库'!$B$5:$BP$20,64,FALSE),15)&amp;(RIGHT(VLOOKUP($L500,'2-2 引出数据_合同数据仓库'!$B$5:$BP$20,64,FALSE),4)+1)),'2-2 引出数据_合同数据仓库'!$B$5:$BP$20,3,FALSE),0)</f>
        <v>0</v>
      </c>
      <c r="P500" s="125"/>
      <c r="Q500" s="125">
        <f>IFERROR(VLOOKUP($L500,'2-2 引出数据_合同数据仓库'!$B$5:$BP$20,28,FALSE),0)</f>
        <v>0</v>
      </c>
      <c r="R500" s="125">
        <f>IFERROR(VLOOKUP($L500,'2-2 引出数据_合同数据仓库'!$B$5:$BP$20,29,FALSE),0)</f>
        <v>0</v>
      </c>
      <c r="S500" s="125">
        <f>IFERROR(VLOOKUP($L500,'2-2 引出数据_合同数据仓库'!$B$5:$BP$20,4,FALSE),0)</f>
        <v>0</v>
      </c>
      <c r="T500" s="125"/>
      <c r="U500" s="125">
        <f>IFERROR(VLOOKUP($L500,'2-2 引出数据_合同数据仓库'!$B$5:$BP$20,15,FALSE),0)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hidden="1" customHeight="1" outlineLevel="4" spans="1:95">
      <c r="A501" s="126" t="s">
        <v>2770</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hidden="1" customHeight="1" outlineLevel="2" collapsed="1" spans="1:95">
      <c r="A502" s="48"/>
      <c r="B502" s="115" t="s">
        <v>747</v>
      </c>
      <c r="C502" s="116" t="s">
        <v>1569</v>
      </c>
      <c r="D502" s="48" t="s">
        <v>1570</v>
      </c>
      <c r="E502" s="115" t="s">
        <v>1571</v>
      </c>
      <c r="F502" s="115" t="s">
        <v>1572</v>
      </c>
      <c r="G502" s="115" t="s">
        <v>891</v>
      </c>
      <c r="H502" s="117">
        <f>X502+AA502+AD502+AG502+AJ502+AM502+AP502+AS502+AV502+AY502+BB502+BE502</f>
        <v>0</v>
      </c>
      <c r="I502" s="117">
        <f>Y502+AB502+AE502+AH502+AK502+AN502+AQ502+AT502+AW502+AZ502+BC502+BF502</f>
        <v>0</v>
      </c>
      <c r="J502" s="117">
        <f t="shared" si="5367"/>
        <v>0</v>
      </c>
      <c r="K502" s="117"/>
      <c r="L502" s="148"/>
      <c r="M502" s="148"/>
      <c r="N502" s="117"/>
      <c r="O502" s="117"/>
      <c r="P502" s="117"/>
      <c r="Q502" s="117"/>
      <c r="R502" s="117"/>
      <c r="S502" s="117"/>
      <c r="T502" s="117"/>
      <c r="U502" s="117"/>
      <c r="V502" s="117"/>
      <c r="W502" s="117"/>
      <c r="X502" s="117">
        <f>VLOOKUP($C502,'1 预算编制表单'!$C:$BJ,27,FALSE)</f>
        <v>0</v>
      </c>
      <c r="Y502" s="117">
        <f>X502-Z502</f>
        <v>0</v>
      </c>
      <c r="Z502" s="117">
        <f>SUM(Z503:Z507)</f>
        <v>0</v>
      </c>
      <c r="AA502" s="117">
        <f>VLOOKUP($C502,'1 预算编制表单'!$C:$BJ,30,FALSE)</f>
        <v>0</v>
      </c>
      <c r="AB502" s="117">
        <f>AA502-AC502</f>
        <v>0</v>
      </c>
      <c r="AC502" s="117">
        <f>SUM(AC503:AC507)</f>
        <v>0</v>
      </c>
      <c r="AD502" s="117">
        <f>VLOOKUP($C502,'1 预算编制表单'!$C:$BJ,33,FALSE)</f>
        <v>0</v>
      </c>
      <c r="AE502" s="117">
        <f>AD502-AF502</f>
        <v>0</v>
      </c>
      <c r="AF502" s="117">
        <f>SUM(AF503:AF507)</f>
        <v>0</v>
      </c>
      <c r="AG502" s="117">
        <f>VLOOKUP($C502,'1 预算编制表单'!$C:$BJ,36,FALSE)</f>
        <v>0</v>
      </c>
      <c r="AH502" s="117">
        <f>AG502-AI502</f>
        <v>0</v>
      </c>
      <c r="AI502" s="117">
        <f>SUM(AI503:AI507)</f>
        <v>0</v>
      </c>
      <c r="AJ502" s="117">
        <f>VLOOKUP($C502,'1 预算编制表单'!$C:$BJ,39,FALSE)</f>
        <v>0</v>
      </c>
      <c r="AK502" s="117">
        <f>AJ502-AL502</f>
        <v>0</v>
      </c>
      <c r="AL502" s="117">
        <f>SUM(AL503:AL507)</f>
        <v>0</v>
      </c>
      <c r="AM502" s="117">
        <f>VLOOKUP($C502,'1 预算编制表单'!$C:$BJ,42,FALSE)</f>
        <v>0</v>
      </c>
      <c r="AN502" s="117">
        <f>AM502-AO502</f>
        <v>0</v>
      </c>
      <c r="AO502" s="117">
        <f>SUM(AO503:AO507)</f>
        <v>0</v>
      </c>
      <c r="AP502" s="117">
        <f>VLOOKUP($C502,'1 预算编制表单'!$C:$BJ,45,FALSE)</f>
        <v>0</v>
      </c>
      <c r="AQ502" s="117">
        <f>AP502-AR502</f>
        <v>0</v>
      </c>
      <c r="AR502" s="117">
        <f>SUM(AR503:AR507)</f>
        <v>0</v>
      </c>
      <c r="AS502" s="117">
        <f>VLOOKUP($C502,'1 预算编制表单'!$C:$BJ,48,FALSE)</f>
        <v>0</v>
      </c>
      <c r="AT502" s="117">
        <f>AS502-AU502</f>
        <v>0</v>
      </c>
      <c r="AU502" s="117">
        <f>SUM(AU503:AU507)</f>
        <v>0</v>
      </c>
      <c r="AV502" s="117">
        <f>VLOOKUP($C502,'1 预算编制表单'!$C:$BJ,51,FALSE)</f>
        <v>0</v>
      </c>
      <c r="AW502" s="117">
        <f>AV502-AX502</f>
        <v>0</v>
      </c>
      <c r="AX502" s="117">
        <f>SUM(AX503:AX507)</f>
        <v>0</v>
      </c>
      <c r="AY502" s="117">
        <f>VLOOKUP($C502,'1 预算编制表单'!$C:$BJ,54,FALSE)</f>
        <v>0</v>
      </c>
      <c r="AZ502" s="117">
        <f>AY502-BA502</f>
        <v>0</v>
      </c>
      <c r="BA502" s="117">
        <f>SUM(BA503:BA507)</f>
        <v>0</v>
      </c>
      <c r="BB502" s="117">
        <f>VLOOKUP($C502,'1 预算编制表单'!$C:$BJ,57,FALSE)</f>
        <v>0</v>
      </c>
      <c r="BC502" s="117">
        <f>BB502-BD502</f>
        <v>0</v>
      </c>
      <c r="BD502" s="117">
        <f>SUM(BD503:BD507)</f>
        <v>0</v>
      </c>
      <c r="BE502" s="117">
        <f>VLOOKUP($C502,'1 预算编制表单'!$C:$BJ,60,FALSE)</f>
        <v>0</v>
      </c>
      <c r="BF502" s="117">
        <f>BE502-BG502</f>
        <v>0</v>
      </c>
      <c r="BG502" s="117">
        <f>SUM(BG503:BG507)</f>
        <v>0</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hidden="1" customHeight="1" outlineLevel="3" spans="1:95">
      <c r="A503" s="122"/>
      <c r="B503" s="123"/>
      <c r="C503" s="124"/>
      <c r="D503" s="122"/>
      <c r="E503" s="123"/>
      <c r="F503" s="123"/>
      <c r="G503" s="123"/>
      <c r="H503" s="125"/>
      <c r="I503" s="125"/>
      <c r="J503" s="125">
        <f t="shared" si="5367"/>
        <v>0</v>
      </c>
      <c r="K503" s="125">
        <v>1</v>
      </c>
      <c r="L503" s="150"/>
      <c r="M503" s="151">
        <f>IFERROR(VLOOKUP($L503,'2-2 引出数据_合同数据仓库'!$B$5:$BP$20,3,FALSE),0)</f>
        <v>0</v>
      </c>
      <c r="N503" s="125"/>
      <c r="O503" s="151">
        <f>IFERROR(VLOOKUP((LEFT(VLOOKUP($L503,'2-2 引出数据_合同数据仓库'!$B$5:$BP$20,64,FALSE),15)&amp;(RIGHT(VLOOKUP($L503,'2-2 引出数据_合同数据仓库'!$B$5:$BP$20,64,FALSE),4)+1)),'2-2 引出数据_合同数据仓库'!$B$5:$BP$20,3,FALSE),0)</f>
        <v>0</v>
      </c>
      <c r="P503" s="125"/>
      <c r="Q503" s="125">
        <f>IFERROR(VLOOKUP($L503,'2-2 引出数据_合同数据仓库'!$B$5:$BP$20,28,FALSE),0)</f>
        <v>0</v>
      </c>
      <c r="R503" s="125">
        <f>IFERROR(VLOOKUP($L503,'2-2 引出数据_合同数据仓库'!$B$5:$BP$20,29,FALSE),0)</f>
        <v>0</v>
      </c>
      <c r="S503" s="125">
        <f>IFERROR(VLOOKUP($L503,'2-2 引出数据_合同数据仓库'!$B$5:$BP$20,4,FALSE),0)</f>
        <v>0</v>
      </c>
      <c r="T503" s="125"/>
      <c r="U503" s="125">
        <f>IFERROR(VLOOKUP($L503,'2-2 引出数据_合同数据仓库'!$B$5:$BP$20,15,FALSE),0)</f>
        <v>0</v>
      </c>
      <c r="V503" s="125">
        <f t="shared" ref="V503:V506" si="5907">U503/(S503-R503+1)*365</f>
        <v>0</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0</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0</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0</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0</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0</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0</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0</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0</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0</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0</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0</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0</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hidden="1" customHeight="1" outlineLevel="3" spans="1:95">
      <c r="A504" s="122"/>
      <c r="B504" s="123"/>
      <c r="C504" s="124"/>
      <c r="D504" s="122"/>
      <c r="E504" s="123"/>
      <c r="F504" s="123"/>
      <c r="G504" s="123"/>
      <c r="H504" s="125"/>
      <c r="I504" s="125"/>
      <c r="J504" s="125">
        <f t="shared" si="5367"/>
        <v>0</v>
      </c>
      <c r="K504" s="125">
        <f t="shared" ref="K504:K506" si="5978">K503+1</f>
        <v>2</v>
      </c>
      <c r="L504" s="150"/>
      <c r="M504" s="151">
        <f>IFERROR(VLOOKUP($L504,'2-2 引出数据_合同数据仓库'!$B$5:$BP$20,3,FALSE),0)</f>
        <v>0</v>
      </c>
      <c r="N504" s="125"/>
      <c r="O504" s="151">
        <f>IFERROR(VLOOKUP((LEFT(VLOOKUP($L504,'2-2 引出数据_合同数据仓库'!$B$5:$BP$20,64,FALSE),15)&amp;(RIGHT(VLOOKUP($L504,'2-2 引出数据_合同数据仓库'!$B$5:$BP$20,64,FALSE),4)+1)),'2-2 引出数据_合同数据仓库'!$B$5:$BP$20,3,FALSE),0)</f>
        <v>0</v>
      </c>
      <c r="P504" s="125"/>
      <c r="Q504" s="125">
        <f>IFERROR(VLOOKUP($L504,'2-2 引出数据_合同数据仓库'!$B$5:$BP$20,28,FALSE),0)</f>
        <v>0</v>
      </c>
      <c r="R504" s="125">
        <f>IFERROR(VLOOKUP($L504,'2-2 引出数据_合同数据仓库'!$B$5:$BP$20,29,FALSE),0)</f>
        <v>0</v>
      </c>
      <c r="S504" s="125">
        <f>IFERROR(VLOOKUP($L504,'2-2 引出数据_合同数据仓库'!$B$5:$BP$20,4,FALSE),0)</f>
        <v>0</v>
      </c>
      <c r="T504" s="125"/>
      <c r="U504" s="125">
        <f>IFERROR(VLOOKUP($L504,'2-2 引出数据_合同数据仓库'!$B$5:$BP$20,15,FALSE),0)</f>
        <v>0</v>
      </c>
      <c r="V504" s="125">
        <f t="shared" si="5907"/>
        <v>0</v>
      </c>
      <c r="W504" s="125"/>
      <c r="X504" s="157">
        <v>45658</v>
      </c>
      <c r="Y504" s="157">
        <f t="shared" si="5908"/>
        <v>45688</v>
      </c>
      <c r="Z504" s="161">
        <f t="shared" si="5909"/>
        <v>0</v>
      </c>
      <c r="AA504" s="157">
        <f t="shared" si="5910"/>
        <v>45689</v>
      </c>
      <c r="AB504" s="157">
        <f t="shared" si="5911"/>
        <v>45716</v>
      </c>
      <c r="AC504" s="161">
        <f t="shared" si="5912"/>
        <v>0</v>
      </c>
      <c r="AD504" s="157">
        <f t="shared" si="5913"/>
        <v>45717</v>
      </c>
      <c r="AE504" s="157">
        <f t="shared" si="5914"/>
        <v>45747</v>
      </c>
      <c r="AF504" s="161">
        <f t="shared" si="5915"/>
        <v>0</v>
      </c>
      <c r="AG504" s="157">
        <f t="shared" si="5916"/>
        <v>45748</v>
      </c>
      <c r="AH504" s="157">
        <f t="shared" si="5917"/>
        <v>45777</v>
      </c>
      <c r="AI504" s="161">
        <f t="shared" si="5918"/>
        <v>0</v>
      </c>
      <c r="AJ504" s="157">
        <f t="shared" si="5919"/>
        <v>45778</v>
      </c>
      <c r="AK504" s="157">
        <f t="shared" si="5920"/>
        <v>45808</v>
      </c>
      <c r="AL504" s="161">
        <f t="shared" si="5921"/>
        <v>0</v>
      </c>
      <c r="AM504" s="157">
        <f t="shared" si="5922"/>
        <v>45809</v>
      </c>
      <c r="AN504" s="157">
        <f t="shared" si="5923"/>
        <v>45838</v>
      </c>
      <c r="AO504" s="161">
        <f t="shared" si="5924"/>
        <v>0</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hidden="1" customHeight="1" outlineLevel="3" spans="1:95">
      <c r="A505" s="122"/>
      <c r="B505" s="123"/>
      <c r="C505" s="124"/>
      <c r="D505" s="122"/>
      <c r="E505" s="123"/>
      <c r="F505" s="123"/>
      <c r="G505" s="123"/>
      <c r="H505" s="125"/>
      <c r="I505" s="125"/>
      <c r="J505" s="125">
        <f t="shared" si="5367"/>
        <v>0</v>
      </c>
      <c r="K505" s="125">
        <f t="shared" si="5978"/>
        <v>3</v>
      </c>
      <c r="L505" s="150"/>
      <c r="M505" s="151">
        <f>IFERROR(VLOOKUP($L505,'2-2 引出数据_合同数据仓库'!$B$5:$BP$20,3,FALSE),0)</f>
        <v>0</v>
      </c>
      <c r="N505" s="125"/>
      <c r="O505" s="151">
        <f>IFERROR(VLOOKUP((LEFT(VLOOKUP($L505,'2-2 引出数据_合同数据仓库'!$B$5:$BP$20,64,FALSE),15)&amp;(RIGHT(VLOOKUP($L505,'2-2 引出数据_合同数据仓库'!$B$5:$BP$20,64,FALSE),4)+1)),'2-2 引出数据_合同数据仓库'!$B$5:$BP$20,3,FALSE),0)</f>
        <v>0</v>
      </c>
      <c r="P505" s="125"/>
      <c r="Q505" s="125">
        <f>IFERROR(VLOOKUP($L505,'2-2 引出数据_合同数据仓库'!$B$5:$BP$20,28,FALSE),0)</f>
        <v>0</v>
      </c>
      <c r="R505" s="125">
        <f>IFERROR(VLOOKUP($L505,'2-2 引出数据_合同数据仓库'!$B$5:$BP$20,29,FALSE),0)</f>
        <v>0</v>
      </c>
      <c r="S505" s="125">
        <f>IFERROR(VLOOKUP($L505,'2-2 引出数据_合同数据仓库'!$B$5:$BP$20,4,FALSE),0)</f>
        <v>0</v>
      </c>
      <c r="T505" s="125"/>
      <c r="U505" s="125">
        <f>IFERROR(VLOOKUP($L505,'2-2 引出数据_合同数据仓库'!$B$5:$BP$20,15,FALSE),0)</f>
        <v>0</v>
      </c>
      <c r="V505" s="125">
        <f t="shared" si="5907"/>
        <v>0</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hidden="1" customHeight="1" outlineLevel="3" collapsed="1" spans="1:95">
      <c r="A506" s="122"/>
      <c r="B506" s="123"/>
      <c r="C506" s="124"/>
      <c r="D506" s="122"/>
      <c r="E506" s="123"/>
      <c r="F506" s="123"/>
      <c r="G506" s="123"/>
      <c r="H506" s="125"/>
      <c r="I506" s="125"/>
      <c r="J506" s="125">
        <f t="shared" si="5367"/>
        <v>0</v>
      </c>
      <c r="K506" s="125">
        <f t="shared" si="5978"/>
        <v>4</v>
      </c>
      <c r="L506" s="150"/>
      <c r="M506" s="151">
        <f>IFERROR(VLOOKUP($L506,'2-2 引出数据_合同数据仓库'!$B$5:$BP$20,3,FALSE),0)</f>
        <v>0</v>
      </c>
      <c r="N506" s="125"/>
      <c r="O506" s="151">
        <f>IFERROR(VLOOKUP((LEFT(VLOOKUP($L506,'2-2 引出数据_合同数据仓库'!$B$5:$BP$20,64,FALSE),15)&amp;(RIGHT(VLOOKUP($L506,'2-2 引出数据_合同数据仓库'!$B$5:$BP$20,64,FALSE),4)+1)),'2-2 引出数据_合同数据仓库'!$B$5:$BP$20,3,FALSE),0)</f>
        <v>0</v>
      </c>
      <c r="P506" s="125"/>
      <c r="Q506" s="125">
        <f>IFERROR(VLOOKUP($L506,'2-2 引出数据_合同数据仓库'!$B$5:$BP$20,28,FALSE),0)</f>
        <v>0</v>
      </c>
      <c r="R506" s="125">
        <f>IFERROR(VLOOKUP($L506,'2-2 引出数据_合同数据仓库'!$B$5:$BP$20,29,FALSE),0)</f>
        <v>0</v>
      </c>
      <c r="S506" s="125">
        <f>IFERROR(VLOOKUP($L506,'2-2 引出数据_合同数据仓库'!$B$5:$BP$20,4,FALSE),0)</f>
        <v>0</v>
      </c>
      <c r="T506" s="125"/>
      <c r="U506" s="125">
        <f>IFERROR(VLOOKUP($L506,'2-2 引出数据_合同数据仓库'!$B$5:$BP$20,15,FALSE),0)</f>
        <v>0</v>
      </c>
      <c r="V506" s="125">
        <f t="shared" si="5907"/>
        <v>0</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hidden="1" customHeight="1" outlineLevel="4" spans="1:95">
      <c r="A507" s="126" t="s">
        <v>2770</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customHeight="1" collapsed="1" spans="1:95">
      <c r="A508" s="108"/>
      <c r="B508" s="109" t="s">
        <v>742</v>
      </c>
      <c r="C508" s="110">
        <v>1.2</v>
      </c>
      <c r="D508" s="108" t="s">
        <v>9</v>
      </c>
      <c r="E508" s="109"/>
      <c r="F508" s="109"/>
      <c r="G508" s="109"/>
      <c r="H508" s="167">
        <f t="shared" ref="H508:H537" si="5979">X508+AA508+AD508+AG508+AJ508+AM508+AP508+AS508+AV508+AY508+BB508+BE508</f>
        <v>43164.6</v>
      </c>
      <c r="I508" s="167">
        <f t="shared" ref="I508:I537" si="5980">Y508+AB508+AE508+AH508+AK508+AN508+AQ508+AT508+AW508+AZ508+BC508+BF508</f>
        <v>36364.02</v>
      </c>
      <c r="J508" s="167">
        <f t="shared" si="5367"/>
        <v>6800.58</v>
      </c>
      <c r="K508" s="167"/>
      <c r="L508" s="168"/>
      <c r="M508" s="168"/>
      <c r="N508" s="167"/>
      <c r="O508" s="168"/>
      <c r="P508" s="167"/>
      <c r="Q508" s="167"/>
      <c r="R508" s="167"/>
      <c r="S508" s="167"/>
      <c r="T508" s="167"/>
      <c r="U508" s="167"/>
      <c r="V508" s="167"/>
      <c r="W508" s="167"/>
      <c r="X508" s="167">
        <f>VLOOKUP($C508,'1 预算编制表单'!$C:$BJ,27,FALSE)</f>
        <v>43164.6</v>
      </c>
      <c r="Y508" s="167">
        <f>Y509+Y516+Y520+Y524+Y527+Y531</f>
        <v>41395.07</v>
      </c>
      <c r="Z508" s="167">
        <f>Z509+Z516+Z520+Z524+Z527+Z531</f>
        <v>1769.53</v>
      </c>
      <c r="AA508" s="167">
        <f>VLOOKUP($C508,'1 预算编制表单'!$C:$BJ,30,FALSE)</f>
        <v>0</v>
      </c>
      <c r="AB508" s="167">
        <f>AB509+AB516+AB520+AB524+AB527+AB531</f>
        <v>0</v>
      </c>
      <c r="AC508" s="167">
        <f>AC509+AC516+AC520+AC524+AC527+AC531</f>
        <v>0</v>
      </c>
      <c r="AD508" s="167">
        <f>VLOOKUP($C508,'1 预算编制表单'!$C:$BJ,33,FALSE)</f>
        <v>0</v>
      </c>
      <c r="AE508" s="167">
        <f>AE509+AE516+AE520+AE524+AE527+AE531</f>
        <v>-1238.54</v>
      </c>
      <c r="AF508" s="167">
        <f>AF509+AF516+AF520+AF524+AF527+AF531</f>
        <v>1238.54</v>
      </c>
      <c r="AG508" s="167">
        <f>VLOOKUP($C508,'1 预算编制表单'!$C:$BJ,36,FALSE)</f>
        <v>0</v>
      </c>
      <c r="AH508" s="167">
        <f>AH509+AH516+AH520+AH524+AH527+AH531</f>
        <v>-1488.31</v>
      </c>
      <c r="AI508" s="167">
        <f>AI509+AI516+AI520+AI524+AI527+AI531</f>
        <v>1488.31</v>
      </c>
      <c r="AJ508" s="167">
        <f>VLOOKUP($C508,'1 预算编制表单'!$C:$BJ,39,FALSE)</f>
        <v>0</v>
      </c>
      <c r="AK508" s="167">
        <f>AK509+AK516+AK520+AK524+AK527+AK531</f>
        <v>-838</v>
      </c>
      <c r="AL508" s="167">
        <f>AL509+AL516+AL520+AL524+AL527+AL531</f>
        <v>838</v>
      </c>
      <c r="AM508" s="167">
        <f>VLOOKUP($C508,'1 预算编制表单'!$C:$BJ,42,FALSE)</f>
        <v>0</v>
      </c>
      <c r="AN508" s="167">
        <f>AN509+AN516+AN520+AN524+AN527+AN531</f>
        <v>-1466.2</v>
      </c>
      <c r="AO508" s="167">
        <f>AO509+AO516+AO520+AO524+AO527+AO531</f>
        <v>1466.2</v>
      </c>
      <c r="AP508" s="167">
        <f>VLOOKUP($C508,'1 预算编制表单'!$C:$BJ,45,FALSE)</f>
        <v>0</v>
      </c>
      <c r="AQ508" s="167">
        <f>AQ509+AQ516+AQ520+AQ524+AQ527+AQ531</f>
        <v>0</v>
      </c>
      <c r="AR508" s="167">
        <f>AR509+AR516+AR520+AR524+AR527+AR531</f>
        <v>0</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43164.6</v>
      </c>
      <c r="BI508" s="167">
        <f>BI509+BI516+BI520+BI524+BI527+BI531</f>
        <v>43164.6</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hidden="1" customHeight="1" outlineLevel="1" collapsed="1" spans="1:95">
      <c r="A509" s="22"/>
      <c r="B509" s="112" t="s">
        <v>742</v>
      </c>
      <c r="C509" s="113" t="s">
        <v>1573</v>
      </c>
      <c r="D509" s="22" t="s">
        <v>1574</v>
      </c>
      <c r="E509" s="112"/>
      <c r="F509" s="112"/>
      <c r="G509" s="112"/>
      <c r="H509" s="114">
        <f t="shared" si="5979"/>
        <v>43164.6</v>
      </c>
      <c r="I509" s="114">
        <f t="shared" si="5980"/>
        <v>43164.6</v>
      </c>
      <c r="J509" s="114">
        <f t="shared" si="5367"/>
        <v>0</v>
      </c>
      <c r="K509" s="114"/>
      <c r="L509" s="147"/>
      <c r="M509" s="147"/>
      <c r="N509" s="114"/>
      <c r="O509" s="147"/>
      <c r="P509" s="114"/>
      <c r="Q509" s="114"/>
      <c r="R509" s="114"/>
      <c r="S509" s="114"/>
      <c r="T509" s="114"/>
      <c r="U509" s="114"/>
      <c r="V509" s="114"/>
      <c r="W509" s="114"/>
      <c r="X509" s="114">
        <f>VLOOKUP($C509,'1 预算编制表单'!$C:$BJ,27,FALSE)</f>
        <v>43164.6</v>
      </c>
      <c r="Y509" s="114">
        <f t="shared" ref="Y509:Y513" si="5981">X509-Z509</f>
        <v>43164.6</v>
      </c>
      <c r="Z509" s="114">
        <f>Z510+Z511+Z512+Z513</f>
        <v>0</v>
      </c>
      <c r="AA509" s="114">
        <f>VLOOKUP($C509,'1 预算编制表单'!$C:$BJ,30,FALSE)</f>
        <v>0</v>
      </c>
      <c r="AB509" s="114">
        <f t="shared" ref="AB509:AB535" si="5982">AA509-AC509</f>
        <v>0</v>
      </c>
      <c r="AC509" s="114">
        <f>AC510+AC511+AC512+AC513</f>
        <v>0</v>
      </c>
      <c r="AD509" s="114">
        <f>VLOOKUP($C509,'1 预算编制表单'!$C:$BJ,33,FALSE)</f>
        <v>0</v>
      </c>
      <c r="AE509" s="114">
        <f t="shared" ref="AE509:AE535" si="5983">AD509-AF509</f>
        <v>0</v>
      </c>
      <c r="AF509" s="114">
        <f>AF510+AF511+AF512+AF513</f>
        <v>0</v>
      </c>
      <c r="AG509" s="114">
        <f>VLOOKUP($C509,'1 预算编制表单'!$C:$BJ,36,FALSE)</f>
        <v>0</v>
      </c>
      <c r="AH509" s="114">
        <f t="shared" ref="AH509:AH535" si="5984">AG509-AI509</f>
        <v>0</v>
      </c>
      <c r="AI509" s="114">
        <f>AI510+AI511+AI512+AI513</f>
        <v>0</v>
      </c>
      <c r="AJ509" s="114">
        <f>VLOOKUP($C509,'1 预算编制表单'!$C:$BJ,39,FALSE)</f>
        <v>0</v>
      </c>
      <c r="AK509" s="114">
        <f t="shared" ref="AK509:AK535" si="5985">AJ509-AL509</f>
        <v>0</v>
      </c>
      <c r="AL509" s="114">
        <f>AL510+AL511+AL512+AL513</f>
        <v>0</v>
      </c>
      <c r="AM509" s="114">
        <f>VLOOKUP($C509,'1 预算编制表单'!$C:$BJ,42,FALSE)</f>
        <v>0</v>
      </c>
      <c r="AN509" s="114">
        <f t="shared" ref="AN509:AN535" si="5986">AM509-AO509</f>
        <v>0</v>
      </c>
      <c r="AO509" s="114">
        <f>AO510+AO511+AO512+AO513</f>
        <v>0</v>
      </c>
      <c r="AP509" s="114">
        <f>VLOOKUP($C509,'1 预算编制表单'!$C:$BJ,45,FALSE)</f>
        <v>0</v>
      </c>
      <c r="AQ509" s="114">
        <f t="shared" ref="AQ509:AQ535" si="5987">AP509-AR509</f>
        <v>0</v>
      </c>
      <c r="AR509" s="114">
        <f>AR510+AR511+AR512+AR513</f>
        <v>0</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43164.6</v>
      </c>
      <c r="BI509" s="114">
        <f t="shared" ref="BI509:BI535" si="5993">BH509-BJ509</f>
        <v>43164.6</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hidden="1" customHeight="1" outlineLevel="2" spans="1:95">
      <c r="A510" s="48"/>
      <c r="B510" s="115" t="s">
        <v>742</v>
      </c>
      <c r="C510" s="116" t="s">
        <v>1575</v>
      </c>
      <c r="D510" s="48" t="s">
        <v>1576</v>
      </c>
      <c r="E510" s="115"/>
      <c r="F510" s="115"/>
      <c r="G510" s="115"/>
      <c r="H510" s="117">
        <f t="shared" si="5979"/>
        <v>43164.6</v>
      </c>
      <c r="I510" s="117">
        <f t="shared" si="5980"/>
        <v>43164.6</v>
      </c>
      <c r="J510" s="117">
        <f t="shared" si="5367"/>
        <v>0</v>
      </c>
      <c r="K510" s="117"/>
      <c r="L510" s="148"/>
      <c r="M510" s="148"/>
      <c r="N510" s="117"/>
      <c r="O510" s="148"/>
      <c r="P510" s="117"/>
      <c r="Q510" s="117"/>
      <c r="R510" s="117"/>
      <c r="S510" s="117"/>
      <c r="T510" s="117"/>
      <c r="U510" s="117"/>
      <c r="V510" s="117"/>
      <c r="W510" s="117"/>
      <c r="X510" s="117">
        <f>VLOOKUP($C510,'1 预算编制表单'!$C:$BJ,27,FALSE)</f>
        <v>43164.6</v>
      </c>
      <c r="Y510" s="117">
        <f t="shared" si="5981"/>
        <v>43164.6</v>
      </c>
      <c r="Z510" s="117">
        <f>SUMIF(物资过程计算表!$B:$B,$C510,物资过程计算表!$D:$D)</f>
        <v>0</v>
      </c>
      <c r="AA510" s="117">
        <f>VLOOKUP($C510,'1 预算编制表单'!$C:$BJ,30,FALSE)</f>
        <v>0</v>
      </c>
      <c r="AB510" s="117">
        <f t="shared" si="5982"/>
        <v>0</v>
      </c>
      <c r="AC510" s="117">
        <f>SUMIF(物资过程计算表!$B:$B,$C510,物资过程计算表!E:E)</f>
        <v>0</v>
      </c>
      <c r="AD510" s="117">
        <f>VLOOKUP($C510,'1 预算编制表单'!$C:$BJ,33,FALSE)</f>
        <v>0</v>
      </c>
      <c r="AE510" s="117">
        <f t="shared" si="5983"/>
        <v>0</v>
      </c>
      <c r="AF510" s="117">
        <f>SUMIF(物资过程计算表!$B:$B,$C510,物资过程计算表!F:F)</f>
        <v>0</v>
      </c>
      <c r="AG510" s="117">
        <f>VLOOKUP($C510,'1 预算编制表单'!$C:$BJ,36,FALSE)</f>
        <v>0</v>
      </c>
      <c r="AH510" s="117">
        <f t="shared" si="5984"/>
        <v>0</v>
      </c>
      <c r="AI510" s="117">
        <f>SUMIF(物资过程计算表!$B:$B,$C510,物资过程计算表!G:G)</f>
        <v>0</v>
      </c>
      <c r="AJ510" s="117">
        <f>VLOOKUP($C510,'1 预算编制表单'!$C:$BJ,39,FALSE)</f>
        <v>0</v>
      </c>
      <c r="AK510" s="117">
        <f t="shared" si="5985"/>
        <v>0</v>
      </c>
      <c r="AL510" s="117">
        <f>SUMIF(物资过程计算表!$B:$B,$C510,物资过程计算表!H:H)</f>
        <v>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43164.6</v>
      </c>
      <c r="BI510" s="117">
        <f t="shared" si="5993"/>
        <v>43164.6</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hidden="1" customHeight="1" outlineLevel="2" spans="1:95">
      <c r="A511" s="48"/>
      <c r="B511" s="115" t="s">
        <v>742</v>
      </c>
      <c r="C511" s="116" t="s">
        <v>1618</v>
      </c>
      <c r="D511" s="48" t="s">
        <v>1619</v>
      </c>
      <c r="E511" s="115"/>
      <c r="F511" s="115"/>
      <c r="G511" s="115"/>
      <c r="H511" s="117">
        <f t="shared" si="5979"/>
        <v>0</v>
      </c>
      <c r="I511" s="117">
        <f t="shared" si="5980"/>
        <v>0</v>
      </c>
      <c r="J511" s="117">
        <f t="shared" si="5367"/>
        <v>0</v>
      </c>
      <c r="K511" s="117"/>
      <c r="L511" s="148"/>
      <c r="M511" s="148"/>
      <c r="N511" s="117"/>
      <c r="O511" s="148"/>
      <c r="P511" s="117"/>
      <c r="Q511" s="117"/>
      <c r="R511" s="117"/>
      <c r="S511" s="117"/>
      <c r="T511" s="117"/>
      <c r="U511" s="117"/>
      <c r="V511" s="117"/>
      <c r="W511" s="117"/>
      <c r="X511" s="117">
        <f>VLOOKUP($C511,'1 预算编制表单'!$C:$BJ,27,FALSE)</f>
        <v>0</v>
      </c>
      <c r="Y511" s="117">
        <f t="shared" si="5981"/>
        <v>0</v>
      </c>
      <c r="Z511" s="117">
        <f>SUMIF(物资过程计算表!$B:$B,$C511,物资过程计算表!$D:$D)</f>
        <v>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0</v>
      </c>
      <c r="AF511" s="117">
        <f>SUMIF(物资过程计算表!$B:$B,$C511,物资过程计算表!F:F)</f>
        <v>0</v>
      </c>
      <c r="AG511" s="117">
        <f>VLOOKUP($C511,'1 预算编制表单'!$C:$BJ,36,FALSE)</f>
        <v>0</v>
      </c>
      <c r="AH511" s="117">
        <f t="shared" si="5984"/>
        <v>0</v>
      </c>
      <c r="AI511" s="117">
        <f>SUMIF(物资过程计算表!$B:$B,$C511,物资过程计算表!G:G)</f>
        <v>0</v>
      </c>
      <c r="AJ511" s="117">
        <f>VLOOKUP($C511,'1 预算编制表单'!$C:$BJ,39,FALSE)</f>
        <v>0</v>
      </c>
      <c r="AK511" s="117">
        <f t="shared" si="5985"/>
        <v>0</v>
      </c>
      <c r="AL511" s="117">
        <f>SUMIF(物资过程计算表!$B:$B,$C511,物资过程计算表!H:H)</f>
        <v>0</v>
      </c>
      <c r="AM511" s="117">
        <f>VLOOKUP($C511,'1 预算编制表单'!$C:$BJ,42,FALSE)</f>
        <v>0</v>
      </c>
      <c r="AN511" s="117">
        <f t="shared" si="5986"/>
        <v>0</v>
      </c>
      <c r="AO511" s="117">
        <f>SUMIF(物资过程计算表!$B:$B,$C511,物资过程计算表!I:I)</f>
        <v>0</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hidden="1" customHeight="1" outlineLevel="2" spans="1:95">
      <c r="A512" s="48"/>
      <c r="B512" s="115" t="s">
        <v>742</v>
      </c>
      <c r="C512" s="116" t="s">
        <v>1651</v>
      </c>
      <c r="D512" s="48" t="s">
        <v>1652</v>
      </c>
      <c r="E512" s="115"/>
      <c r="F512" s="115"/>
      <c r="G512" s="115"/>
      <c r="H512" s="117">
        <f t="shared" si="5979"/>
        <v>0</v>
      </c>
      <c r="I512" s="117">
        <f t="shared" si="5980"/>
        <v>0</v>
      </c>
      <c r="J512" s="117">
        <f t="shared" si="5367"/>
        <v>0</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0</v>
      </c>
      <c r="AF512" s="117">
        <f>SUMIF(物资过程计算表!$B:$B,$C512,物资过程计算表!F:F)</f>
        <v>0</v>
      </c>
      <c r="AG512" s="117">
        <f>VLOOKUP($C512,'1 预算编制表单'!$C:$BJ,36,FALSE)</f>
        <v>0</v>
      </c>
      <c r="AH512" s="117">
        <f t="shared" si="5984"/>
        <v>0</v>
      </c>
      <c r="AI512" s="117">
        <f>SUMIF(物资过程计算表!$B:$B,$C512,物资过程计算表!G:G)</f>
        <v>0</v>
      </c>
      <c r="AJ512" s="117">
        <f>VLOOKUP($C512,'1 预算编制表单'!$C:$BJ,39,FALSE)</f>
        <v>0</v>
      </c>
      <c r="AK512" s="117">
        <f t="shared" si="5985"/>
        <v>0</v>
      </c>
      <c r="AL512" s="117">
        <f>SUMIF(物资过程计算表!$B:$B,$C512,物资过程计算表!H:H)</f>
        <v>0</v>
      </c>
      <c r="AM512" s="117">
        <f>VLOOKUP($C512,'1 预算编制表单'!$C:$BJ,42,FALSE)</f>
        <v>0</v>
      </c>
      <c r="AN512" s="117">
        <f t="shared" si="5986"/>
        <v>0</v>
      </c>
      <c r="AO512" s="117">
        <f>SUMIF(物资过程计算表!$B:$B,$C512,物资过程计算表!I:I)</f>
        <v>0</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hidden="1" customHeight="1" outlineLevel="2" spans="1:95">
      <c r="A513" s="48"/>
      <c r="B513" s="115" t="s">
        <v>742</v>
      </c>
      <c r="C513" s="116" t="s">
        <v>1674</v>
      </c>
      <c r="D513" s="48" t="s">
        <v>2796</v>
      </c>
      <c r="E513" s="115"/>
      <c r="F513" s="115"/>
      <c r="G513" s="115" t="s">
        <v>891</v>
      </c>
      <c r="H513" s="117">
        <f t="shared" si="5979"/>
        <v>0</v>
      </c>
      <c r="I513" s="117">
        <f t="shared" si="5980"/>
        <v>0</v>
      </c>
      <c r="J513" s="117">
        <f t="shared" si="5367"/>
        <v>0</v>
      </c>
      <c r="K513" s="117"/>
      <c r="L513" s="148"/>
      <c r="M513" s="148"/>
      <c r="N513" s="117"/>
      <c r="O513" s="148"/>
      <c r="P513" s="117"/>
      <c r="Q513" s="117"/>
      <c r="R513" s="117"/>
      <c r="S513" s="117"/>
      <c r="T513" s="117"/>
      <c r="U513" s="117"/>
      <c r="V513" s="117"/>
      <c r="W513" s="117"/>
      <c r="X513" s="117">
        <f>X514</f>
        <v>0</v>
      </c>
      <c r="Y513" s="117">
        <f t="shared" si="5981"/>
        <v>0</v>
      </c>
      <c r="Z513" s="117">
        <f>SUM(Z514:Z515)</f>
        <v>0</v>
      </c>
      <c r="AA513" s="117">
        <f>VLOOKUP($C513,'1 预算编制表单'!$C:$BJ,30,FALSE)</f>
        <v>0</v>
      </c>
      <c r="AB513" s="117">
        <f t="shared" si="5982"/>
        <v>0</v>
      </c>
      <c r="AC513" s="117">
        <f>SUM(AC514:AC515)</f>
        <v>0</v>
      </c>
      <c r="AD513" s="117">
        <f>VLOOKUP($C513,'1 预算编制表单'!$C:$BJ,33,FALSE)</f>
        <v>0</v>
      </c>
      <c r="AE513" s="117">
        <f t="shared" si="5983"/>
        <v>0</v>
      </c>
      <c r="AF513" s="117">
        <f>SUM(AF514:AF515)</f>
        <v>0</v>
      </c>
      <c r="AG513" s="117">
        <f>VLOOKUP($C513,'1 预算编制表单'!$C:$BJ,36,FALSE)</f>
        <v>0</v>
      </c>
      <c r="AH513" s="117">
        <f t="shared" si="5984"/>
        <v>0</v>
      </c>
      <c r="AI513" s="117">
        <f>SUM(AI514:AI515)</f>
        <v>0</v>
      </c>
      <c r="AJ513" s="117">
        <f>VLOOKUP($C513,'1 预算编制表单'!$C:$BJ,39,FALSE)</f>
        <v>0</v>
      </c>
      <c r="AK513" s="117">
        <f t="shared" si="5985"/>
        <v>0</v>
      </c>
      <c r="AL513" s="117">
        <f>SUM(AL514:AL515)</f>
        <v>0</v>
      </c>
      <c r="AM513" s="117">
        <f>VLOOKUP($C513,'1 预算编制表单'!$C:$BJ,42,FALSE)</f>
        <v>0</v>
      </c>
      <c r="AN513" s="117">
        <f t="shared" si="5986"/>
        <v>0</v>
      </c>
      <c r="AO513" s="117">
        <f>SUM(AO514:AO515)</f>
        <v>0</v>
      </c>
      <c r="AP513" s="117">
        <f>VLOOKUP($C513,'1 预算编制表单'!$C:$BJ,45,FALSE)</f>
        <v>0</v>
      </c>
      <c r="AQ513" s="117">
        <f t="shared" si="5987"/>
        <v>0</v>
      </c>
      <c r="AR513" s="117">
        <f>SUM(AR514:AR515)</f>
        <v>0</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0</v>
      </c>
      <c r="BI513" s="117">
        <f t="shared" si="5993"/>
        <v>0</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hidden="1" customHeight="1" outlineLevel="2" spans="1:95">
      <c r="A514" s="48"/>
      <c r="B514" s="115"/>
      <c r="C514" s="116"/>
      <c r="D514" s="48" t="s">
        <v>1675</v>
      </c>
      <c r="E514" s="115"/>
      <c r="F514" s="115"/>
      <c r="G514" s="115" t="s">
        <v>891</v>
      </c>
      <c r="H514" s="117"/>
      <c r="I514" s="117"/>
      <c r="J514" s="117"/>
      <c r="K514" s="117"/>
      <c r="L514" s="148"/>
      <c r="M514" s="148"/>
      <c r="N514" s="117"/>
      <c r="O514" s="148"/>
      <c r="P514" s="117"/>
      <c r="Q514" s="117"/>
      <c r="R514" s="117"/>
      <c r="S514" s="117"/>
      <c r="T514" s="117"/>
      <c r="U514" s="117"/>
      <c r="V514" s="117"/>
      <c r="W514" s="117"/>
      <c r="X514" s="117">
        <f>VLOOKUP($C513,'1 预算编制表单'!$C:$BJ,27,FALSE)</f>
        <v>0</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0</v>
      </c>
      <c r="BI514" s="117">
        <f t="shared" si="5993"/>
        <v>0</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hidden="1" customHeight="1" outlineLevel="2" spans="1:95">
      <c r="A515" s="48"/>
      <c r="B515" s="115"/>
      <c r="C515" s="116"/>
      <c r="D515" s="48" t="s">
        <v>2797</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0</v>
      </c>
      <c r="AA515" s="117"/>
      <c r="AB515" s="117"/>
      <c r="AC515" s="117">
        <f>报销单计算表!C14</f>
        <v>0</v>
      </c>
      <c r="AD515" s="117"/>
      <c r="AE515" s="117"/>
      <c r="AF515" s="117">
        <f>报销单计算表!D14</f>
        <v>0</v>
      </c>
      <c r="AG515" s="117"/>
      <c r="AH515" s="117"/>
      <c r="AI515" s="117">
        <f>报销单计算表!E14</f>
        <v>0</v>
      </c>
      <c r="AJ515" s="117"/>
      <c r="AK515" s="117"/>
      <c r="AL515" s="117">
        <f>报销单计算表!F14</f>
        <v>0</v>
      </c>
      <c r="AM515" s="117"/>
      <c r="AN515" s="117"/>
      <c r="AO515" s="117">
        <f>报销单计算表!G14</f>
        <v>0</v>
      </c>
      <c r="AP515" s="117"/>
      <c r="AQ515" s="117"/>
      <c r="AR515" s="117">
        <f>报销单计算表!H14</f>
        <v>0</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hidden="1" customHeight="1" outlineLevel="1" collapsed="1" spans="1:95">
      <c r="A516" s="22"/>
      <c r="B516" s="112" t="s">
        <v>742</v>
      </c>
      <c r="C516" s="113" t="s">
        <v>1712</v>
      </c>
      <c r="D516" s="22" t="s">
        <v>1713</v>
      </c>
      <c r="E516" s="112"/>
      <c r="F516" s="112"/>
      <c r="G516" s="112"/>
      <c r="H516" s="114">
        <f t="shared" si="5979"/>
        <v>0</v>
      </c>
      <c r="I516" s="114">
        <f t="shared" si="5980"/>
        <v>-3709.89</v>
      </c>
      <c r="J516" s="114">
        <f t="shared" si="5367"/>
        <v>3709.89</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-1097.57</v>
      </c>
      <c r="Z516" s="114">
        <f>Z517+Z518+Z519</f>
        <v>1097.57</v>
      </c>
      <c r="AA516" s="114">
        <f>VLOOKUP($C516,'1 预算编制表单'!$C:$BJ,30,FALSE)</f>
        <v>0</v>
      </c>
      <c r="AB516" s="114">
        <f t="shared" si="5982"/>
        <v>0</v>
      </c>
      <c r="AC516" s="114">
        <f>AC517+AC518+AC519</f>
        <v>0</v>
      </c>
      <c r="AD516" s="114">
        <f>VLOOKUP($C516,'1 预算编制表单'!$C:$BJ,33,FALSE)</f>
        <v>0</v>
      </c>
      <c r="AE516" s="114">
        <f t="shared" si="5983"/>
        <v>-271.32</v>
      </c>
      <c r="AF516" s="114">
        <f>AF517+AF518+AF519</f>
        <v>271.32</v>
      </c>
      <c r="AG516" s="114">
        <f>VLOOKUP($C516,'1 预算编制表单'!$C:$BJ,36,FALSE)</f>
        <v>0</v>
      </c>
      <c r="AH516" s="114">
        <f t="shared" si="5984"/>
        <v>-1013.81</v>
      </c>
      <c r="AI516" s="114">
        <f>AI517+AI518+AI519</f>
        <v>1013.81</v>
      </c>
      <c r="AJ516" s="114">
        <f>VLOOKUP($C516,'1 预算编制表单'!$C:$BJ,39,FALSE)</f>
        <v>0</v>
      </c>
      <c r="AK516" s="114">
        <f t="shared" si="5985"/>
        <v>-838</v>
      </c>
      <c r="AL516" s="114">
        <f>AL517+AL518+AL519</f>
        <v>838</v>
      </c>
      <c r="AM516" s="114">
        <f>VLOOKUP($C516,'1 预算编制表单'!$C:$BJ,42,FALSE)</f>
        <v>0</v>
      </c>
      <c r="AN516" s="114">
        <f t="shared" si="5986"/>
        <v>-489.19</v>
      </c>
      <c r="AO516" s="114">
        <f>AO517+AO518+AO519</f>
        <v>489.19</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hidden="1" customHeight="1" outlineLevel="2" spans="1:95">
      <c r="A517" s="48"/>
      <c r="B517" s="115" t="s">
        <v>742</v>
      </c>
      <c r="C517" s="116" t="s">
        <v>1714</v>
      </c>
      <c r="D517" s="48" t="s">
        <v>1715</v>
      </c>
      <c r="E517" s="115"/>
      <c r="F517" s="115"/>
      <c r="G517" s="115"/>
      <c r="H517" s="117">
        <f t="shared" si="5979"/>
        <v>0</v>
      </c>
      <c r="I517" s="117">
        <f t="shared" si="5980"/>
        <v>0</v>
      </c>
      <c r="J517" s="117">
        <f t="shared" si="5367"/>
        <v>0</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0</v>
      </c>
      <c r="AF517" s="117">
        <f>SUMIF(物资过程计算表!$B:$B,$C517,物资过程计算表!F:F)</f>
        <v>0</v>
      </c>
      <c r="AG517" s="117">
        <f>VLOOKUP($C517,'1 预算编制表单'!$C:$BJ,36,FALSE)</f>
        <v>0</v>
      </c>
      <c r="AH517" s="117">
        <f t="shared" si="5984"/>
        <v>0</v>
      </c>
      <c r="AI517" s="117">
        <f>SUMIF(物资过程计算表!$B:$B,$C517,物资过程计算表!G:G)</f>
        <v>0</v>
      </c>
      <c r="AJ517" s="117">
        <f>VLOOKUP($C517,'1 预算编制表单'!$C:$BJ,39,FALSE)</f>
        <v>0</v>
      </c>
      <c r="AK517" s="117">
        <f t="shared" si="5985"/>
        <v>0</v>
      </c>
      <c r="AL517" s="117">
        <f>SUMIF(物资过程计算表!$B:$B,$C517,物资过程计算表!H:H)</f>
        <v>0</v>
      </c>
      <c r="AM517" s="117">
        <f>VLOOKUP($C517,'1 预算编制表单'!$C:$BJ,42,FALSE)</f>
        <v>0</v>
      </c>
      <c r="AN517" s="117">
        <f t="shared" si="5986"/>
        <v>0</v>
      </c>
      <c r="AO517" s="117">
        <f>SUMIF(物资过程计算表!$B:$B,$C517,物资过程计算表!I:I)</f>
        <v>0</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hidden="1" customHeight="1" outlineLevel="2" spans="1:95">
      <c r="A518" s="48"/>
      <c r="B518" s="115" t="s">
        <v>742</v>
      </c>
      <c r="C518" s="116" t="s">
        <v>1734</v>
      </c>
      <c r="D518" s="48" t="s">
        <v>1735</v>
      </c>
      <c r="E518" s="115"/>
      <c r="F518" s="115"/>
      <c r="G518" s="115"/>
      <c r="H518" s="117">
        <f t="shared" si="5979"/>
        <v>0</v>
      </c>
      <c r="I518" s="117">
        <f t="shared" si="5980"/>
        <v>-887.3</v>
      </c>
      <c r="J518" s="117">
        <f t="shared" si="5367"/>
        <v>887.3</v>
      </c>
      <c r="K518" s="117"/>
      <c r="L518" s="148"/>
      <c r="M518" s="148"/>
      <c r="N518" s="117"/>
      <c r="O518" s="148"/>
      <c r="P518" s="117"/>
      <c r="Q518" s="117"/>
      <c r="R518" s="117"/>
      <c r="S518" s="117"/>
      <c r="T518" s="117"/>
      <c r="U518" s="117"/>
      <c r="V518" s="117"/>
      <c r="W518" s="117"/>
      <c r="X518" s="117">
        <f>VLOOKUP($C518,'1 预算编制表单'!$C:$BJ,27,FALSE)</f>
        <v>0</v>
      </c>
      <c r="Y518" s="117">
        <f t="shared" si="6005"/>
        <v>-429</v>
      </c>
      <c r="Z518" s="117">
        <f>SUMIF(物资过程计算表!$B:$B,$C518,物资过程计算表!$D:$D)</f>
        <v>429</v>
      </c>
      <c r="AA518" s="117">
        <f>VLOOKUP($C518,'1 预算编制表单'!$C:$BJ,30,FALSE)</f>
        <v>0</v>
      </c>
      <c r="AB518" s="117">
        <f t="shared" si="5982"/>
        <v>0</v>
      </c>
      <c r="AC518" s="117">
        <f>SUMIF(物资过程计算表!$B:$B,$C518,物资过程计算表!E:E)</f>
        <v>0</v>
      </c>
      <c r="AD518" s="117">
        <f>VLOOKUP($C518,'1 预算编制表单'!$C:$BJ,33,FALSE)</f>
        <v>0</v>
      </c>
      <c r="AE518" s="117">
        <f t="shared" si="5983"/>
        <v>-12.4</v>
      </c>
      <c r="AF518" s="117">
        <f>SUMIF(物资过程计算表!$B:$B,$C518,物资过程计算表!F:F)</f>
        <v>12.4</v>
      </c>
      <c r="AG518" s="117">
        <f>VLOOKUP($C518,'1 预算编制表单'!$C:$BJ,36,FALSE)</f>
        <v>0</v>
      </c>
      <c r="AH518" s="117">
        <f t="shared" si="5984"/>
        <v>-191.8</v>
      </c>
      <c r="AI518" s="117">
        <f>SUMIF(物资过程计算表!$B:$B,$C518,物资过程计算表!G:G)</f>
        <v>191.8</v>
      </c>
      <c r="AJ518" s="117">
        <f>VLOOKUP($C518,'1 预算编制表单'!$C:$BJ,39,FALSE)</f>
        <v>0</v>
      </c>
      <c r="AK518" s="117">
        <f t="shared" si="5985"/>
        <v>-15.5</v>
      </c>
      <c r="AL518" s="117">
        <f>SUMIF(物资过程计算表!$B:$B,$C518,物资过程计算表!H:H)</f>
        <v>15.5</v>
      </c>
      <c r="AM518" s="117">
        <f>VLOOKUP($C518,'1 预算编制表单'!$C:$BJ,42,FALSE)</f>
        <v>0</v>
      </c>
      <c r="AN518" s="117">
        <f t="shared" si="5986"/>
        <v>-238.6</v>
      </c>
      <c r="AO518" s="117">
        <f>SUMIF(物资过程计算表!$B:$B,$C518,物资过程计算表!I:I)</f>
        <v>238.6</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hidden="1" customHeight="1" outlineLevel="2" spans="1:95">
      <c r="A519" s="48"/>
      <c r="B519" s="115" t="s">
        <v>742</v>
      </c>
      <c r="C519" s="116" t="s">
        <v>1747</v>
      </c>
      <c r="D519" s="48" t="s">
        <v>1748</v>
      </c>
      <c r="E519" s="115"/>
      <c r="F519" s="115"/>
      <c r="G519" s="115"/>
      <c r="H519" s="117">
        <f t="shared" si="5979"/>
        <v>0</v>
      </c>
      <c r="I519" s="117">
        <f t="shared" si="5980"/>
        <v>-2822.59</v>
      </c>
      <c r="J519" s="117">
        <f t="shared" si="5367"/>
        <v>2822.59</v>
      </c>
      <c r="K519" s="117"/>
      <c r="L519" s="148"/>
      <c r="M519" s="148"/>
      <c r="N519" s="117"/>
      <c r="O519" s="148"/>
      <c r="P519" s="117"/>
      <c r="Q519" s="117"/>
      <c r="R519" s="117"/>
      <c r="S519" s="117"/>
      <c r="T519" s="117"/>
      <c r="U519" s="117"/>
      <c r="V519" s="117"/>
      <c r="W519" s="117"/>
      <c r="X519" s="117">
        <f>VLOOKUP($C519,'1 预算编制表单'!$C:$BJ,27,FALSE)</f>
        <v>0</v>
      </c>
      <c r="Y519" s="117">
        <f t="shared" si="6005"/>
        <v>-668.57</v>
      </c>
      <c r="Z519" s="117">
        <f>SUMIF(物资过程计算表!$B:$B,$C519,物资过程计算表!$D:$D)</f>
        <v>668.57</v>
      </c>
      <c r="AA519" s="117">
        <f>VLOOKUP($C519,'1 预算编制表单'!$C:$BJ,30,FALSE)</f>
        <v>0</v>
      </c>
      <c r="AB519" s="117">
        <f t="shared" si="5982"/>
        <v>0</v>
      </c>
      <c r="AC519" s="117">
        <f>SUMIF(物资过程计算表!$B:$B,$C519,物资过程计算表!E:E)</f>
        <v>0</v>
      </c>
      <c r="AD519" s="117">
        <f>VLOOKUP($C519,'1 预算编制表单'!$C:$BJ,33,FALSE)</f>
        <v>0</v>
      </c>
      <c r="AE519" s="117">
        <f t="shared" si="5983"/>
        <v>-258.92</v>
      </c>
      <c r="AF519" s="117">
        <f>SUMIF(物资过程计算表!$B:$B,$C519,物资过程计算表!F:F)</f>
        <v>258.92</v>
      </c>
      <c r="AG519" s="117">
        <f>VLOOKUP($C519,'1 预算编制表单'!$C:$BJ,36,FALSE)</f>
        <v>0</v>
      </c>
      <c r="AH519" s="117">
        <f t="shared" si="5984"/>
        <v>-822.01</v>
      </c>
      <c r="AI519" s="117">
        <f>SUMIF(物资过程计算表!$B:$B,$C519,物资过程计算表!G:G)</f>
        <v>822.01</v>
      </c>
      <c r="AJ519" s="117">
        <f>VLOOKUP($C519,'1 预算编制表单'!$C:$BJ,39,FALSE)</f>
        <v>0</v>
      </c>
      <c r="AK519" s="117">
        <f t="shared" si="5985"/>
        <v>-822.5</v>
      </c>
      <c r="AL519" s="117">
        <f>SUMIF(物资过程计算表!$B:$B,$C519,物资过程计算表!H:H)</f>
        <v>822.5</v>
      </c>
      <c r="AM519" s="117">
        <f>VLOOKUP($C519,'1 预算编制表单'!$C:$BJ,42,FALSE)</f>
        <v>0</v>
      </c>
      <c r="AN519" s="117">
        <f t="shared" si="5986"/>
        <v>-250.59</v>
      </c>
      <c r="AO519" s="117">
        <f>SUMIF(物资过程计算表!$B:$B,$C519,物资过程计算表!I:I)</f>
        <v>250.59</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hidden="1" customHeight="1" outlineLevel="1" collapsed="1" spans="1:95">
      <c r="A520" s="22"/>
      <c r="B520" s="112" t="s">
        <v>742</v>
      </c>
      <c r="C520" s="113" t="s">
        <v>1800</v>
      </c>
      <c r="D520" s="22" t="s">
        <v>1801</v>
      </c>
      <c r="E520" s="112"/>
      <c r="F520" s="112"/>
      <c r="G520" s="112"/>
      <c r="H520" s="114">
        <f t="shared" si="5979"/>
        <v>0</v>
      </c>
      <c r="I520" s="114">
        <f t="shared" si="5980"/>
        <v>-474.5</v>
      </c>
      <c r="J520" s="114">
        <f t="shared" si="5367"/>
        <v>474.5</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0</v>
      </c>
      <c r="Z520" s="114">
        <f>Z521+Z522+Z523</f>
        <v>0</v>
      </c>
      <c r="AA520" s="114">
        <f>VLOOKUP($C520,'1 预算编制表单'!$C:$BJ,30,FALSE)</f>
        <v>0</v>
      </c>
      <c r="AB520" s="114">
        <f t="shared" si="5982"/>
        <v>0</v>
      </c>
      <c r="AC520" s="114">
        <f>AC521+AC522+AC523</f>
        <v>0</v>
      </c>
      <c r="AD520" s="114">
        <f>VLOOKUP($C520,'1 预算编制表单'!$C:$BJ,33,FALSE)</f>
        <v>0</v>
      </c>
      <c r="AE520" s="114">
        <f t="shared" si="5983"/>
        <v>0</v>
      </c>
      <c r="AF520" s="114">
        <f>AF521+AF522+AF523</f>
        <v>0</v>
      </c>
      <c r="AG520" s="114">
        <f>VLOOKUP($C520,'1 预算编制表单'!$C:$BJ,36,FALSE)</f>
        <v>0</v>
      </c>
      <c r="AH520" s="114">
        <f t="shared" si="5984"/>
        <v>-474.5</v>
      </c>
      <c r="AI520" s="114">
        <f>AI521+AI522+AI523</f>
        <v>474.5</v>
      </c>
      <c r="AJ520" s="114">
        <f>VLOOKUP($C520,'1 预算编制表单'!$C:$BJ,39,FALSE)</f>
        <v>0</v>
      </c>
      <c r="AK520" s="114">
        <f t="shared" si="5985"/>
        <v>0</v>
      </c>
      <c r="AL520" s="114">
        <f>AL521+AL522+AL523</f>
        <v>0</v>
      </c>
      <c r="AM520" s="114">
        <f>VLOOKUP($C520,'1 预算编制表单'!$C:$BJ,42,FALSE)</f>
        <v>0</v>
      </c>
      <c r="AN520" s="114">
        <f t="shared" si="5986"/>
        <v>0</v>
      </c>
      <c r="AO520" s="114">
        <f>AO521+AO522+AO523</f>
        <v>0</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hidden="1" customHeight="1" outlineLevel="2" spans="1:95">
      <c r="A521" s="48"/>
      <c r="B521" s="115" t="s">
        <v>742</v>
      </c>
      <c r="C521" s="116" t="s">
        <v>1802</v>
      </c>
      <c r="D521" s="48" t="s">
        <v>1803</v>
      </c>
      <c r="E521" s="115"/>
      <c r="F521" s="115"/>
      <c r="G521" s="115"/>
      <c r="H521" s="117">
        <f t="shared" si="5979"/>
        <v>0</v>
      </c>
      <c r="I521" s="117">
        <f t="shared" si="5980"/>
        <v>0</v>
      </c>
      <c r="J521" s="117">
        <f t="shared" si="5367"/>
        <v>0</v>
      </c>
      <c r="K521" s="117"/>
      <c r="L521" s="148"/>
      <c r="M521" s="148"/>
      <c r="N521" s="117"/>
      <c r="O521" s="148"/>
      <c r="P521" s="117"/>
      <c r="Q521" s="117"/>
      <c r="R521" s="117"/>
      <c r="S521" s="117"/>
      <c r="T521" s="117"/>
      <c r="U521" s="117"/>
      <c r="V521" s="117"/>
      <c r="W521" s="117"/>
      <c r="X521" s="117">
        <f>VLOOKUP($C521,'1 预算编制表单'!$C:$BJ,27,FALSE)</f>
        <v>0</v>
      </c>
      <c r="Y521" s="117">
        <f t="shared" si="6006"/>
        <v>0</v>
      </c>
      <c r="Z521" s="117">
        <f>SUMIF(物资过程计算表!$B:$B,$C521,物资过程计算表!$D:$D)</f>
        <v>0</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0</v>
      </c>
      <c r="AI521" s="117">
        <f>SUMIF(物资过程计算表!$B:$B,$C521,物资过程计算表!G:G)</f>
        <v>0</v>
      </c>
      <c r="AJ521" s="117">
        <f>VLOOKUP($C521,'1 预算编制表单'!$C:$BJ,39,FALSE)</f>
        <v>0</v>
      </c>
      <c r="AK521" s="117">
        <f t="shared" si="5985"/>
        <v>0</v>
      </c>
      <c r="AL521" s="117">
        <f>SUMIF(物资过程计算表!$B:$B,$C521,物资过程计算表!H:H)</f>
        <v>0</v>
      </c>
      <c r="AM521" s="117">
        <f>VLOOKUP($C521,'1 预算编制表单'!$C:$BJ,42,FALSE)</f>
        <v>0</v>
      </c>
      <c r="AN521" s="117">
        <f t="shared" si="5986"/>
        <v>0</v>
      </c>
      <c r="AO521" s="117">
        <f>SUMIF(物资过程计算表!$B:$B,$C521,物资过程计算表!I:I)</f>
        <v>0</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hidden="1" customHeight="1" outlineLevel="2" spans="1:95">
      <c r="A522" s="48"/>
      <c r="B522" s="115" t="s">
        <v>742</v>
      </c>
      <c r="C522" s="116" t="s">
        <v>1814</v>
      </c>
      <c r="D522" s="48" t="s">
        <v>1815</v>
      </c>
      <c r="E522" s="115"/>
      <c r="F522" s="115"/>
      <c r="G522" s="115"/>
      <c r="H522" s="117">
        <f t="shared" si="5979"/>
        <v>0</v>
      </c>
      <c r="I522" s="117">
        <f t="shared" si="5980"/>
        <v>0</v>
      </c>
      <c r="J522" s="117">
        <f t="shared" si="5367"/>
        <v>0</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0</v>
      </c>
      <c r="AC522" s="117">
        <f>SUMIF(物资过程计算表!$B:$B,$C522,物资过程计算表!E:E)</f>
        <v>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0</v>
      </c>
      <c r="AI522" s="117">
        <f>SUMIF(物资过程计算表!$B:$B,$C522,物资过程计算表!G:G)</f>
        <v>0</v>
      </c>
      <c r="AJ522" s="117">
        <f>VLOOKUP($C522,'1 预算编制表单'!$C:$BJ,39,FALSE)</f>
        <v>0</v>
      </c>
      <c r="AK522" s="117">
        <f t="shared" si="5985"/>
        <v>0</v>
      </c>
      <c r="AL522" s="117">
        <f>SUMIF(物资过程计算表!$B:$B,$C522,物资过程计算表!H:H)</f>
        <v>0</v>
      </c>
      <c r="AM522" s="117">
        <f>VLOOKUP($C522,'1 预算编制表单'!$C:$BJ,42,FALSE)</f>
        <v>0</v>
      </c>
      <c r="AN522" s="117">
        <f t="shared" si="5986"/>
        <v>0</v>
      </c>
      <c r="AO522" s="117">
        <f>SUMIF(物资过程计算表!$B:$B,$C522,物资过程计算表!I:I)</f>
        <v>0</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hidden="1" customHeight="1" outlineLevel="2" spans="1:95">
      <c r="A523" s="48"/>
      <c r="B523" s="115" t="s">
        <v>742</v>
      </c>
      <c r="C523" s="116" t="s">
        <v>1841</v>
      </c>
      <c r="D523" s="48" t="s">
        <v>1842</v>
      </c>
      <c r="E523" s="115"/>
      <c r="F523" s="115"/>
      <c r="G523" s="115"/>
      <c r="H523" s="117">
        <f t="shared" si="5979"/>
        <v>0</v>
      </c>
      <c r="I523" s="117">
        <f t="shared" si="5980"/>
        <v>-474.5</v>
      </c>
      <c r="J523" s="117">
        <f t="shared" ref="J523:J586" si="6007">Z523+AC523+AF523+AI523+AL523+AO523+AR523+AU523+AX523+BA523+BD523+BG523</f>
        <v>474.5</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-474.5</v>
      </c>
      <c r="AI523" s="117">
        <f>SUMIF(物资过程计算表!$B:$B,$C523,物资过程计算表!G:G)</f>
        <v>474.5</v>
      </c>
      <c r="AJ523" s="117">
        <f>VLOOKUP($C523,'1 预算编制表单'!$C:$BJ,39,FALSE)</f>
        <v>0</v>
      </c>
      <c r="AK523" s="117">
        <f t="shared" si="5985"/>
        <v>0</v>
      </c>
      <c r="AL523" s="117">
        <f>SUMIF(物资过程计算表!$B:$B,$C523,物资过程计算表!H:H)</f>
        <v>0</v>
      </c>
      <c r="AM523" s="117">
        <f>VLOOKUP($C523,'1 预算编制表单'!$C:$BJ,42,FALSE)</f>
        <v>0</v>
      </c>
      <c r="AN523" s="117">
        <f t="shared" si="5986"/>
        <v>0</v>
      </c>
      <c r="AO523" s="117">
        <f>SUMIF(物资过程计算表!$B:$B,$C523,物资过程计算表!I:I)</f>
        <v>0</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hidden="1" customHeight="1" outlineLevel="1" collapsed="1" spans="1:95">
      <c r="A524" s="22"/>
      <c r="B524" s="112" t="s">
        <v>742</v>
      </c>
      <c r="C524" s="113" t="s">
        <v>1866</v>
      </c>
      <c r="D524" s="22" t="s">
        <v>1867</v>
      </c>
      <c r="E524" s="112"/>
      <c r="F524" s="112"/>
      <c r="G524" s="112"/>
      <c r="H524" s="114">
        <f t="shared" si="5979"/>
        <v>0</v>
      </c>
      <c r="I524" s="114">
        <f t="shared" si="5980"/>
        <v>0</v>
      </c>
      <c r="J524" s="114">
        <f t="shared" si="6007"/>
        <v>0</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0</v>
      </c>
      <c r="AC524" s="114">
        <f>AC525+AC526</f>
        <v>0</v>
      </c>
      <c r="AD524" s="114">
        <f>VLOOKUP($C524,'1 预算编制表单'!$C:$BJ,33,FALSE)</f>
        <v>0</v>
      </c>
      <c r="AE524" s="114">
        <f t="shared" si="5983"/>
        <v>0</v>
      </c>
      <c r="AF524" s="114">
        <f>AF525+AF526</f>
        <v>0</v>
      </c>
      <c r="AG524" s="114">
        <f>VLOOKUP($C524,'1 预算编制表单'!$C:$BJ,36,FALSE)</f>
        <v>0</v>
      </c>
      <c r="AH524" s="114">
        <f t="shared" si="5984"/>
        <v>0</v>
      </c>
      <c r="AI524" s="114">
        <f>AI525+AI526</f>
        <v>0</v>
      </c>
      <c r="AJ524" s="114">
        <f>VLOOKUP($C524,'1 预算编制表单'!$C:$BJ,39,FALSE)</f>
        <v>0</v>
      </c>
      <c r="AK524" s="114">
        <f t="shared" si="5985"/>
        <v>0</v>
      </c>
      <c r="AL524" s="114">
        <f>AL525+AL526</f>
        <v>0</v>
      </c>
      <c r="AM524" s="114">
        <f>VLOOKUP($C524,'1 预算编制表单'!$C:$BJ,42,FALSE)</f>
        <v>0</v>
      </c>
      <c r="AN524" s="114">
        <f t="shared" si="5986"/>
        <v>0</v>
      </c>
      <c r="AO524" s="114">
        <f>AO525+AO526</f>
        <v>0</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hidden="1" customHeight="1" outlineLevel="2" spans="1:95">
      <c r="A525" s="48"/>
      <c r="B525" s="115" t="s">
        <v>742</v>
      </c>
      <c r="C525" s="116" t="s">
        <v>1868</v>
      </c>
      <c r="D525" s="48" t="s">
        <v>1869</v>
      </c>
      <c r="E525" s="115"/>
      <c r="F525" s="115"/>
      <c r="G525" s="115"/>
      <c r="H525" s="117">
        <f t="shared" si="5979"/>
        <v>0</v>
      </c>
      <c r="I525" s="117">
        <f t="shared" si="5980"/>
        <v>0</v>
      </c>
      <c r="J525" s="117">
        <f t="shared" si="6007"/>
        <v>0</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0</v>
      </c>
      <c r="AC525" s="117">
        <f>SUMIF(物资过程计算表!$B:$B,$C525,物资过程计算表!E:E)</f>
        <v>0</v>
      </c>
      <c r="AD525" s="117">
        <f>VLOOKUP($C525,'1 预算编制表单'!$C:$BJ,33,FALSE)</f>
        <v>0</v>
      </c>
      <c r="AE525" s="117">
        <f t="shared" si="5983"/>
        <v>0</v>
      </c>
      <c r="AF525" s="117">
        <f>SUMIF(物资过程计算表!$B:$B,$C525,物资过程计算表!F:F)</f>
        <v>0</v>
      </c>
      <c r="AG525" s="117">
        <f>VLOOKUP($C525,'1 预算编制表单'!$C:$BJ,36,FALSE)</f>
        <v>0</v>
      </c>
      <c r="AH525" s="117">
        <f t="shared" si="5984"/>
        <v>0</v>
      </c>
      <c r="AI525" s="117">
        <f>SUMIF(物资过程计算表!$B:$B,$C525,物资过程计算表!G:G)</f>
        <v>0</v>
      </c>
      <c r="AJ525" s="117">
        <f>VLOOKUP($C525,'1 预算编制表单'!$C:$BJ,39,FALSE)</f>
        <v>0</v>
      </c>
      <c r="AK525" s="117">
        <f t="shared" si="5985"/>
        <v>0</v>
      </c>
      <c r="AL525" s="117">
        <f>SUMIF(物资过程计算表!$B:$B,$C525,物资过程计算表!H:H)</f>
        <v>0</v>
      </c>
      <c r="AM525" s="117">
        <f>VLOOKUP($C525,'1 预算编制表单'!$C:$BJ,42,FALSE)</f>
        <v>0</v>
      </c>
      <c r="AN525" s="117">
        <f t="shared" si="5986"/>
        <v>0</v>
      </c>
      <c r="AO525" s="117">
        <f>SUMIF(物资过程计算表!$B:$B,$C525,物资过程计算表!I:I)</f>
        <v>0</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hidden="1" customHeight="1" outlineLevel="2" spans="1:95">
      <c r="A526" s="48"/>
      <c r="B526" s="115" t="s">
        <v>742</v>
      </c>
      <c r="C526" s="116" t="s">
        <v>1884</v>
      </c>
      <c r="D526" s="48" t="s">
        <v>1885</v>
      </c>
      <c r="E526" s="115"/>
      <c r="F526" s="115"/>
      <c r="G526" s="115"/>
      <c r="H526" s="117">
        <f t="shared" si="5979"/>
        <v>0</v>
      </c>
      <c r="I526" s="117">
        <f t="shared" si="5980"/>
        <v>0</v>
      </c>
      <c r="J526" s="117">
        <f t="shared" si="6007"/>
        <v>0</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0</v>
      </c>
      <c r="AI526" s="117">
        <f>SUMIF(物资过程计算表!$B:$B,$C526,物资过程计算表!G:G)</f>
        <v>0</v>
      </c>
      <c r="AJ526" s="117">
        <f>VLOOKUP($C526,'1 预算编制表单'!$C:$BJ,39,FALSE)</f>
        <v>0</v>
      </c>
      <c r="AK526" s="117">
        <f t="shared" si="5985"/>
        <v>0</v>
      </c>
      <c r="AL526" s="117">
        <f>SUMIF(物资过程计算表!$B:$B,$C526,物资过程计算表!H:H)</f>
        <v>0</v>
      </c>
      <c r="AM526" s="117">
        <f>VLOOKUP($C526,'1 预算编制表单'!$C:$BJ,42,FALSE)</f>
        <v>0</v>
      </c>
      <c r="AN526" s="117">
        <f t="shared" si="5986"/>
        <v>0</v>
      </c>
      <c r="AO526" s="117">
        <f>SUMIF(物资过程计算表!$B:$B,$C526,物资过程计算表!I:I)</f>
        <v>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hidden="1" customHeight="1" outlineLevel="1" collapsed="1" spans="1:95">
      <c r="A527" s="22"/>
      <c r="B527" s="112" t="s">
        <v>742</v>
      </c>
      <c r="C527" s="113" t="s">
        <v>1907</v>
      </c>
      <c r="D527" s="22" t="s">
        <v>1908</v>
      </c>
      <c r="E527" s="112"/>
      <c r="F527" s="112"/>
      <c r="G527" s="112"/>
      <c r="H527" s="114">
        <f t="shared" si="5979"/>
        <v>0</v>
      </c>
      <c r="I527" s="114">
        <f t="shared" si="5980"/>
        <v>-318.16</v>
      </c>
      <c r="J527" s="114">
        <f t="shared" si="6007"/>
        <v>318.16</v>
      </c>
      <c r="K527" s="114"/>
      <c r="L527" s="147"/>
      <c r="M527" s="147"/>
      <c r="N527" s="114"/>
      <c r="O527" s="147"/>
      <c r="P527" s="114"/>
      <c r="Q527" s="114"/>
      <c r="R527" s="114"/>
      <c r="S527" s="114"/>
      <c r="T527" s="114"/>
      <c r="U527" s="114"/>
      <c r="V527" s="114"/>
      <c r="W527" s="114"/>
      <c r="X527" s="114">
        <f>VLOOKUP($C527,'1 预算编制表单'!$C:$BJ,27,FALSE)</f>
        <v>0</v>
      </c>
      <c r="Y527" s="114">
        <f t="shared" si="6008"/>
        <v>-270.86</v>
      </c>
      <c r="Z527" s="114">
        <f>Z528+Z529+Z530</f>
        <v>270.86</v>
      </c>
      <c r="AA527" s="114">
        <f>VLOOKUP($C527,'1 预算编制表单'!$C:$BJ,30,FALSE)</f>
        <v>0</v>
      </c>
      <c r="AB527" s="114">
        <f t="shared" si="5982"/>
        <v>0</v>
      </c>
      <c r="AC527" s="114">
        <f>AC528+AC529+AC530</f>
        <v>0</v>
      </c>
      <c r="AD527" s="114">
        <f>VLOOKUP($C527,'1 预算编制表单'!$C:$BJ,33,FALSE)</f>
        <v>0</v>
      </c>
      <c r="AE527" s="114">
        <f t="shared" si="5983"/>
        <v>-34.25</v>
      </c>
      <c r="AF527" s="114">
        <f>AF528+AF529+AF530</f>
        <v>34.25</v>
      </c>
      <c r="AG527" s="114">
        <f>VLOOKUP($C527,'1 预算编制表单'!$C:$BJ,36,FALSE)</f>
        <v>0</v>
      </c>
      <c r="AH527" s="114">
        <f t="shared" si="5984"/>
        <v>0</v>
      </c>
      <c r="AI527" s="114">
        <f>AI528+AI529+AI530</f>
        <v>0</v>
      </c>
      <c r="AJ527" s="114">
        <f>VLOOKUP($C527,'1 预算编制表单'!$C:$BJ,39,FALSE)</f>
        <v>0</v>
      </c>
      <c r="AK527" s="114">
        <f t="shared" si="5985"/>
        <v>0</v>
      </c>
      <c r="AL527" s="114">
        <f>AL528+AL529+AL530</f>
        <v>0</v>
      </c>
      <c r="AM527" s="114">
        <f>VLOOKUP($C527,'1 预算编制表单'!$C:$BJ,42,FALSE)</f>
        <v>0</v>
      </c>
      <c r="AN527" s="114">
        <f t="shared" si="5986"/>
        <v>-13.05</v>
      </c>
      <c r="AO527" s="114">
        <f>AO528+AO529+AO530</f>
        <v>13.05</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hidden="1" customHeight="1" outlineLevel="2" spans="1:95">
      <c r="A528" s="48"/>
      <c r="B528" s="115" t="s">
        <v>742</v>
      </c>
      <c r="C528" s="116" t="s">
        <v>1909</v>
      </c>
      <c r="D528" s="48" t="s">
        <v>1910</v>
      </c>
      <c r="E528" s="115"/>
      <c r="F528" s="115"/>
      <c r="G528" s="115"/>
      <c r="H528" s="117">
        <f t="shared" si="5979"/>
        <v>0</v>
      </c>
      <c r="I528" s="117">
        <f t="shared" si="5980"/>
        <v>0</v>
      </c>
      <c r="J528" s="117">
        <f t="shared" si="6007"/>
        <v>0</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0</v>
      </c>
      <c r="AC528" s="117">
        <f>SUMIF(物资过程计算表!$B:$B,$C528,物资过程计算表!E:E)</f>
        <v>0</v>
      </c>
      <c r="AD528" s="117">
        <f>VLOOKUP($C528,'1 预算编制表单'!$C:$BJ,33,FALSE)</f>
        <v>0</v>
      </c>
      <c r="AE528" s="117">
        <f t="shared" si="5983"/>
        <v>0</v>
      </c>
      <c r="AF528" s="117">
        <f>SUMIF(物资过程计算表!$B:$B,$C528,物资过程计算表!F:F)</f>
        <v>0</v>
      </c>
      <c r="AG528" s="117">
        <f>VLOOKUP($C528,'1 预算编制表单'!$C:$BJ,36,FALSE)</f>
        <v>0</v>
      </c>
      <c r="AH528" s="117">
        <f t="shared" si="5984"/>
        <v>0</v>
      </c>
      <c r="AI528" s="117">
        <f>SUMIF(物资过程计算表!$B:$B,$C528,物资过程计算表!G:G)</f>
        <v>0</v>
      </c>
      <c r="AJ528" s="117">
        <f>VLOOKUP($C528,'1 预算编制表单'!$C:$BJ,39,FALSE)</f>
        <v>0</v>
      </c>
      <c r="AK528" s="117">
        <f t="shared" si="5985"/>
        <v>0</v>
      </c>
      <c r="AL528" s="117">
        <f>SUMIF(物资过程计算表!$B:$B,$C528,物资过程计算表!H:H)</f>
        <v>0</v>
      </c>
      <c r="AM528" s="117">
        <f>VLOOKUP($C528,'1 预算编制表单'!$C:$BJ,42,FALSE)</f>
        <v>0</v>
      </c>
      <c r="AN528" s="117">
        <f t="shared" si="5986"/>
        <v>0</v>
      </c>
      <c r="AO528" s="117">
        <f>SUMIF(物资过程计算表!$B:$B,$C528,物资过程计算表!I:I)</f>
        <v>0</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hidden="1" customHeight="1" outlineLevel="2" spans="1:95">
      <c r="A529" s="48"/>
      <c r="B529" s="115" t="s">
        <v>742</v>
      </c>
      <c r="C529" s="116" t="s">
        <v>1935</v>
      </c>
      <c r="D529" s="48" t="s">
        <v>1936</v>
      </c>
      <c r="E529" s="115"/>
      <c r="F529" s="115"/>
      <c r="G529" s="115"/>
      <c r="H529" s="117">
        <f t="shared" si="5979"/>
        <v>0</v>
      </c>
      <c r="I529" s="117">
        <f t="shared" si="5980"/>
        <v>-318.16</v>
      </c>
      <c r="J529" s="117">
        <f t="shared" si="6007"/>
        <v>318.16</v>
      </c>
      <c r="K529" s="117"/>
      <c r="L529" s="148"/>
      <c r="M529" s="148"/>
      <c r="N529" s="117"/>
      <c r="O529" s="148"/>
      <c r="P529" s="117"/>
      <c r="Q529" s="117"/>
      <c r="R529" s="117"/>
      <c r="S529" s="117"/>
      <c r="T529" s="117"/>
      <c r="U529" s="117"/>
      <c r="V529" s="117"/>
      <c r="W529" s="117"/>
      <c r="X529" s="117">
        <f>VLOOKUP($C529,'1 预算编制表单'!$C:$BJ,27,FALSE)</f>
        <v>0</v>
      </c>
      <c r="Y529" s="117">
        <f t="shared" si="6008"/>
        <v>-270.86</v>
      </c>
      <c r="Z529" s="117">
        <f>SUMIF(物资过程计算表!$B:$B,$C529,物资过程计算表!$D:$D)</f>
        <v>270.86</v>
      </c>
      <c r="AA529" s="117">
        <f>VLOOKUP($C529,'1 预算编制表单'!$C:$BJ,30,FALSE)</f>
        <v>0</v>
      </c>
      <c r="AB529" s="117">
        <f t="shared" si="5982"/>
        <v>0</v>
      </c>
      <c r="AC529" s="117">
        <f>SUMIF(物资过程计算表!$B:$B,$C529,物资过程计算表!E:E)</f>
        <v>0</v>
      </c>
      <c r="AD529" s="117">
        <f>VLOOKUP($C529,'1 预算编制表单'!$C:$BJ,33,FALSE)</f>
        <v>0</v>
      </c>
      <c r="AE529" s="117">
        <f t="shared" si="5983"/>
        <v>-34.25</v>
      </c>
      <c r="AF529" s="117">
        <f>SUMIF(物资过程计算表!$B:$B,$C529,物资过程计算表!F:F)</f>
        <v>34.25</v>
      </c>
      <c r="AG529" s="117">
        <f>VLOOKUP($C529,'1 预算编制表单'!$C:$BJ,36,FALSE)</f>
        <v>0</v>
      </c>
      <c r="AH529" s="117">
        <f t="shared" si="5984"/>
        <v>0</v>
      </c>
      <c r="AI529" s="117">
        <f>SUMIF(物资过程计算表!$B:$B,$C529,物资过程计算表!G:G)</f>
        <v>0</v>
      </c>
      <c r="AJ529" s="117">
        <f>VLOOKUP($C529,'1 预算编制表单'!$C:$BJ,39,FALSE)</f>
        <v>0</v>
      </c>
      <c r="AK529" s="117">
        <f t="shared" si="5985"/>
        <v>0</v>
      </c>
      <c r="AL529" s="117">
        <f>SUMIF(物资过程计算表!$B:$B,$C529,物资过程计算表!H:H)</f>
        <v>0</v>
      </c>
      <c r="AM529" s="117">
        <f>VLOOKUP($C529,'1 预算编制表单'!$C:$BJ,42,FALSE)</f>
        <v>0</v>
      </c>
      <c r="AN529" s="117">
        <f t="shared" si="5986"/>
        <v>-13.05</v>
      </c>
      <c r="AO529" s="117">
        <f>SUMIF(物资过程计算表!$B:$B,$C529,物资过程计算表!I:I)</f>
        <v>13.05</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hidden="1" customHeight="1" outlineLevel="2" spans="1:95">
      <c r="A530" s="48"/>
      <c r="B530" s="115" t="s">
        <v>742</v>
      </c>
      <c r="C530" s="116" t="s">
        <v>1961</v>
      </c>
      <c r="D530" s="48" t="s">
        <v>1962</v>
      </c>
      <c r="E530" s="115"/>
      <c r="F530" s="115"/>
      <c r="G530" s="115"/>
      <c r="H530" s="117">
        <f t="shared" si="5979"/>
        <v>0</v>
      </c>
      <c r="I530" s="117">
        <f t="shared" si="5980"/>
        <v>0</v>
      </c>
      <c r="J530" s="117">
        <f t="shared" si="6007"/>
        <v>0</v>
      </c>
      <c r="K530" s="117"/>
      <c r="L530" s="148"/>
      <c r="M530" s="148"/>
      <c r="N530" s="117"/>
      <c r="O530" s="148"/>
      <c r="P530" s="117"/>
      <c r="Q530" s="117"/>
      <c r="R530" s="117"/>
      <c r="S530" s="117"/>
      <c r="T530" s="117"/>
      <c r="U530" s="117"/>
      <c r="V530" s="117"/>
      <c r="W530" s="117"/>
      <c r="X530" s="117">
        <f>VLOOKUP($C530,'1 预算编制表单'!$C:$BJ,27,FALSE)</f>
        <v>0</v>
      </c>
      <c r="Y530" s="117">
        <f t="shared" si="6008"/>
        <v>0</v>
      </c>
      <c r="Z530" s="117">
        <f>SUMIF(物资过程计算表!$B:$B,$C530,物资过程计算表!$D:$D)</f>
        <v>0</v>
      </c>
      <c r="AA530" s="117">
        <f>VLOOKUP($C530,'1 预算编制表单'!$C:$BJ,30,FALSE)</f>
        <v>0</v>
      </c>
      <c r="AB530" s="117">
        <f t="shared" si="5982"/>
        <v>0</v>
      </c>
      <c r="AC530" s="117">
        <f>SUMIF(物资过程计算表!$B:$B,$C530,物资过程计算表!E:E)</f>
        <v>0</v>
      </c>
      <c r="AD530" s="117">
        <f>VLOOKUP($C530,'1 预算编制表单'!$C:$BJ,33,FALSE)</f>
        <v>0</v>
      </c>
      <c r="AE530" s="117">
        <f t="shared" si="5983"/>
        <v>0</v>
      </c>
      <c r="AF530" s="117">
        <f>SUMIF(物资过程计算表!$B:$B,$C530,物资过程计算表!F:F)</f>
        <v>0</v>
      </c>
      <c r="AG530" s="117">
        <f>VLOOKUP($C530,'1 预算编制表单'!$C:$BJ,36,FALSE)</f>
        <v>0</v>
      </c>
      <c r="AH530" s="117">
        <f t="shared" si="5984"/>
        <v>0</v>
      </c>
      <c r="AI530" s="117">
        <f>SUMIF(物资过程计算表!$B:$B,$C530,物资过程计算表!G:G)</f>
        <v>0</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hidden="1" customHeight="1" outlineLevel="1" collapsed="1" spans="1:95">
      <c r="A531" s="22"/>
      <c r="B531" s="112" t="s">
        <v>742</v>
      </c>
      <c r="C531" s="113" t="s">
        <v>2018</v>
      </c>
      <c r="D531" s="22" t="s">
        <v>2019</v>
      </c>
      <c r="E531" s="112"/>
      <c r="F531" s="112"/>
      <c r="G531" s="112"/>
      <c r="H531" s="114">
        <f t="shared" si="5979"/>
        <v>0</v>
      </c>
      <c r="I531" s="114">
        <f t="shared" si="5980"/>
        <v>-2298.03</v>
      </c>
      <c r="J531" s="114">
        <f t="shared" si="6007"/>
        <v>2298.03</v>
      </c>
      <c r="K531" s="114"/>
      <c r="L531" s="147"/>
      <c r="M531" s="147"/>
      <c r="N531" s="114"/>
      <c r="O531" s="147"/>
      <c r="P531" s="114"/>
      <c r="Q531" s="114"/>
      <c r="R531" s="114"/>
      <c r="S531" s="114"/>
      <c r="T531" s="114"/>
      <c r="U531" s="114"/>
      <c r="V531" s="114"/>
      <c r="W531" s="114"/>
      <c r="X531" s="114">
        <f>VLOOKUP($C531,'1 预算编制表单'!$C:$BJ,27,FALSE)</f>
        <v>0</v>
      </c>
      <c r="Y531" s="114">
        <f t="shared" si="6008"/>
        <v>-401.1</v>
      </c>
      <c r="Z531" s="114">
        <f>Z532+Z533+Z534+Z535</f>
        <v>401.1</v>
      </c>
      <c r="AA531" s="114">
        <f>VLOOKUP($C531,'1 预算编制表单'!$C:$BJ,30,FALSE)</f>
        <v>0</v>
      </c>
      <c r="AB531" s="114">
        <f t="shared" si="5982"/>
        <v>0</v>
      </c>
      <c r="AC531" s="114">
        <f>AC532+AC533+AC534+AC535</f>
        <v>0</v>
      </c>
      <c r="AD531" s="114">
        <f>VLOOKUP($C531,'1 预算编制表单'!$C:$BJ,33,FALSE)</f>
        <v>0</v>
      </c>
      <c r="AE531" s="114">
        <f t="shared" si="5983"/>
        <v>-932.97</v>
      </c>
      <c r="AF531" s="114">
        <f>AF532+AF533+AF534+AF535</f>
        <v>932.97</v>
      </c>
      <c r="AG531" s="114">
        <f>VLOOKUP($C531,'1 预算编制表单'!$C:$BJ,36,FALSE)</f>
        <v>0</v>
      </c>
      <c r="AH531" s="114">
        <f t="shared" si="5984"/>
        <v>0</v>
      </c>
      <c r="AI531" s="114">
        <f>AI532+AI533+AI534+AI535</f>
        <v>0</v>
      </c>
      <c r="AJ531" s="114">
        <f>VLOOKUP($C531,'1 预算编制表单'!$C:$BJ,39,FALSE)</f>
        <v>0</v>
      </c>
      <c r="AK531" s="114">
        <f t="shared" si="5985"/>
        <v>0</v>
      </c>
      <c r="AL531" s="114">
        <f>AL532+AL533+AL534+AL535</f>
        <v>0</v>
      </c>
      <c r="AM531" s="114">
        <f>VLOOKUP($C531,'1 预算编制表单'!$C:$BJ,42,FALSE)</f>
        <v>0</v>
      </c>
      <c r="AN531" s="114">
        <f t="shared" si="5986"/>
        <v>-963.96</v>
      </c>
      <c r="AO531" s="114">
        <f>AO532+AO533+AO534+AO535</f>
        <v>963.96</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hidden="1" customHeight="1" outlineLevel="2" spans="1:95">
      <c r="A532" s="48"/>
      <c r="B532" s="115" t="s">
        <v>742</v>
      </c>
      <c r="C532" s="116" t="s">
        <v>2020</v>
      </c>
      <c r="D532" s="48" t="s">
        <v>2021</v>
      </c>
      <c r="E532" s="115"/>
      <c r="F532" s="115"/>
      <c r="G532" s="115"/>
      <c r="H532" s="117">
        <f t="shared" si="5979"/>
        <v>0</v>
      </c>
      <c r="I532" s="117">
        <f t="shared" si="5980"/>
        <v>0</v>
      </c>
      <c r="J532" s="117">
        <f t="shared" si="6007"/>
        <v>0</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0</v>
      </c>
      <c r="Z532" s="117">
        <f>SUMIF(物资过程计算表!$B:$B,$C532,物资过程计算表!$D:$D)</f>
        <v>0</v>
      </c>
      <c r="AA532" s="117">
        <f>VLOOKUP($C532,'1 预算编制表单'!$C:$BJ,30,FALSE)</f>
        <v>0</v>
      </c>
      <c r="AB532" s="117">
        <f t="shared" si="5982"/>
        <v>0</v>
      </c>
      <c r="AC532" s="117">
        <f>SUMIF(物资过程计算表!$B:$B,$C532,物资过程计算表!E:E)</f>
        <v>0</v>
      </c>
      <c r="AD532" s="117">
        <f>VLOOKUP($C532,'1 预算编制表单'!$C:$BJ,33,FALSE)</f>
        <v>0</v>
      </c>
      <c r="AE532" s="117">
        <f t="shared" si="5983"/>
        <v>0</v>
      </c>
      <c r="AF532" s="117">
        <f>SUMIF(物资过程计算表!$B:$B,$C532,物资过程计算表!F:F)</f>
        <v>0</v>
      </c>
      <c r="AG532" s="117">
        <f>VLOOKUP($C532,'1 预算编制表单'!$C:$BJ,36,FALSE)</f>
        <v>0</v>
      </c>
      <c r="AH532" s="117">
        <f t="shared" si="5984"/>
        <v>0</v>
      </c>
      <c r="AI532" s="117">
        <f>SUMIF(物资过程计算表!$B:$B,$C532,物资过程计算表!G:G)</f>
        <v>0</v>
      </c>
      <c r="AJ532" s="117">
        <f>VLOOKUP($C532,'1 预算编制表单'!$C:$BJ,39,FALSE)</f>
        <v>0</v>
      </c>
      <c r="AK532" s="117">
        <f t="shared" si="5985"/>
        <v>0</v>
      </c>
      <c r="AL532" s="117">
        <f>SUMIF(物资过程计算表!$B:$B,$C532,物资过程计算表!H:H)</f>
        <v>0</v>
      </c>
      <c r="AM532" s="117">
        <f>VLOOKUP($C532,'1 预算编制表单'!$C:$BJ,42,FALSE)</f>
        <v>0</v>
      </c>
      <c r="AN532" s="117">
        <f t="shared" si="5986"/>
        <v>0</v>
      </c>
      <c r="AO532" s="117">
        <f>SUMIF(物资过程计算表!$B:$B,$C532,物资过程计算表!I:I)</f>
        <v>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hidden="1" customHeight="1" outlineLevel="2" spans="1:95">
      <c r="A533" s="48"/>
      <c r="B533" s="115" t="s">
        <v>742</v>
      </c>
      <c r="C533" s="116" t="s">
        <v>2043</v>
      </c>
      <c r="D533" s="48" t="s">
        <v>2044</v>
      </c>
      <c r="E533" s="115"/>
      <c r="F533" s="115"/>
      <c r="G533" s="115"/>
      <c r="H533" s="117">
        <f t="shared" si="5979"/>
        <v>0</v>
      </c>
      <c r="I533" s="117">
        <f t="shared" si="5980"/>
        <v>0</v>
      </c>
      <c r="J533" s="117">
        <f t="shared" si="6007"/>
        <v>0</v>
      </c>
      <c r="K533" s="117"/>
      <c r="L533" s="148"/>
      <c r="M533" s="148"/>
      <c r="N533" s="117"/>
      <c r="O533" s="148"/>
      <c r="P533" s="117"/>
      <c r="Q533" s="117"/>
      <c r="R533" s="117"/>
      <c r="S533" s="117"/>
      <c r="T533" s="117"/>
      <c r="U533" s="117"/>
      <c r="V533" s="117"/>
      <c r="W533" s="117"/>
      <c r="X533" s="117">
        <f>VLOOKUP($C533,'1 预算编制表单'!$C:$BJ,27,FALSE)</f>
        <v>0</v>
      </c>
      <c r="Y533" s="117">
        <f t="shared" si="6009"/>
        <v>0</v>
      </c>
      <c r="Z533" s="117">
        <f>SUMIF(物资过程计算表!$B:$B,$C533,物资过程计算表!$D:$D)</f>
        <v>0</v>
      </c>
      <c r="AA533" s="117">
        <f>VLOOKUP($C533,'1 预算编制表单'!$C:$BJ,30,FALSE)</f>
        <v>0</v>
      </c>
      <c r="AB533" s="117">
        <f t="shared" si="5982"/>
        <v>0</v>
      </c>
      <c r="AC533" s="117">
        <f>SUMIF(物资过程计算表!$B:$B,$C533,物资过程计算表!E:E)</f>
        <v>0</v>
      </c>
      <c r="AD533" s="117">
        <f>VLOOKUP($C533,'1 预算编制表单'!$C:$BJ,33,FALSE)</f>
        <v>0</v>
      </c>
      <c r="AE533" s="117">
        <f t="shared" si="5983"/>
        <v>0</v>
      </c>
      <c r="AF533" s="117">
        <f>SUMIF(物资过程计算表!$B:$B,$C533,物资过程计算表!F:F)</f>
        <v>0</v>
      </c>
      <c r="AG533" s="117">
        <f>VLOOKUP($C533,'1 预算编制表单'!$C:$BJ,36,FALSE)</f>
        <v>0</v>
      </c>
      <c r="AH533" s="117">
        <f t="shared" si="5984"/>
        <v>0</v>
      </c>
      <c r="AI533" s="117">
        <f>SUMIF(物资过程计算表!$B:$B,$C533,物资过程计算表!G:G)</f>
        <v>0</v>
      </c>
      <c r="AJ533" s="117">
        <f>VLOOKUP($C533,'1 预算编制表单'!$C:$BJ,39,FALSE)</f>
        <v>0</v>
      </c>
      <c r="AK533" s="117">
        <f t="shared" si="5985"/>
        <v>0</v>
      </c>
      <c r="AL533" s="117">
        <f>SUMIF(物资过程计算表!$B:$B,$C533,物资过程计算表!H:H)</f>
        <v>0</v>
      </c>
      <c r="AM533" s="117">
        <f>VLOOKUP($C533,'1 预算编制表单'!$C:$BJ,42,FALSE)</f>
        <v>0</v>
      </c>
      <c r="AN533" s="117">
        <f t="shared" si="5986"/>
        <v>0</v>
      </c>
      <c r="AO533" s="117">
        <f>SUMIF(物资过程计算表!$B:$B,$C533,物资过程计算表!I:I)</f>
        <v>0</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hidden="1" customHeight="1" outlineLevel="2" spans="1:95">
      <c r="A534" s="48"/>
      <c r="B534" s="115" t="s">
        <v>742</v>
      </c>
      <c r="C534" s="116" t="s">
        <v>2083</v>
      </c>
      <c r="D534" s="48" t="s">
        <v>2084</v>
      </c>
      <c r="E534" s="115"/>
      <c r="F534" s="115"/>
      <c r="G534" s="115"/>
      <c r="H534" s="117">
        <f t="shared" si="5979"/>
        <v>0</v>
      </c>
      <c r="I534" s="117">
        <f t="shared" si="5980"/>
        <v>-2298.03</v>
      </c>
      <c r="J534" s="117">
        <f t="shared" si="6007"/>
        <v>2298.03</v>
      </c>
      <c r="K534" s="117"/>
      <c r="L534" s="148"/>
      <c r="M534" s="148"/>
      <c r="N534" s="117"/>
      <c r="O534" s="148"/>
      <c r="P534" s="117"/>
      <c r="Q534" s="117"/>
      <c r="R534" s="117"/>
      <c r="S534" s="117"/>
      <c r="T534" s="117"/>
      <c r="U534" s="117"/>
      <c r="V534" s="117"/>
      <c r="W534" s="117"/>
      <c r="X534" s="117">
        <f>VLOOKUP($C534,'1 预算编制表单'!$C:$BJ,27,FALSE)</f>
        <v>0</v>
      </c>
      <c r="Y534" s="117">
        <f t="shared" si="6009"/>
        <v>-401.1</v>
      </c>
      <c r="Z534" s="117">
        <f>SUMIF(物资过程计算表!$B:$B,$C534,物资过程计算表!$D:$D)</f>
        <v>401.1</v>
      </c>
      <c r="AA534" s="117">
        <f>VLOOKUP($C534,'1 预算编制表单'!$C:$BJ,30,FALSE)</f>
        <v>0</v>
      </c>
      <c r="AB534" s="117">
        <f t="shared" si="5982"/>
        <v>0</v>
      </c>
      <c r="AC534" s="117">
        <f>SUMIF(物资过程计算表!$B:$B,$C534,物资过程计算表!E:E)</f>
        <v>0</v>
      </c>
      <c r="AD534" s="117">
        <f>VLOOKUP($C534,'1 预算编制表单'!$C:$BJ,33,FALSE)</f>
        <v>0</v>
      </c>
      <c r="AE534" s="117">
        <f t="shared" si="5983"/>
        <v>-932.97</v>
      </c>
      <c r="AF534" s="117">
        <f>SUMIF(物资过程计算表!$B:$B,$C534,物资过程计算表!F:F)</f>
        <v>932.97</v>
      </c>
      <c r="AG534" s="117">
        <f>VLOOKUP($C534,'1 预算编制表单'!$C:$BJ,36,FALSE)</f>
        <v>0</v>
      </c>
      <c r="AH534" s="117">
        <f t="shared" si="5984"/>
        <v>0</v>
      </c>
      <c r="AI534" s="117">
        <f>SUMIF(物资过程计算表!$B:$B,$C534,物资过程计算表!G:G)</f>
        <v>0</v>
      </c>
      <c r="AJ534" s="117">
        <f>VLOOKUP($C534,'1 预算编制表单'!$C:$BJ,39,FALSE)</f>
        <v>0</v>
      </c>
      <c r="AK534" s="117">
        <f t="shared" si="5985"/>
        <v>0</v>
      </c>
      <c r="AL534" s="117">
        <f>SUMIF(物资过程计算表!$B:$B,$C534,物资过程计算表!H:H)</f>
        <v>0</v>
      </c>
      <c r="AM534" s="117">
        <f>VLOOKUP($C534,'1 预算编制表单'!$C:$BJ,42,FALSE)</f>
        <v>0</v>
      </c>
      <c r="AN534" s="117">
        <f t="shared" si="5986"/>
        <v>-963.96</v>
      </c>
      <c r="AO534" s="117">
        <f>SUMIF(物资过程计算表!$B:$B,$C534,物资过程计算表!I:I)</f>
        <v>963.96</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hidden="1" customHeight="1" outlineLevel="2" spans="1:95">
      <c r="A535" s="48"/>
      <c r="B535" s="115" t="s">
        <v>742</v>
      </c>
      <c r="C535" s="116" t="s">
        <v>2107</v>
      </c>
      <c r="D535" s="48" t="s">
        <v>2108</v>
      </c>
      <c r="E535" s="115"/>
      <c r="F535" s="115" t="s">
        <v>2087</v>
      </c>
      <c r="G535" s="115" t="s">
        <v>1799</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customHeight="1" collapsed="1" spans="1:95">
      <c r="A536" s="108"/>
      <c r="B536" s="109" t="s">
        <v>742</v>
      </c>
      <c r="C536" s="110">
        <v>1.3</v>
      </c>
      <c r="D536" s="108" t="s">
        <v>64</v>
      </c>
      <c r="E536" s="109"/>
      <c r="F536" s="109"/>
      <c r="G536" s="109"/>
      <c r="H536" s="167">
        <f t="shared" si="5979"/>
        <v>0</v>
      </c>
      <c r="I536" s="167">
        <f t="shared" si="5980"/>
        <v>0</v>
      </c>
      <c r="J536" s="167">
        <f t="shared" si="6007"/>
        <v>0</v>
      </c>
      <c r="K536" s="167"/>
      <c r="L536" s="168"/>
      <c r="M536" s="168"/>
      <c r="N536" s="167"/>
      <c r="O536" s="168"/>
      <c r="P536" s="167"/>
      <c r="Q536" s="167"/>
      <c r="R536" s="167"/>
      <c r="S536" s="167"/>
      <c r="T536" s="167"/>
      <c r="U536" s="167"/>
      <c r="V536" s="167"/>
      <c r="W536" s="167"/>
      <c r="X536" s="167">
        <f>VLOOKUP($C536,'1 预算编制表单'!$C:$BJ,27,FALSE)</f>
        <v>0</v>
      </c>
      <c r="Y536" s="167">
        <f t="shared" ref="Y536:BG536" si="6010">Y537+Y543+Y549+Y555+Y561+Y567+Y573+Y579+Y585+Y591</f>
        <v>0</v>
      </c>
      <c r="Z536" s="167">
        <f t="shared" si="6010"/>
        <v>0</v>
      </c>
      <c r="AA536" s="167">
        <f>VLOOKUP($C536,'1 预算编制表单'!$C:$BJ,30,FALSE)</f>
        <v>0</v>
      </c>
      <c r="AB536" s="167">
        <f t="shared" si="6010"/>
        <v>0</v>
      </c>
      <c r="AC536" s="167">
        <f t="shared" si="6010"/>
        <v>0</v>
      </c>
      <c r="AD536" s="167">
        <f>VLOOKUP($C536,'1 预算编制表单'!$C:$BJ,33,FALSE)</f>
        <v>0</v>
      </c>
      <c r="AE536" s="167">
        <f t="shared" si="6010"/>
        <v>0</v>
      </c>
      <c r="AF536" s="167">
        <f t="shared" si="6010"/>
        <v>0</v>
      </c>
      <c r="AG536" s="167">
        <f>VLOOKUP($C536,'1 预算编制表单'!$C:$BJ,36,FALSE)</f>
        <v>0</v>
      </c>
      <c r="AH536" s="167">
        <f t="shared" si="6010"/>
        <v>0</v>
      </c>
      <c r="AI536" s="167">
        <f t="shared" si="6010"/>
        <v>0</v>
      </c>
      <c r="AJ536" s="167">
        <f>VLOOKUP($C536,'1 预算编制表单'!$C:$BJ,39,FALSE)</f>
        <v>0</v>
      </c>
      <c r="AK536" s="167">
        <f t="shared" si="6010"/>
        <v>0</v>
      </c>
      <c r="AL536" s="167">
        <f t="shared" si="6010"/>
        <v>0</v>
      </c>
      <c r="AM536" s="167">
        <f>VLOOKUP($C536,'1 预算编制表单'!$C:$BJ,42,FALSE)</f>
        <v>0</v>
      </c>
      <c r="AN536" s="167">
        <f t="shared" si="6010"/>
        <v>0</v>
      </c>
      <c r="AO536" s="167">
        <f t="shared" si="6010"/>
        <v>0</v>
      </c>
      <c r="AP536" s="167">
        <f>VLOOKUP($C536,'1 预算编制表单'!$C:$BJ,45,FALSE)</f>
        <v>0</v>
      </c>
      <c r="AQ536" s="167">
        <f t="shared" si="6010"/>
        <v>0</v>
      </c>
      <c r="AR536" s="167">
        <f t="shared" si="6010"/>
        <v>0</v>
      </c>
      <c r="AS536" s="167">
        <f>VLOOKUP($C536,'1 预算编制表单'!$C:$BJ,48,FALSE)</f>
        <v>0</v>
      </c>
      <c r="AT536" s="167">
        <f t="shared" si="6010"/>
        <v>0</v>
      </c>
      <c r="AU536" s="167">
        <f t="shared" si="6010"/>
        <v>0</v>
      </c>
      <c r="AV536" s="167">
        <f>VLOOKUP($C536,'1 预算编制表单'!$C:$BJ,51,FALSE)</f>
        <v>0</v>
      </c>
      <c r="AW536" s="167">
        <f t="shared" si="6010"/>
        <v>0</v>
      </c>
      <c r="AX536" s="167">
        <f t="shared" si="6010"/>
        <v>0</v>
      </c>
      <c r="AY536" s="167">
        <f>VLOOKUP($C536,'1 预算编制表单'!$C:$BJ,54,FALSE)</f>
        <v>0</v>
      </c>
      <c r="AZ536" s="167">
        <f t="shared" si="6010"/>
        <v>0</v>
      </c>
      <c r="BA536" s="167">
        <f t="shared" si="6010"/>
        <v>0</v>
      </c>
      <c r="BB536" s="167">
        <f>VLOOKUP($C536,'1 预算编制表单'!$C:$BJ,57,FALSE)</f>
        <v>0</v>
      </c>
      <c r="BC536" s="167">
        <f t="shared" si="6010"/>
        <v>0</v>
      </c>
      <c r="BD536" s="167">
        <f t="shared" si="6010"/>
        <v>0</v>
      </c>
      <c r="BE536" s="167">
        <f>VLOOKUP($C536,'1 预算编制表单'!$C:$BJ,60,FALSE)</f>
        <v>0</v>
      </c>
      <c r="BF536" s="167">
        <f t="shared" si="6010"/>
        <v>0</v>
      </c>
      <c r="BG536" s="167">
        <f t="shared" si="6010"/>
        <v>0</v>
      </c>
      <c r="BH536" s="167">
        <f>VLOOKUP($C536,'1 预算编制表单'!$C:$BJ,27,FALSE)</f>
        <v>0</v>
      </c>
      <c r="BI536" s="167">
        <f t="shared" ref="BI536:BM536" si="6011">BI537+BI543+BI549+BI555+BI561+BI567+BI573+BI579+BI585+BI591</f>
        <v>0</v>
      </c>
      <c r="BJ536" s="167">
        <f t="shared" si="6011"/>
        <v>0</v>
      </c>
      <c r="BK536" s="167">
        <f>VLOOKUP($C536,'1 预算编制表单'!$C:$BJ,30,FALSE)</f>
        <v>0</v>
      </c>
      <c r="BL536" s="167">
        <f t="shared" si="6011"/>
        <v>0</v>
      </c>
      <c r="BM536" s="167">
        <f t="shared" si="6011"/>
        <v>0</v>
      </c>
      <c r="BN536" s="167">
        <f>VLOOKUP($C536,'1 预算编制表单'!$C:$BJ,33,FALSE)</f>
        <v>0</v>
      </c>
      <c r="BO536" s="167">
        <f t="shared" ref="BO536:BS536" si="6012">BO537+BO543+BO549+BO555+BO561+BO567+BO573+BO579+BO585+BO591</f>
        <v>0</v>
      </c>
      <c r="BP536" s="167">
        <f t="shared" si="6012"/>
        <v>0</v>
      </c>
      <c r="BQ536" s="167">
        <f>VLOOKUP($C536,'1 预算编制表单'!$C:$BJ,36,FALSE)</f>
        <v>0</v>
      </c>
      <c r="BR536" s="167">
        <f t="shared" si="6012"/>
        <v>0</v>
      </c>
      <c r="BS536" s="167">
        <f t="shared" si="6012"/>
        <v>0</v>
      </c>
      <c r="BT536" s="167">
        <f>VLOOKUP($C536,'1 预算编制表单'!$C:$BJ,39,FALSE)</f>
        <v>0</v>
      </c>
      <c r="BU536" s="167">
        <f t="shared" ref="BU536:BY536" si="6013">BU537+BU543+BU549+BU555+BU561+BU567+BU573+BU579+BU585+BU591</f>
        <v>0</v>
      </c>
      <c r="BV536" s="167">
        <f t="shared" si="6013"/>
        <v>0</v>
      </c>
      <c r="BW536" s="167">
        <f>VLOOKUP($C536,'1 预算编制表单'!$C:$BJ,42,FALSE)</f>
        <v>0</v>
      </c>
      <c r="BX536" s="167">
        <f t="shared" si="6013"/>
        <v>0</v>
      </c>
      <c r="BY536" s="167">
        <f t="shared" si="6013"/>
        <v>0</v>
      </c>
      <c r="BZ536" s="167">
        <f>VLOOKUP($C536,'1 预算编制表单'!$C:$BJ,45,FALSE)</f>
        <v>0</v>
      </c>
      <c r="CA536" s="167">
        <f t="shared" ref="CA536:CE536" si="6014">CA537+CA543+CA549+CA555+CA561+CA567+CA573+CA579+CA585+CA591</f>
        <v>0</v>
      </c>
      <c r="CB536" s="167">
        <f t="shared" si="6014"/>
        <v>0</v>
      </c>
      <c r="CC536" s="167">
        <f>VLOOKUP($C536,'1 预算编制表单'!$C:$BJ,48,FALSE)</f>
        <v>0</v>
      </c>
      <c r="CD536" s="167">
        <f t="shared" si="6014"/>
        <v>0</v>
      </c>
      <c r="CE536" s="167">
        <f t="shared" si="6014"/>
        <v>0</v>
      </c>
      <c r="CF536" s="167">
        <f>VLOOKUP($C536,'1 预算编制表单'!$C:$BJ,51,FALSE)</f>
        <v>0</v>
      </c>
      <c r="CG536" s="167">
        <f t="shared" ref="CG536:CK536" si="6015">CG537+CG543+CG549+CG555+CG561+CG567+CG573+CG579+CG585+CG591</f>
        <v>0</v>
      </c>
      <c r="CH536" s="167">
        <f t="shared" si="6015"/>
        <v>0</v>
      </c>
      <c r="CI536" s="167">
        <f>VLOOKUP($C536,'1 预算编制表单'!$C:$BJ,54,FALSE)</f>
        <v>0</v>
      </c>
      <c r="CJ536" s="167">
        <f t="shared" si="6015"/>
        <v>0</v>
      </c>
      <c r="CK536" s="167">
        <f t="shared" si="6015"/>
        <v>0</v>
      </c>
      <c r="CL536" s="167">
        <f>VLOOKUP($C536,'1 预算编制表单'!$C:$BJ,57,FALSE)</f>
        <v>0</v>
      </c>
      <c r="CM536" s="167">
        <f t="shared" ref="CM536:CQ536" si="6016">CM537+CM543+CM549+CM555+CM561+CM567+CM573+CM579+CM585+CM591</f>
        <v>0</v>
      </c>
      <c r="CN536" s="167">
        <f t="shared" si="6016"/>
        <v>0</v>
      </c>
      <c r="CO536" s="167">
        <f>VLOOKUP($C536,'1 预算编制表单'!$C:$BJ,60,FALSE)</f>
        <v>0</v>
      </c>
      <c r="CP536" s="167">
        <f t="shared" si="6016"/>
        <v>0</v>
      </c>
      <c r="CQ536" s="167">
        <f t="shared" si="6016"/>
        <v>0</v>
      </c>
    </row>
    <row r="537" ht="24" hidden="1" customHeight="1" outlineLevel="1" collapsed="1" spans="1:95">
      <c r="A537" s="22"/>
      <c r="B537" s="112" t="s">
        <v>747</v>
      </c>
      <c r="C537" s="113" t="s">
        <v>2109</v>
      </c>
      <c r="D537" s="22" t="s">
        <v>2110</v>
      </c>
      <c r="E537" s="112"/>
      <c r="F537" s="112"/>
      <c r="G537" s="112"/>
      <c r="H537" s="114">
        <f t="shared" si="5979"/>
        <v>0</v>
      </c>
      <c r="I537" s="114">
        <f t="shared" si="5980"/>
        <v>0</v>
      </c>
      <c r="J537" s="114">
        <f t="shared" si="6007"/>
        <v>0</v>
      </c>
      <c r="K537" s="114"/>
      <c r="L537" s="147"/>
      <c r="M537" s="147"/>
      <c r="N537" s="114"/>
      <c r="O537" s="147"/>
      <c r="P537" s="114"/>
      <c r="Q537" s="114"/>
      <c r="R537" s="114"/>
      <c r="S537" s="114"/>
      <c r="T537" s="114"/>
      <c r="U537" s="114"/>
      <c r="V537" s="114"/>
      <c r="W537" s="114"/>
      <c r="X537" s="114">
        <f>VLOOKUP($C537,'1 预算编制表单'!$C:$BJ,27,FALSE)</f>
        <v>0</v>
      </c>
      <c r="Y537" s="114">
        <f>X537-Z537</f>
        <v>0</v>
      </c>
      <c r="Z537" s="114">
        <f>SUM(Z538:Z542)</f>
        <v>0</v>
      </c>
      <c r="AA537" s="114">
        <f>VLOOKUP($C537,'1 预算编制表单'!$C:$BJ,30,FALSE)</f>
        <v>0</v>
      </c>
      <c r="AB537" s="114">
        <f>AA537-AC537</f>
        <v>0</v>
      </c>
      <c r="AC537" s="114">
        <f>SUM(AC538:AC542)</f>
        <v>0</v>
      </c>
      <c r="AD537" s="114">
        <f>VLOOKUP($C537,'1 预算编制表单'!$C:$BJ,33,FALSE)</f>
        <v>0</v>
      </c>
      <c r="AE537" s="114">
        <f>AD537-AF537</f>
        <v>0</v>
      </c>
      <c r="AF537" s="114">
        <f>SUM(AF538:AF542)</f>
        <v>0</v>
      </c>
      <c r="AG537" s="114">
        <f>VLOOKUP($C537,'1 预算编制表单'!$C:$BJ,36,FALSE)</f>
        <v>0</v>
      </c>
      <c r="AH537" s="114">
        <f>AG537-AI537</f>
        <v>0</v>
      </c>
      <c r="AI537" s="114">
        <f>SUM(AI538:AI542)</f>
        <v>0</v>
      </c>
      <c r="AJ537" s="114">
        <f>VLOOKUP($C537,'1 预算编制表单'!$C:$BJ,39,FALSE)</f>
        <v>0</v>
      </c>
      <c r="AK537" s="114">
        <f>AJ537-AL537</f>
        <v>0</v>
      </c>
      <c r="AL537" s="114">
        <f>SUM(AL538:AL542)</f>
        <v>0</v>
      </c>
      <c r="AM537" s="114">
        <f>VLOOKUP($C537,'1 预算编制表单'!$C:$BJ,42,FALSE)</f>
        <v>0</v>
      </c>
      <c r="AN537" s="114">
        <f>AM537-AO537</f>
        <v>0</v>
      </c>
      <c r="AO537" s="114">
        <f>SUM(AO538:AO542)</f>
        <v>0</v>
      </c>
      <c r="AP537" s="114">
        <f>VLOOKUP($C537,'1 预算编制表单'!$C:$BJ,45,FALSE)</f>
        <v>0</v>
      </c>
      <c r="AQ537" s="114">
        <f>AP537-AR537</f>
        <v>0</v>
      </c>
      <c r="AR537" s="114">
        <f>SUM(AR538:AR542)</f>
        <v>0</v>
      </c>
      <c r="AS537" s="114">
        <f>VLOOKUP($C537,'1 预算编制表单'!$C:$BJ,48,FALSE)</f>
        <v>0</v>
      </c>
      <c r="AT537" s="114">
        <f>AS537-AU537</f>
        <v>0</v>
      </c>
      <c r="AU537" s="114">
        <f>SUM(AU538:AU542)</f>
        <v>0</v>
      </c>
      <c r="AV537" s="114">
        <f>VLOOKUP($C537,'1 预算编制表单'!$C:$BJ,51,FALSE)</f>
        <v>0</v>
      </c>
      <c r="AW537" s="114">
        <f>AV537-AX537</f>
        <v>0</v>
      </c>
      <c r="AX537" s="114">
        <f>SUM(AX538:AX542)</f>
        <v>0</v>
      </c>
      <c r="AY537" s="114">
        <f>VLOOKUP($C537,'1 预算编制表单'!$C:$BJ,54,FALSE)</f>
        <v>0</v>
      </c>
      <c r="AZ537" s="114">
        <f>AY537-BA537</f>
        <v>0</v>
      </c>
      <c r="BA537" s="114">
        <f>SUM(BA538:BA542)</f>
        <v>0</v>
      </c>
      <c r="BB537" s="114">
        <f>VLOOKUP($C537,'1 预算编制表单'!$C:$BJ,57,FALSE)</f>
        <v>0</v>
      </c>
      <c r="BC537" s="114">
        <f>BB537-BD537</f>
        <v>0</v>
      </c>
      <c r="BD537" s="114">
        <f>SUM(BD538:BD542)</f>
        <v>0</v>
      </c>
      <c r="BE537" s="114">
        <f>VLOOKUP($C537,'1 预算编制表单'!$C:$BJ,60,FALSE)</f>
        <v>0</v>
      </c>
      <c r="BF537" s="114">
        <f>BE537-BG537</f>
        <v>0</v>
      </c>
      <c r="BG537" s="114">
        <f>SUM(BG538:BG542)</f>
        <v>0</v>
      </c>
      <c r="BH537" s="114">
        <f>VLOOKUP($C537,'1 预算编制表单'!$C:$BJ,27,FALSE)</f>
        <v>0</v>
      </c>
      <c r="BI537" s="114">
        <f>BH537-BJ537</f>
        <v>0</v>
      </c>
      <c r="BJ537" s="114">
        <f>SUM(BJ538:BJ542)</f>
        <v>0</v>
      </c>
      <c r="BK537" s="114">
        <f>VLOOKUP($C537,'1 预算编制表单'!$C:$BJ,30,FALSE)</f>
        <v>0</v>
      </c>
      <c r="BL537" s="114">
        <f>BK537-BM537</f>
        <v>0</v>
      </c>
      <c r="BM537" s="114">
        <f>SUM(BM538:BM542)</f>
        <v>0</v>
      </c>
      <c r="BN537" s="114">
        <f>VLOOKUP($C537,'1 预算编制表单'!$C:$BJ,33,FALSE)</f>
        <v>0</v>
      </c>
      <c r="BO537" s="114">
        <f>BN537-BP537</f>
        <v>0</v>
      </c>
      <c r="BP537" s="114">
        <f>SUM(BP538:BP542)</f>
        <v>0</v>
      </c>
      <c r="BQ537" s="114">
        <f>VLOOKUP($C537,'1 预算编制表单'!$C:$BJ,36,FALSE)</f>
        <v>0</v>
      </c>
      <c r="BR537" s="114">
        <f>BQ537-BS537</f>
        <v>0</v>
      </c>
      <c r="BS537" s="114">
        <f>SUM(BS538:BS542)</f>
        <v>0</v>
      </c>
      <c r="BT537" s="114">
        <f>VLOOKUP($C537,'1 预算编制表单'!$C:$BJ,39,FALSE)</f>
        <v>0</v>
      </c>
      <c r="BU537" s="114">
        <f>BT537-BV537</f>
        <v>0</v>
      </c>
      <c r="BV537" s="114">
        <f>SUM(BV538:BV542)</f>
        <v>0</v>
      </c>
      <c r="BW537" s="114">
        <f>VLOOKUP($C537,'1 预算编制表单'!$C:$BJ,42,FALSE)</f>
        <v>0</v>
      </c>
      <c r="BX537" s="114">
        <f>BW537-BY537</f>
        <v>0</v>
      </c>
      <c r="BY537" s="114">
        <f>SUM(BY538:BY542)</f>
        <v>0</v>
      </c>
      <c r="BZ537" s="114">
        <f>VLOOKUP($C537,'1 预算编制表单'!$C:$BJ,45,FALSE)</f>
        <v>0</v>
      </c>
      <c r="CA537" s="114">
        <f>BZ537-CB537</f>
        <v>0</v>
      </c>
      <c r="CB537" s="114">
        <f>SUM(CB538:CB542)</f>
        <v>0</v>
      </c>
      <c r="CC537" s="114">
        <f>VLOOKUP($C537,'1 预算编制表单'!$C:$BJ,48,FALSE)</f>
        <v>0</v>
      </c>
      <c r="CD537" s="114">
        <f>CC537-CE537</f>
        <v>0</v>
      </c>
      <c r="CE537" s="114">
        <f>SUM(CE538:CE542)</f>
        <v>0</v>
      </c>
      <c r="CF537" s="114">
        <f>VLOOKUP($C537,'1 预算编制表单'!$C:$BJ,51,FALSE)</f>
        <v>0</v>
      </c>
      <c r="CG537" s="114">
        <f>CF537-CH537</f>
        <v>0</v>
      </c>
      <c r="CH537" s="114">
        <f>SUM(CH538:CH542)</f>
        <v>0</v>
      </c>
      <c r="CI537" s="114">
        <f>VLOOKUP($C537,'1 预算编制表单'!$C:$BJ,54,FALSE)</f>
        <v>0</v>
      </c>
      <c r="CJ537" s="114">
        <f>CI537-CK537</f>
        <v>0</v>
      </c>
      <c r="CK537" s="114">
        <f>SUM(CK538:CK542)</f>
        <v>0</v>
      </c>
      <c r="CL537" s="114">
        <f>VLOOKUP($C537,'1 预算编制表单'!$C:$BJ,57,FALSE)</f>
        <v>0</v>
      </c>
      <c r="CM537" s="114">
        <f>CL537-CN537</f>
        <v>0</v>
      </c>
      <c r="CN537" s="114">
        <f>SUM(CN538:CN542)</f>
        <v>0</v>
      </c>
      <c r="CO537" s="114">
        <f>VLOOKUP($C537,'1 预算编制表单'!$C:$BJ,60,FALSE)</f>
        <v>0</v>
      </c>
      <c r="CP537" s="114">
        <f>CO537-CQ537</f>
        <v>0</v>
      </c>
      <c r="CQ537" s="114">
        <f>SUM(CQ538:CQ542)</f>
        <v>0</v>
      </c>
    </row>
    <row r="538" s="83" customFormat="1" ht="24" hidden="1" customHeight="1" outlineLevel="2" spans="1:95">
      <c r="A538" s="122"/>
      <c r="B538" s="123"/>
      <c r="C538" s="124"/>
      <c r="D538" s="122"/>
      <c r="E538" s="123"/>
      <c r="F538" s="123"/>
      <c r="G538" s="123"/>
      <c r="H538" s="125"/>
      <c r="I538" s="125"/>
      <c r="J538" s="125">
        <f t="shared" si="6007"/>
        <v>0</v>
      </c>
      <c r="K538" s="125">
        <v>1</v>
      </c>
      <c r="L538" s="150"/>
      <c r="M538" s="151">
        <f>IFERROR(VLOOKUP($L538,'2-2 引出数据_合同数据仓库'!$B$5:$BP$20,3,FALSE),0)</f>
        <v>0</v>
      </c>
      <c r="N538" s="125"/>
      <c r="O538" s="151">
        <f>IFERROR(VLOOKUP((LEFT(VLOOKUP($L538,'2-2 引出数据_合同数据仓库'!$B$5:$BP$20,64,FALSE),15)&amp;(RIGHT(VLOOKUP($L538,'2-2 引出数据_合同数据仓库'!$B$5:$BP$20,64,FALSE),4)+1)),'2-2 引出数据_合同数据仓库'!$B$5:$BP$20,3,FALSE),0)</f>
        <v>0</v>
      </c>
      <c r="P538" s="125"/>
      <c r="Q538" s="125">
        <f>IFERROR(VLOOKUP($L538,'2-2 引出数据_合同数据仓库'!$B$5:$BP$20,28,FALSE),0)</f>
        <v>0</v>
      </c>
      <c r="R538" s="125">
        <f>IFERROR(VLOOKUP($L538,'2-2 引出数据_合同数据仓库'!$B$5:$BP$20,29,FALSE),0)</f>
        <v>0</v>
      </c>
      <c r="S538" s="125">
        <f>IFERROR(VLOOKUP($L538,'2-2 引出数据_合同数据仓库'!$B$5:$BP$20,4,FALSE),0)</f>
        <v>0</v>
      </c>
      <c r="T538" s="125"/>
      <c r="U538" s="125">
        <f>IFERROR(VLOOKUP($L538,'2-2 引出数据_合同数据仓库'!$B$5:$BP$20,15,FALSE),0)</f>
        <v>0</v>
      </c>
      <c r="V538" s="125">
        <f t="shared" ref="V538:V541" si="6017">U538/(S538-R538+1)*365</f>
        <v>0</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0</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0</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0</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0</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0</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0</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0</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0</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0</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0</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0</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0</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0</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0</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0</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0</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0</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0</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0</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0</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0</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0</v>
      </c>
    </row>
    <row r="539" s="83" customFormat="1" ht="24" hidden="1" customHeight="1" outlineLevel="2" spans="1:95">
      <c r="A539" s="122"/>
      <c r="B539" s="123"/>
      <c r="C539" s="124"/>
      <c r="D539" s="122"/>
      <c r="E539" s="123"/>
      <c r="F539" s="123"/>
      <c r="G539" s="123"/>
      <c r="H539" s="125"/>
      <c r="I539" s="125"/>
      <c r="J539" s="125">
        <f t="shared" si="6007"/>
        <v>0</v>
      </c>
      <c r="K539" s="125">
        <f t="shared" ref="K539:K541" si="6088">K538+1</f>
        <v>2</v>
      </c>
      <c r="L539" s="150"/>
      <c r="M539" s="151">
        <f>IFERROR(VLOOKUP($L539,'2-2 引出数据_合同数据仓库'!$B$5:$BP$20,3,FALSE),0)</f>
        <v>0</v>
      </c>
      <c r="N539" s="125"/>
      <c r="O539" s="151">
        <f>IFERROR(VLOOKUP((LEFT(VLOOKUP($L539,'2-2 引出数据_合同数据仓库'!$B$5:$BP$20,64,FALSE),15)&amp;(RIGHT(VLOOKUP($L539,'2-2 引出数据_合同数据仓库'!$B$5:$BP$20,64,FALSE),4)+1)),'2-2 引出数据_合同数据仓库'!$B$5:$BP$20,3,FALSE),0)</f>
        <v>0</v>
      </c>
      <c r="P539" s="125"/>
      <c r="Q539" s="125">
        <f>IFERROR(VLOOKUP($L539,'2-2 引出数据_合同数据仓库'!$B$5:$BP$20,28,FALSE),0)</f>
        <v>0</v>
      </c>
      <c r="R539" s="125">
        <f>IFERROR(VLOOKUP($L539,'2-2 引出数据_合同数据仓库'!$B$5:$BP$20,29,FALSE),0)</f>
        <v>0</v>
      </c>
      <c r="S539" s="125">
        <f>IFERROR(VLOOKUP($L539,'2-2 引出数据_合同数据仓库'!$B$5:$BP$20,4,FALSE),0)</f>
        <v>0</v>
      </c>
      <c r="T539" s="125"/>
      <c r="U539" s="125">
        <f>IFERROR(VLOOKUP($L539,'2-2 引出数据_合同数据仓库'!$B$5:$BP$20,15,FALSE),0)</f>
        <v>0</v>
      </c>
      <c r="V539" s="125">
        <f t="shared" si="6017"/>
        <v>0</v>
      </c>
      <c r="W539" s="125"/>
      <c r="X539" s="157">
        <v>45658</v>
      </c>
      <c r="Y539" s="157">
        <f t="shared" si="6018"/>
        <v>45688</v>
      </c>
      <c r="Z539" s="161">
        <f t="shared" si="6019"/>
        <v>0</v>
      </c>
      <c r="AA539" s="157">
        <f t="shared" si="6020"/>
        <v>45689</v>
      </c>
      <c r="AB539" s="157">
        <f t="shared" si="6021"/>
        <v>45716</v>
      </c>
      <c r="AC539" s="161">
        <f t="shared" si="6022"/>
        <v>0</v>
      </c>
      <c r="AD539" s="157">
        <f t="shared" si="6023"/>
        <v>45717</v>
      </c>
      <c r="AE539" s="157">
        <f t="shared" si="6024"/>
        <v>45747</v>
      </c>
      <c r="AF539" s="161">
        <f t="shared" si="6025"/>
        <v>0</v>
      </c>
      <c r="AG539" s="157">
        <f t="shared" si="6026"/>
        <v>45748</v>
      </c>
      <c r="AH539" s="157">
        <f t="shared" si="6027"/>
        <v>45777</v>
      </c>
      <c r="AI539" s="161">
        <f t="shared" si="6028"/>
        <v>0</v>
      </c>
      <c r="AJ539" s="157">
        <f t="shared" si="6029"/>
        <v>45778</v>
      </c>
      <c r="AK539" s="157">
        <f t="shared" si="6030"/>
        <v>45808</v>
      </c>
      <c r="AL539" s="161">
        <f t="shared" si="6031"/>
        <v>0</v>
      </c>
      <c r="AM539" s="157">
        <f t="shared" si="6032"/>
        <v>45809</v>
      </c>
      <c r="AN539" s="157">
        <f t="shared" si="6033"/>
        <v>45838</v>
      </c>
      <c r="AO539" s="161">
        <f t="shared" si="6034"/>
        <v>0</v>
      </c>
      <c r="AP539" s="157">
        <f t="shared" si="6035"/>
        <v>45839</v>
      </c>
      <c r="AQ539" s="157">
        <f t="shared" si="6036"/>
        <v>45869</v>
      </c>
      <c r="AR539" s="161">
        <f t="shared" si="6037"/>
        <v>0</v>
      </c>
      <c r="AS539" s="157">
        <f t="shared" si="6038"/>
        <v>45870</v>
      </c>
      <c r="AT539" s="157">
        <f t="shared" si="6039"/>
        <v>45900</v>
      </c>
      <c r="AU539" s="161">
        <f t="shared" si="6040"/>
        <v>0</v>
      </c>
      <c r="AV539" s="157">
        <f t="shared" si="6041"/>
        <v>45901</v>
      </c>
      <c r="AW539" s="157">
        <f t="shared" si="6042"/>
        <v>45930</v>
      </c>
      <c r="AX539" s="161">
        <f t="shared" si="6043"/>
        <v>0</v>
      </c>
      <c r="AY539" s="157">
        <f t="shared" si="6044"/>
        <v>45931</v>
      </c>
      <c r="AZ539" s="157">
        <f t="shared" si="6045"/>
        <v>45961</v>
      </c>
      <c r="BA539" s="161">
        <f t="shared" si="6046"/>
        <v>0</v>
      </c>
      <c r="BB539" s="157">
        <f t="shared" si="6047"/>
        <v>45962</v>
      </c>
      <c r="BC539" s="157">
        <f t="shared" si="6048"/>
        <v>45991</v>
      </c>
      <c r="BD539" s="161">
        <f t="shared" si="6049"/>
        <v>0</v>
      </c>
      <c r="BE539" s="157">
        <f t="shared" si="6050"/>
        <v>45992</v>
      </c>
      <c r="BF539" s="157">
        <f t="shared" si="6051"/>
        <v>46022</v>
      </c>
      <c r="BG539" s="161">
        <f t="shared" si="6052"/>
        <v>0</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hidden="1" customHeight="1" outlineLevel="2" spans="1:95">
      <c r="A540" s="122"/>
      <c r="B540" s="123"/>
      <c r="C540" s="124"/>
      <c r="D540" s="122"/>
      <c r="E540" s="123"/>
      <c r="F540" s="123"/>
      <c r="G540" s="123"/>
      <c r="H540" s="125"/>
      <c r="I540" s="125"/>
      <c r="J540" s="125">
        <f t="shared" si="6007"/>
        <v>0</v>
      </c>
      <c r="K540" s="125">
        <f t="shared" si="6088"/>
        <v>3</v>
      </c>
      <c r="L540" s="150"/>
      <c r="M540" s="151">
        <f>IFERROR(VLOOKUP($L540,'2-2 引出数据_合同数据仓库'!$B$5:$BP$20,3,FALSE),0)</f>
        <v>0</v>
      </c>
      <c r="N540" s="125"/>
      <c r="O540" s="151">
        <f>IFERROR(VLOOKUP((LEFT(VLOOKUP($L540,'2-2 引出数据_合同数据仓库'!$B$5:$BP$20,64,FALSE),15)&amp;(RIGHT(VLOOKUP($L540,'2-2 引出数据_合同数据仓库'!$B$5:$BP$20,64,FALSE),4)+1)),'2-2 引出数据_合同数据仓库'!$B$5:$BP$20,3,FALSE),0)</f>
        <v>0</v>
      </c>
      <c r="P540" s="125"/>
      <c r="Q540" s="125">
        <f>IFERROR(VLOOKUP($L540,'2-2 引出数据_合同数据仓库'!$B$5:$BP$20,28,FALSE),0)</f>
        <v>0</v>
      </c>
      <c r="R540" s="125">
        <f>IFERROR(VLOOKUP($L540,'2-2 引出数据_合同数据仓库'!$B$5:$BP$20,29,FALSE),0)</f>
        <v>0</v>
      </c>
      <c r="S540" s="125">
        <f>IFERROR(VLOOKUP($L540,'2-2 引出数据_合同数据仓库'!$B$5:$BP$20,4,FALSE),0)</f>
        <v>0</v>
      </c>
      <c r="T540" s="125"/>
      <c r="U540" s="125">
        <f>IFERROR(VLOOKUP($L540,'2-2 引出数据_合同数据仓库'!$B$5:$BP$20,15,FALSE),0)</f>
        <v>0</v>
      </c>
      <c r="V540" s="125">
        <f t="shared" si="6017"/>
        <v>0</v>
      </c>
      <c r="W540" s="125"/>
      <c r="X540" s="157">
        <v>45658</v>
      </c>
      <c r="Y540" s="157">
        <f t="shared" si="6018"/>
        <v>45688</v>
      </c>
      <c r="Z540" s="161">
        <f t="shared" si="6019"/>
        <v>0</v>
      </c>
      <c r="AA540" s="157">
        <f t="shared" si="6020"/>
        <v>45689</v>
      </c>
      <c r="AB540" s="157">
        <f t="shared" si="6021"/>
        <v>45716</v>
      </c>
      <c r="AC540" s="161">
        <f t="shared" si="6022"/>
        <v>0</v>
      </c>
      <c r="AD540" s="157">
        <f t="shared" si="6023"/>
        <v>45717</v>
      </c>
      <c r="AE540" s="157">
        <f t="shared" si="6024"/>
        <v>45747</v>
      </c>
      <c r="AF540" s="161">
        <f t="shared" si="6025"/>
        <v>0</v>
      </c>
      <c r="AG540" s="157">
        <f t="shared" si="6026"/>
        <v>45748</v>
      </c>
      <c r="AH540" s="157">
        <f t="shared" si="6027"/>
        <v>45777</v>
      </c>
      <c r="AI540" s="161">
        <f t="shared" si="6028"/>
        <v>0</v>
      </c>
      <c r="AJ540" s="157">
        <f t="shared" si="6029"/>
        <v>45778</v>
      </c>
      <c r="AK540" s="157">
        <f t="shared" si="6030"/>
        <v>45808</v>
      </c>
      <c r="AL540" s="161">
        <f t="shared" si="6031"/>
        <v>0</v>
      </c>
      <c r="AM540" s="157">
        <f t="shared" si="6032"/>
        <v>45809</v>
      </c>
      <c r="AN540" s="157">
        <f t="shared" si="6033"/>
        <v>45838</v>
      </c>
      <c r="AO540" s="161">
        <f t="shared" si="6034"/>
        <v>0</v>
      </c>
      <c r="AP540" s="157">
        <f t="shared" si="6035"/>
        <v>45839</v>
      </c>
      <c r="AQ540" s="157">
        <f t="shared" si="6036"/>
        <v>45869</v>
      </c>
      <c r="AR540" s="161">
        <f t="shared" si="6037"/>
        <v>0</v>
      </c>
      <c r="AS540" s="157">
        <f t="shared" si="6038"/>
        <v>45870</v>
      </c>
      <c r="AT540" s="157">
        <f t="shared" si="6039"/>
        <v>45900</v>
      </c>
      <c r="AU540" s="161">
        <f t="shared" si="6040"/>
        <v>0</v>
      </c>
      <c r="AV540" s="157">
        <f t="shared" si="6041"/>
        <v>45901</v>
      </c>
      <c r="AW540" s="157">
        <f t="shared" si="6042"/>
        <v>45930</v>
      </c>
      <c r="AX540" s="161">
        <f t="shared" si="6043"/>
        <v>0</v>
      </c>
      <c r="AY540" s="157">
        <f t="shared" si="6044"/>
        <v>45931</v>
      </c>
      <c r="AZ540" s="157">
        <f t="shared" si="6045"/>
        <v>45961</v>
      </c>
      <c r="BA540" s="161">
        <f t="shared" si="6046"/>
        <v>0</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hidden="1" customHeight="1" outlineLevel="2" collapsed="1" spans="1:95">
      <c r="A541" s="122"/>
      <c r="B541" s="123"/>
      <c r="C541" s="124"/>
      <c r="D541" s="122"/>
      <c r="E541" s="123"/>
      <c r="F541" s="123"/>
      <c r="G541" s="123"/>
      <c r="H541" s="125"/>
      <c r="I541" s="125"/>
      <c r="J541" s="125">
        <f t="shared" si="6007"/>
        <v>0</v>
      </c>
      <c r="K541" s="125">
        <f t="shared" si="6088"/>
        <v>4</v>
      </c>
      <c r="L541" s="150"/>
      <c r="M541" s="151">
        <f>IFERROR(VLOOKUP($L541,'2-2 引出数据_合同数据仓库'!$B$5:$BP$20,3,FALSE),0)</f>
        <v>0</v>
      </c>
      <c r="N541" s="125"/>
      <c r="O541" s="151">
        <f>IFERROR(VLOOKUP((LEFT(VLOOKUP($L541,'2-2 引出数据_合同数据仓库'!$B$5:$BP$20,64,FALSE),15)&amp;(RIGHT(VLOOKUP($L541,'2-2 引出数据_合同数据仓库'!$B$5:$BP$20,64,FALSE),4)+1)),'2-2 引出数据_合同数据仓库'!$B$5:$BP$20,3,FALSE),0)</f>
        <v>0</v>
      </c>
      <c r="P541" s="125"/>
      <c r="Q541" s="125">
        <f>IFERROR(VLOOKUP($L541,'2-2 引出数据_合同数据仓库'!$B$5:$BP$20,28,FALSE),0)</f>
        <v>0</v>
      </c>
      <c r="R541" s="125">
        <f>IFERROR(VLOOKUP($L541,'2-2 引出数据_合同数据仓库'!$B$5:$BP$20,29,FALSE),0)</f>
        <v>0</v>
      </c>
      <c r="S541" s="125">
        <f>IFERROR(VLOOKUP($L541,'2-2 引出数据_合同数据仓库'!$B$5:$BP$20,4,FALSE),0)</f>
        <v>0</v>
      </c>
      <c r="T541" s="125"/>
      <c r="U541" s="125">
        <f>IFERROR(VLOOKUP($L541,'2-2 引出数据_合同数据仓库'!$B$5:$BP$20,15,FALSE),0)</f>
        <v>0</v>
      </c>
      <c r="V541" s="125">
        <f t="shared" si="6017"/>
        <v>0</v>
      </c>
      <c r="W541" s="125"/>
      <c r="X541" s="157">
        <v>45658</v>
      </c>
      <c r="Y541" s="157">
        <f t="shared" si="6018"/>
        <v>45688</v>
      </c>
      <c r="Z541" s="161">
        <f t="shared" si="6019"/>
        <v>0</v>
      </c>
      <c r="AA541" s="157">
        <f t="shared" si="6020"/>
        <v>45689</v>
      </c>
      <c r="AB541" s="157">
        <f t="shared" si="6021"/>
        <v>45716</v>
      </c>
      <c r="AC541" s="161">
        <f t="shared" si="6022"/>
        <v>0</v>
      </c>
      <c r="AD541" s="157">
        <f t="shared" si="6023"/>
        <v>45717</v>
      </c>
      <c r="AE541" s="157">
        <f t="shared" si="6024"/>
        <v>45747</v>
      </c>
      <c r="AF541" s="161">
        <f t="shared" si="6025"/>
        <v>0</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hidden="1" customHeight="1" outlineLevel="4" spans="1:95">
      <c r="A542" s="126" t="s">
        <v>2770</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hidden="1" customHeight="1" outlineLevel="1" collapsed="1" spans="1:95">
      <c r="A543" s="22"/>
      <c r="B543" s="112" t="s">
        <v>747</v>
      </c>
      <c r="C543" s="113" t="s">
        <v>2145</v>
      </c>
      <c r="D543" s="22" t="s">
        <v>2146</v>
      </c>
      <c r="E543" s="112"/>
      <c r="F543" s="112"/>
      <c r="G543" s="112"/>
      <c r="H543" s="114">
        <f>X543+AA543+AD543+AG543+AJ543+AM543+AP543+AS543+AV543+AY543+BB543+BE543</f>
        <v>0</v>
      </c>
      <c r="I543" s="114">
        <f>Y543+AB543+AE543+AH543+AK543+AN543+AQ543+AT543+AW543+AZ543+BC543+BF543</f>
        <v>0</v>
      </c>
      <c r="J543" s="114">
        <f t="shared" si="6007"/>
        <v>0</v>
      </c>
      <c r="K543" s="114"/>
      <c r="L543" s="147"/>
      <c r="M543" s="147"/>
      <c r="N543" s="147"/>
      <c r="O543" s="147"/>
      <c r="P543" s="114"/>
      <c r="Q543" s="114"/>
      <c r="R543" s="114"/>
      <c r="S543" s="114"/>
      <c r="T543" s="114"/>
      <c r="U543" s="114"/>
      <c r="V543" s="114"/>
      <c r="W543" s="114"/>
      <c r="X543" s="114">
        <f>VLOOKUP($C543,'1 预算编制表单'!$C:$BJ,27,FALSE)</f>
        <v>0</v>
      </c>
      <c r="Y543" s="114">
        <f>X543-Z543</f>
        <v>0</v>
      </c>
      <c r="Z543" s="114">
        <f>SUM(Z544:Z548)</f>
        <v>0</v>
      </c>
      <c r="AA543" s="114">
        <f>VLOOKUP($C543,'1 预算编制表单'!$C:$BJ,30,FALSE)</f>
        <v>0</v>
      </c>
      <c r="AB543" s="114">
        <f>AA543-AC543</f>
        <v>0</v>
      </c>
      <c r="AC543" s="114">
        <f>SUM(AC544:AC548)</f>
        <v>0</v>
      </c>
      <c r="AD543" s="114">
        <f>VLOOKUP($C543,'1 预算编制表单'!$C:$BJ,33,FALSE)</f>
        <v>0</v>
      </c>
      <c r="AE543" s="114">
        <f>AD543-AF543</f>
        <v>0</v>
      </c>
      <c r="AF543" s="114">
        <f>SUM(AF544:AF548)</f>
        <v>0</v>
      </c>
      <c r="AG543" s="114">
        <f>VLOOKUP($C543,'1 预算编制表单'!$C:$BJ,36,FALSE)</f>
        <v>0</v>
      </c>
      <c r="AH543" s="114">
        <f>AG543-AI543</f>
        <v>0</v>
      </c>
      <c r="AI543" s="114">
        <f>SUM(AI544:AI548)</f>
        <v>0</v>
      </c>
      <c r="AJ543" s="114">
        <f>VLOOKUP($C543,'1 预算编制表单'!$C:$BJ,39,FALSE)</f>
        <v>0</v>
      </c>
      <c r="AK543" s="114">
        <f>AJ543-AL543</f>
        <v>0</v>
      </c>
      <c r="AL543" s="114">
        <f>SUM(AL544:AL548)</f>
        <v>0</v>
      </c>
      <c r="AM543" s="114">
        <f>VLOOKUP($C543,'1 预算编制表单'!$C:$BJ,42,FALSE)</f>
        <v>0</v>
      </c>
      <c r="AN543" s="114">
        <f>AM543-AO543</f>
        <v>0</v>
      </c>
      <c r="AO543" s="114">
        <f>SUM(AO544:AO548)</f>
        <v>0</v>
      </c>
      <c r="AP543" s="114">
        <f>VLOOKUP($C543,'1 预算编制表单'!$C:$BJ,45,FALSE)</f>
        <v>0</v>
      </c>
      <c r="AQ543" s="114">
        <f>AP543-AR543</f>
        <v>0</v>
      </c>
      <c r="AR543" s="114">
        <f>SUM(AR544:AR548)</f>
        <v>0</v>
      </c>
      <c r="AS543" s="114">
        <f>VLOOKUP($C543,'1 预算编制表单'!$C:$BJ,48,FALSE)</f>
        <v>0</v>
      </c>
      <c r="AT543" s="114">
        <f>AS543-AU543</f>
        <v>0</v>
      </c>
      <c r="AU543" s="114">
        <f>SUM(AU544:AU548)</f>
        <v>0</v>
      </c>
      <c r="AV543" s="114">
        <f>VLOOKUP($C543,'1 预算编制表单'!$C:$BJ,51,FALSE)</f>
        <v>0</v>
      </c>
      <c r="AW543" s="114">
        <f>AV543-AX543</f>
        <v>0</v>
      </c>
      <c r="AX543" s="114">
        <f>SUM(AX544:AX548)</f>
        <v>0</v>
      </c>
      <c r="AY543" s="114">
        <f>VLOOKUP($C543,'1 预算编制表单'!$C:$BJ,54,FALSE)</f>
        <v>0</v>
      </c>
      <c r="AZ543" s="114">
        <f>AY543-BA543</f>
        <v>0</v>
      </c>
      <c r="BA543" s="114">
        <f>SUM(BA544:BA548)</f>
        <v>0</v>
      </c>
      <c r="BB543" s="114">
        <f>VLOOKUP($C543,'1 预算编制表单'!$C:$BJ,57,FALSE)</f>
        <v>0</v>
      </c>
      <c r="BC543" s="114">
        <f>BB543-BD543</f>
        <v>0</v>
      </c>
      <c r="BD543" s="114">
        <f>SUM(BD544:BD548)</f>
        <v>0</v>
      </c>
      <c r="BE543" s="114">
        <f>VLOOKUP($C543,'1 预算编制表单'!$C:$BJ,60,FALSE)</f>
        <v>0</v>
      </c>
      <c r="BF543" s="114">
        <f>BE543-BG543</f>
        <v>0</v>
      </c>
      <c r="BG543" s="114">
        <f>SUM(BG544:BG548)</f>
        <v>0</v>
      </c>
      <c r="BH543" s="114">
        <f>VLOOKUP($C543,'1 预算编制表单'!$C:$BJ,27,FALSE)</f>
        <v>0</v>
      </c>
      <c r="BI543" s="114">
        <f>BH543-BJ543</f>
        <v>0</v>
      </c>
      <c r="BJ543" s="114">
        <f>SUM(BJ544:BJ548)</f>
        <v>0</v>
      </c>
      <c r="BK543" s="114">
        <f>VLOOKUP($C543,'1 预算编制表单'!$C:$BJ,30,FALSE)</f>
        <v>0</v>
      </c>
      <c r="BL543" s="114">
        <f>BK543-BM543</f>
        <v>0</v>
      </c>
      <c r="BM543" s="114">
        <f>SUM(BM544:BM548)</f>
        <v>0</v>
      </c>
      <c r="BN543" s="114">
        <f>VLOOKUP($C543,'1 预算编制表单'!$C:$BJ,33,FALSE)</f>
        <v>0</v>
      </c>
      <c r="BO543" s="114">
        <f>BN543-BP543</f>
        <v>0</v>
      </c>
      <c r="BP543" s="114">
        <f>SUM(BP544:BP548)</f>
        <v>0</v>
      </c>
      <c r="BQ543" s="114">
        <f>VLOOKUP($C543,'1 预算编制表单'!$C:$BJ,36,FALSE)</f>
        <v>0</v>
      </c>
      <c r="BR543" s="114">
        <f>BQ543-BS543</f>
        <v>0</v>
      </c>
      <c r="BS543" s="114">
        <f>SUM(BS544:BS548)</f>
        <v>0</v>
      </c>
      <c r="BT543" s="114">
        <f>VLOOKUP($C543,'1 预算编制表单'!$C:$BJ,39,FALSE)</f>
        <v>0</v>
      </c>
      <c r="BU543" s="114">
        <f>BT543-BV543</f>
        <v>0</v>
      </c>
      <c r="BV543" s="114">
        <f>SUM(BV544:BV548)</f>
        <v>0</v>
      </c>
      <c r="BW543" s="114">
        <f>VLOOKUP($C543,'1 预算编制表单'!$C:$BJ,42,FALSE)</f>
        <v>0</v>
      </c>
      <c r="BX543" s="114">
        <f>BW543-BY543</f>
        <v>0</v>
      </c>
      <c r="BY543" s="114">
        <f>SUM(BY544:BY548)</f>
        <v>0</v>
      </c>
      <c r="BZ543" s="114">
        <f>VLOOKUP($C543,'1 预算编制表单'!$C:$BJ,45,FALSE)</f>
        <v>0</v>
      </c>
      <c r="CA543" s="114">
        <f>BZ543-CB543</f>
        <v>0</v>
      </c>
      <c r="CB543" s="114">
        <f>SUM(CB544:CB548)</f>
        <v>0</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hidden="1" customHeight="1" outlineLevel="2" spans="1:95">
      <c r="A544" s="122"/>
      <c r="B544" s="123"/>
      <c r="C544" s="124"/>
      <c r="D544" s="122"/>
      <c r="E544" s="123"/>
      <c r="F544" s="123"/>
      <c r="G544" s="123"/>
      <c r="H544" s="125"/>
      <c r="I544" s="125"/>
      <c r="J544" s="125">
        <f t="shared" si="6007"/>
        <v>0</v>
      </c>
      <c r="K544" s="125">
        <v>1</v>
      </c>
      <c r="L544" s="150"/>
      <c r="M544" s="151">
        <f>IFERROR(VLOOKUP($L544,'2-2 引出数据_合同数据仓库'!$B$5:$BP$20,3,FALSE),0)</f>
        <v>0</v>
      </c>
      <c r="N544" s="125"/>
      <c r="O544" s="151">
        <f>IFERROR(VLOOKUP((LEFT(VLOOKUP($L544,'2-2 引出数据_合同数据仓库'!$B$5:$BP$20,64,FALSE),15)&amp;(RIGHT(VLOOKUP($L544,'2-2 引出数据_合同数据仓库'!$B$5:$BP$20,64,FALSE),4)+1)),'2-2 引出数据_合同数据仓库'!$B$5:$BP$20,3,FALSE),0)</f>
        <v>0</v>
      </c>
      <c r="P544" s="125"/>
      <c r="Q544" s="125">
        <f>IFERROR(VLOOKUP($L544,'2-2 引出数据_合同数据仓库'!$B$5:$BP$20,28,FALSE),0)</f>
        <v>0</v>
      </c>
      <c r="R544" s="125">
        <f>IFERROR(VLOOKUP($L544,'2-2 引出数据_合同数据仓库'!$B$5:$BP$20,29,FALSE),0)</f>
        <v>0</v>
      </c>
      <c r="S544" s="125">
        <f>IFERROR(VLOOKUP($L544,'2-2 引出数据_合同数据仓库'!$B$5:$BP$20,4,FALSE),0)</f>
        <v>0</v>
      </c>
      <c r="T544" s="125"/>
      <c r="U544" s="125">
        <f>IFERROR(VLOOKUP($L544,'2-2 引出数据_合同数据仓库'!$B$5:$BP$20,15,FALSE),0)</f>
        <v>0</v>
      </c>
      <c r="V544" s="125">
        <f t="shared" ref="V544:V547" si="6089">U544/(S544-R544+1)*365</f>
        <v>0</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0</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0</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0</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0</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0</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0</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0</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0</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0</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0</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0</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0</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0</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0</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0</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0</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0</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0</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0</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hidden="1" customHeight="1" outlineLevel="2" spans="1:95">
      <c r="A545" s="122"/>
      <c r="B545" s="123"/>
      <c r="C545" s="124"/>
      <c r="D545" s="122"/>
      <c r="E545" s="123"/>
      <c r="F545" s="123"/>
      <c r="G545" s="123"/>
      <c r="H545" s="125"/>
      <c r="I545" s="125"/>
      <c r="J545" s="125">
        <f t="shared" si="6007"/>
        <v>0</v>
      </c>
      <c r="K545" s="125">
        <f t="shared" ref="K545:K547" si="6160">K544+1</f>
        <v>2</v>
      </c>
      <c r="L545" s="150"/>
      <c r="M545" s="151">
        <f>IFERROR(VLOOKUP($L545,'2-2 引出数据_合同数据仓库'!$B$5:$BP$20,3,FALSE),0)</f>
        <v>0</v>
      </c>
      <c r="N545" s="125"/>
      <c r="O545" s="151">
        <f>IFERROR(VLOOKUP((LEFT(VLOOKUP($L545,'2-2 引出数据_合同数据仓库'!$B$5:$BP$20,64,FALSE),15)&amp;(RIGHT(VLOOKUP($L545,'2-2 引出数据_合同数据仓库'!$B$5:$BP$20,64,FALSE),4)+1)),'2-2 引出数据_合同数据仓库'!$B$5:$BP$20,3,FALSE),0)</f>
        <v>0</v>
      </c>
      <c r="P545" s="125"/>
      <c r="Q545" s="125">
        <f>IFERROR(VLOOKUP($L545,'2-2 引出数据_合同数据仓库'!$B$5:$BP$20,28,FALSE),0)</f>
        <v>0</v>
      </c>
      <c r="R545" s="125">
        <f>IFERROR(VLOOKUP($L545,'2-2 引出数据_合同数据仓库'!$B$5:$BP$20,29,FALSE),0)</f>
        <v>0</v>
      </c>
      <c r="S545" s="125">
        <f>IFERROR(VLOOKUP($L545,'2-2 引出数据_合同数据仓库'!$B$5:$BP$20,4,FALSE),0)</f>
        <v>0</v>
      </c>
      <c r="T545" s="125"/>
      <c r="U545" s="125">
        <f>IFERROR(VLOOKUP($L545,'2-2 引出数据_合同数据仓库'!$B$5:$BP$20,15,FALSE),0)</f>
        <v>0</v>
      </c>
      <c r="V545" s="125">
        <f t="shared" si="6089"/>
        <v>0</v>
      </c>
      <c r="W545" s="125"/>
      <c r="X545" s="157">
        <v>45658</v>
      </c>
      <c r="Y545" s="157">
        <f t="shared" si="6090"/>
        <v>45688</v>
      </c>
      <c r="Z545" s="161">
        <f t="shared" si="6091"/>
        <v>0</v>
      </c>
      <c r="AA545" s="157">
        <f t="shared" si="6092"/>
        <v>45689</v>
      </c>
      <c r="AB545" s="157">
        <f t="shared" si="6093"/>
        <v>45716</v>
      </c>
      <c r="AC545" s="161">
        <f t="shared" si="6094"/>
        <v>0</v>
      </c>
      <c r="AD545" s="157">
        <f t="shared" si="6095"/>
        <v>45717</v>
      </c>
      <c r="AE545" s="157">
        <f t="shared" si="6096"/>
        <v>45747</v>
      </c>
      <c r="AF545" s="161">
        <f t="shared" si="6097"/>
        <v>0</v>
      </c>
      <c r="AG545" s="157">
        <f t="shared" si="6098"/>
        <v>45748</v>
      </c>
      <c r="AH545" s="157">
        <f t="shared" si="6099"/>
        <v>45777</v>
      </c>
      <c r="AI545" s="161">
        <f t="shared" si="6100"/>
        <v>0</v>
      </c>
      <c r="AJ545" s="157">
        <f t="shared" si="6101"/>
        <v>45778</v>
      </c>
      <c r="AK545" s="157">
        <f t="shared" si="6102"/>
        <v>45808</v>
      </c>
      <c r="AL545" s="161">
        <f t="shared" si="6103"/>
        <v>0</v>
      </c>
      <c r="AM545" s="157">
        <f t="shared" si="6104"/>
        <v>45809</v>
      </c>
      <c r="AN545" s="157">
        <f t="shared" si="6105"/>
        <v>45838</v>
      </c>
      <c r="AO545" s="161">
        <f t="shared" si="6106"/>
        <v>0</v>
      </c>
      <c r="AP545" s="157">
        <f t="shared" si="6107"/>
        <v>45839</v>
      </c>
      <c r="AQ545" s="157">
        <f t="shared" si="6108"/>
        <v>45869</v>
      </c>
      <c r="AR545" s="161">
        <f t="shared" si="6109"/>
        <v>0</v>
      </c>
      <c r="AS545" s="157">
        <f t="shared" si="6110"/>
        <v>45870</v>
      </c>
      <c r="AT545" s="157">
        <f t="shared" si="6111"/>
        <v>45900</v>
      </c>
      <c r="AU545" s="161">
        <f t="shared" si="6112"/>
        <v>0</v>
      </c>
      <c r="AV545" s="157">
        <f t="shared" si="6113"/>
        <v>45901</v>
      </c>
      <c r="AW545" s="157">
        <f t="shared" si="6114"/>
        <v>45930</v>
      </c>
      <c r="AX545" s="161">
        <f t="shared" si="6115"/>
        <v>0</v>
      </c>
      <c r="AY545" s="157">
        <f t="shared" si="6116"/>
        <v>45931</v>
      </c>
      <c r="AZ545" s="157">
        <f t="shared" si="6117"/>
        <v>45961</v>
      </c>
      <c r="BA545" s="161">
        <f t="shared" si="6118"/>
        <v>0</v>
      </c>
      <c r="BB545" s="157">
        <f t="shared" si="6119"/>
        <v>45962</v>
      </c>
      <c r="BC545" s="157">
        <f t="shared" si="6120"/>
        <v>45991</v>
      </c>
      <c r="BD545" s="161">
        <f t="shared" si="6121"/>
        <v>0</v>
      </c>
      <c r="BE545" s="157">
        <f t="shared" si="6122"/>
        <v>45992</v>
      </c>
      <c r="BF545" s="157">
        <f t="shared" si="6123"/>
        <v>46022</v>
      </c>
      <c r="BG545" s="161">
        <f t="shared" si="6124"/>
        <v>0</v>
      </c>
      <c r="BH545" s="157">
        <v>46023</v>
      </c>
      <c r="BI545" s="157">
        <f t="shared" si="6125"/>
        <v>46053</v>
      </c>
      <c r="BJ545" s="161">
        <f t="shared" si="6126"/>
        <v>0</v>
      </c>
      <c r="BK545" s="157">
        <f t="shared" si="6127"/>
        <v>46054</v>
      </c>
      <c r="BL545" s="157">
        <f t="shared" si="6128"/>
        <v>46081</v>
      </c>
      <c r="BM545" s="161">
        <f t="shared" si="6129"/>
        <v>0</v>
      </c>
      <c r="BN545" s="157">
        <f t="shared" si="6130"/>
        <v>46082</v>
      </c>
      <c r="BO545" s="157">
        <f t="shared" si="6131"/>
        <v>46112</v>
      </c>
      <c r="BP545" s="161">
        <f t="shared" si="6132"/>
        <v>0</v>
      </c>
      <c r="BQ545" s="157">
        <f t="shared" si="6133"/>
        <v>46113</v>
      </c>
      <c r="BR545" s="157">
        <f t="shared" si="6134"/>
        <v>46142</v>
      </c>
      <c r="BS545" s="161">
        <f t="shared" si="6135"/>
        <v>0</v>
      </c>
      <c r="BT545" s="157">
        <f t="shared" si="6136"/>
        <v>46143</v>
      </c>
      <c r="BU545" s="157">
        <f t="shared" si="6137"/>
        <v>46173</v>
      </c>
      <c r="BV545" s="161">
        <f t="shared" si="6138"/>
        <v>0</v>
      </c>
      <c r="BW545" s="157">
        <f t="shared" si="6139"/>
        <v>46174</v>
      </c>
      <c r="BX545" s="157">
        <f t="shared" si="6140"/>
        <v>46203</v>
      </c>
      <c r="BY545" s="161">
        <f t="shared" si="6141"/>
        <v>0</v>
      </c>
      <c r="BZ545" s="157">
        <f t="shared" si="6142"/>
        <v>46204</v>
      </c>
      <c r="CA545" s="157">
        <f t="shared" si="6143"/>
        <v>46234</v>
      </c>
      <c r="CB545" s="161">
        <f t="shared" si="6144"/>
        <v>0</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hidden="1" customHeight="1" outlineLevel="2" spans="1:95">
      <c r="A546" s="122"/>
      <c r="B546" s="123"/>
      <c r="C546" s="124"/>
      <c r="D546" s="122"/>
      <c r="E546" s="123"/>
      <c r="F546" s="123"/>
      <c r="G546" s="123"/>
      <c r="H546" s="125"/>
      <c r="I546" s="125"/>
      <c r="J546" s="125">
        <f t="shared" si="6007"/>
        <v>0</v>
      </c>
      <c r="K546" s="125">
        <f t="shared" si="6160"/>
        <v>3</v>
      </c>
      <c r="L546" s="150"/>
      <c r="M546" s="151">
        <f>IFERROR(VLOOKUP($L546,'2-2 引出数据_合同数据仓库'!$B$5:$BP$20,3,FALSE),0)</f>
        <v>0</v>
      </c>
      <c r="N546" s="125"/>
      <c r="O546" s="151">
        <f>IFERROR(VLOOKUP((LEFT(VLOOKUP($L546,'2-2 引出数据_合同数据仓库'!$B$5:$BP$20,64,FALSE),15)&amp;(RIGHT(VLOOKUP($L546,'2-2 引出数据_合同数据仓库'!$B$5:$BP$20,64,FALSE),4)+1)),'2-2 引出数据_合同数据仓库'!$B$5:$BP$20,3,FALSE),0)</f>
        <v>0</v>
      </c>
      <c r="P546" s="125"/>
      <c r="Q546" s="125">
        <f>IFERROR(VLOOKUP($L546,'2-2 引出数据_合同数据仓库'!$B$5:$BP$20,28,FALSE),0)</f>
        <v>0</v>
      </c>
      <c r="R546" s="125">
        <f>IFERROR(VLOOKUP($L546,'2-2 引出数据_合同数据仓库'!$B$5:$BP$20,29,FALSE),0)</f>
        <v>0</v>
      </c>
      <c r="S546" s="125">
        <f>IFERROR(VLOOKUP($L546,'2-2 引出数据_合同数据仓库'!$B$5:$BP$20,4,FALSE),0)</f>
        <v>0</v>
      </c>
      <c r="T546" s="125"/>
      <c r="U546" s="125">
        <f>IFERROR(VLOOKUP($L546,'2-2 引出数据_合同数据仓库'!$B$5:$BP$20,15,FALSE),0)</f>
        <v>0</v>
      </c>
      <c r="V546" s="125">
        <f t="shared" si="6089"/>
        <v>0</v>
      </c>
      <c r="W546" s="125"/>
      <c r="X546" s="157">
        <v>45658</v>
      </c>
      <c r="Y546" s="157">
        <f t="shared" si="6090"/>
        <v>45688</v>
      </c>
      <c r="Z546" s="161">
        <f t="shared" si="6091"/>
        <v>0</v>
      </c>
      <c r="AA546" s="157">
        <f t="shared" si="6092"/>
        <v>45689</v>
      </c>
      <c r="AB546" s="157">
        <f t="shared" si="6093"/>
        <v>45716</v>
      </c>
      <c r="AC546" s="161">
        <f t="shared" si="6094"/>
        <v>0</v>
      </c>
      <c r="AD546" s="157">
        <f t="shared" si="6095"/>
        <v>45717</v>
      </c>
      <c r="AE546" s="157">
        <f t="shared" si="6096"/>
        <v>45747</v>
      </c>
      <c r="AF546" s="161">
        <f t="shared" si="6097"/>
        <v>0</v>
      </c>
      <c r="AG546" s="157">
        <f t="shared" si="6098"/>
        <v>45748</v>
      </c>
      <c r="AH546" s="157">
        <f t="shared" si="6099"/>
        <v>45777</v>
      </c>
      <c r="AI546" s="161">
        <f t="shared" si="6100"/>
        <v>0</v>
      </c>
      <c r="AJ546" s="157">
        <f t="shared" si="6101"/>
        <v>45778</v>
      </c>
      <c r="AK546" s="157">
        <f t="shared" si="6102"/>
        <v>45808</v>
      </c>
      <c r="AL546" s="161">
        <f t="shared" si="6103"/>
        <v>0</v>
      </c>
      <c r="AM546" s="157">
        <f t="shared" si="6104"/>
        <v>45809</v>
      </c>
      <c r="AN546" s="157">
        <f t="shared" si="6105"/>
        <v>45838</v>
      </c>
      <c r="AO546" s="161">
        <f t="shared" si="6106"/>
        <v>0</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hidden="1" customHeight="1" outlineLevel="2" collapsed="1" spans="1:95">
      <c r="A547" s="122"/>
      <c r="B547" s="123"/>
      <c r="C547" s="124"/>
      <c r="D547" s="122"/>
      <c r="E547" s="123"/>
      <c r="F547" s="123"/>
      <c r="G547" s="123"/>
      <c r="H547" s="125"/>
      <c r="I547" s="125"/>
      <c r="J547" s="125">
        <f t="shared" si="6007"/>
        <v>0</v>
      </c>
      <c r="K547" s="125">
        <f t="shared" si="6160"/>
        <v>4</v>
      </c>
      <c r="L547" s="150"/>
      <c r="M547" s="151">
        <f>IFERROR(VLOOKUP($L547,'2-2 引出数据_合同数据仓库'!$B$5:$BP$20,3,FALSE),0)</f>
        <v>0</v>
      </c>
      <c r="N547" s="125"/>
      <c r="O547" s="151">
        <f>IFERROR(VLOOKUP((LEFT(VLOOKUP($L547,'2-2 引出数据_合同数据仓库'!$B$5:$BP$20,64,FALSE),15)&amp;(RIGHT(VLOOKUP($L547,'2-2 引出数据_合同数据仓库'!$B$5:$BP$20,64,FALSE),4)+1)),'2-2 引出数据_合同数据仓库'!$B$5:$BP$20,3,FALSE),0)</f>
        <v>0</v>
      </c>
      <c r="P547" s="125"/>
      <c r="Q547" s="125">
        <f>IFERROR(VLOOKUP($L547,'2-2 引出数据_合同数据仓库'!$B$5:$BP$20,28,FALSE),0)</f>
        <v>0</v>
      </c>
      <c r="R547" s="125">
        <f>IFERROR(VLOOKUP($L547,'2-2 引出数据_合同数据仓库'!$B$5:$BP$20,29,FALSE),0)</f>
        <v>0</v>
      </c>
      <c r="S547" s="125">
        <f>IFERROR(VLOOKUP($L547,'2-2 引出数据_合同数据仓库'!$B$5:$BP$20,4,FALSE),0)</f>
        <v>0</v>
      </c>
      <c r="T547" s="125"/>
      <c r="U547" s="125">
        <f>IFERROR(VLOOKUP($L547,'2-2 引出数据_合同数据仓库'!$B$5:$BP$20,15,FALSE),0)</f>
        <v>0</v>
      </c>
      <c r="V547" s="125">
        <f t="shared" si="6089"/>
        <v>0</v>
      </c>
      <c r="W547" s="125"/>
      <c r="X547" s="157">
        <v>45658</v>
      </c>
      <c r="Y547" s="157">
        <f t="shared" si="6090"/>
        <v>45688</v>
      </c>
      <c r="Z547" s="161">
        <f t="shared" si="6091"/>
        <v>0</v>
      </c>
      <c r="AA547" s="157">
        <f t="shared" si="6092"/>
        <v>45689</v>
      </c>
      <c r="AB547" s="157">
        <f t="shared" si="6093"/>
        <v>45716</v>
      </c>
      <c r="AC547" s="161">
        <f t="shared" si="6094"/>
        <v>0</v>
      </c>
      <c r="AD547" s="157">
        <f t="shared" si="6095"/>
        <v>45717</v>
      </c>
      <c r="AE547" s="157">
        <f t="shared" si="6096"/>
        <v>45747</v>
      </c>
      <c r="AF547" s="161">
        <f t="shared" si="6097"/>
        <v>0</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hidden="1" customHeight="1" outlineLevel="4" spans="1:95">
      <c r="A548" s="126" t="s">
        <v>2770</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hidden="1" customHeight="1" outlineLevel="1" collapsed="1" spans="1:95">
      <c r="A549" s="22"/>
      <c r="B549" s="112" t="s">
        <v>747</v>
      </c>
      <c r="C549" s="113" t="s">
        <v>2153</v>
      </c>
      <c r="D549" s="22" t="s">
        <v>2154</v>
      </c>
      <c r="E549" s="112"/>
      <c r="F549" s="112"/>
      <c r="G549" s="112"/>
      <c r="H549" s="114">
        <f>X549+AA549+AD549+AG549+AJ549+AM549+AP549+AS549+AV549+AY549+BB549+BE549</f>
        <v>0</v>
      </c>
      <c r="I549" s="114">
        <f>Y549+AB549+AE549+AH549+AK549+AN549+AQ549+AT549+AW549+AZ549+BC549+BF549</f>
        <v>0</v>
      </c>
      <c r="J549" s="114">
        <f t="shared" si="6007"/>
        <v>0</v>
      </c>
      <c r="K549" s="114"/>
      <c r="L549" s="147"/>
      <c r="M549" s="147"/>
      <c r="N549" s="147"/>
      <c r="O549" s="147"/>
      <c r="P549" s="114"/>
      <c r="Q549" s="114"/>
      <c r="R549" s="114"/>
      <c r="S549" s="114"/>
      <c r="T549" s="114"/>
      <c r="U549" s="114"/>
      <c r="V549" s="114"/>
      <c r="W549" s="114"/>
      <c r="X549" s="114">
        <f>VLOOKUP($C549,'1 预算编制表单'!$C:$BJ,27,FALSE)</f>
        <v>0</v>
      </c>
      <c r="Y549" s="114">
        <f>X549-Z549</f>
        <v>0</v>
      </c>
      <c r="Z549" s="114">
        <f>SUM(Z550:Z554)</f>
        <v>0</v>
      </c>
      <c r="AA549" s="114">
        <f>VLOOKUP($C549,'1 预算编制表单'!$C:$BJ,30,FALSE)</f>
        <v>0</v>
      </c>
      <c r="AB549" s="114">
        <f>AA549-AC549</f>
        <v>0</v>
      </c>
      <c r="AC549" s="114">
        <f>SUM(AC550:AC554)</f>
        <v>0</v>
      </c>
      <c r="AD549" s="114">
        <f>VLOOKUP($C549,'1 预算编制表单'!$C:$BJ,33,FALSE)</f>
        <v>0</v>
      </c>
      <c r="AE549" s="114">
        <f>AD549-AF549</f>
        <v>0</v>
      </c>
      <c r="AF549" s="114">
        <f>SUM(AF550:AF554)</f>
        <v>0</v>
      </c>
      <c r="AG549" s="114">
        <f>VLOOKUP($C549,'1 预算编制表单'!$C:$BJ,36,FALSE)</f>
        <v>0</v>
      </c>
      <c r="AH549" s="114">
        <f>AG549-AI549</f>
        <v>0</v>
      </c>
      <c r="AI549" s="114">
        <f>SUM(AI550:AI554)</f>
        <v>0</v>
      </c>
      <c r="AJ549" s="114">
        <f>VLOOKUP($C549,'1 预算编制表单'!$C:$BJ,39,FALSE)</f>
        <v>0</v>
      </c>
      <c r="AK549" s="114">
        <f>AJ549-AL549</f>
        <v>0</v>
      </c>
      <c r="AL549" s="114">
        <f>SUM(AL550:AL554)</f>
        <v>0</v>
      </c>
      <c r="AM549" s="114">
        <f>VLOOKUP($C549,'1 预算编制表单'!$C:$BJ,42,FALSE)</f>
        <v>0</v>
      </c>
      <c r="AN549" s="114">
        <f>AM549-AO549</f>
        <v>0</v>
      </c>
      <c r="AO549" s="114">
        <f>SUM(AO550:AO554)</f>
        <v>0</v>
      </c>
      <c r="AP549" s="114">
        <f>VLOOKUP($C549,'1 预算编制表单'!$C:$BJ,45,FALSE)</f>
        <v>0</v>
      </c>
      <c r="AQ549" s="114">
        <f>AP549-AR549</f>
        <v>0</v>
      </c>
      <c r="AR549" s="114">
        <f>SUM(AR550:AR554)</f>
        <v>0</v>
      </c>
      <c r="AS549" s="114">
        <f>VLOOKUP($C549,'1 预算编制表单'!$C:$BJ,48,FALSE)</f>
        <v>0</v>
      </c>
      <c r="AT549" s="114">
        <f>AS549-AU549</f>
        <v>0</v>
      </c>
      <c r="AU549" s="114">
        <f>SUM(AU550:AU554)</f>
        <v>0</v>
      </c>
      <c r="AV549" s="114">
        <f>VLOOKUP($C549,'1 预算编制表单'!$C:$BJ,51,FALSE)</f>
        <v>0</v>
      </c>
      <c r="AW549" s="114">
        <f>AV549-AX549</f>
        <v>0</v>
      </c>
      <c r="AX549" s="114">
        <f>SUM(AX550:AX554)</f>
        <v>0</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hidden="1" customHeight="1" outlineLevel="2" spans="1:95">
      <c r="A550" s="122"/>
      <c r="B550" s="123"/>
      <c r="C550" s="124"/>
      <c r="D550" s="122"/>
      <c r="E550" s="123"/>
      <c r="F550" s="123"/>
      <c r="G550" s="123"/>
      <c r="H550" s="125"/>
      <c r="I550" s="125"/>
      <c r="J550" s="125">
        <f t="shared" si="6007"/>
        <v>0</v>
      </c>
      <c r="K550" s="125">
        <v>1</v>
      </c>
      <c r="L550" s="150"/>
      <c r="M550" s="151">
        <f>IFERROR(VLOOKUP($L550,'2-2 引出数据_合同数据仓库'!$B$5:$BP$20,3,FALSE),0)</f>
        <v>0</v>
      </c>
      <c r="N550" s="125"/>
      <c r="O550" s="151">
        <f>IFERROR(VLOOKUP((LEFT(VLOOKUP($L550,'2-2 引出数据_合同数据仓库'!$B$5:$BP$20,64,FALSE),15)&amp;(RIGHT(VLOOKUP($L550,'2-2 引出数据_合同数据仓库'!$B$5:$BP$20,64,FALSE),4)+1)),'2-2 引出数据_合同数据仓库'!$B$5:$BP$20,3,FALSE),0)</f>
        <v>0</v>
      </c>
      <c r="P550" s="125"/>
      <c r="Q550" s="125">
        <f>IFERROR(VLOOKUP($L550,'2-2 引出数据_合同数据仓库'!$B$5:$BP$20,28,FALSE),0)</f>
        <v>0</v>
      </c>
      <c r="R550" s="125">
        <f>IFERROR(VLOOKUP($L550,'2-2 引出数据_合同数据仓库'!$B$5:$BP$20,29,FALSE),0)</f>
        <v>0</v>
      </c>
      <c r="S550" s="125">
        <f>IFERROR(VLOOKUP($L550,'2-2 引出数据_合同数据仓库'!$B$5:$BP$20,4,FALSE),0)</f>
        <v>0</v>
      </c>
      <c r="T550" s="125"/>
      <c r="U550" s="125">
        <f>IFERROR(VLOOKUP($L550,'2-2 引出数据_合同数据仓库'!$B$5:$BP$20,15,FALSE),0)</f>
        <v>0</v>
      </c>
      <c r="V550" s="125">
        <f t="shared" ref="V550:V553" si="6161">U550/(S550-R550+1)*365</f>
        <v>0</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0</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0</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0</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0</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0</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0</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0</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0</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0</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hidden="1"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引出数据_合同数据仓库'!$B$5:$BP$20,3,FALSE),0)</f>
        <v>0</v>
      </c>
      <c r="N551" s="125"/>
      <c r="O551" s="151">
        <f>IFERROR(VLOOKUP((LEFT(VLOOKUP($L551,'2-2 引出数据_合同数据仓库'!$B$5:$BP$20,64,FALSE),15)&amp;(RIGHT(VLOOKUP($L551,'2-2 引出数据_合同数据仓库'!$B$5:$BP$20,64,FALSE),4)+1)),'2-2 引出数据_合同数据仓库'!$B$5:$BP$20,3,FALSE),0)</f>
        <v>0</v>
      </c>
      <c r="P551" s="125"/>
      <c r="Q551" s="125">
        <f>IFERROR(VLOOKUP($L551,'2-2 引出数据_合同数据仓库'!$B$5:$BP$20,28,FALSE),0)</f>
        <v>0</v>
      </c>
      <c r="R551" s="125">
        <f>IFERROR(VLOOKUP($L551,'2-2 引出数据_合同数据仓库'!$B$5:$BP$20,29,FALSE),0)</f>
        <v>0</v>
      </c>
      <c r="S551" s="125">
        <f>IFERROR(VLOOKUP($L551,'2-2 引出数据_合同数据仓库'!$B$5:$BP$20,4,FALSE),0)</f>
        <v>0</v>
      </c>
      <c r="T551" s="125"/>
      <c r="U551" s="125">
        <f>IFERROR(VLOOKUP($L551,'2-2 引出数据_合同数据仓库'!$B$5:$BP$20,15,FALSE),0)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hidden="1"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引出数据_合同数据仓库'!$B$5:$BP$20,3,FALSE),0)</f>
        <v>0</v>
      </c>
      <c r="N552" s="125"/>
      <c r="O552" s="151">
        <f>IFERROR(VLOOKUP((LEFT(VLOOKUP($L552,'2-2 引出数据_合同数据仓库'!$B$5:$BP$20,64,FALSE),15)&amp;(RIGHT(VLOOKUP($L552,'2-2 引出数据_合同数据仓库'!$B$5:$BP$20,64,FALSE),4)+1)),'2-2 引出数据_合同数据仓库'!$B$5:$BP$20,3,FALSE),0)</f>
        <v>0</v>
      </c>
      <c r="P552" s="125"/>
      <c r="Q552" s="125">
        <f>IFERROR(VLOOKUP($L552,'2-2 引出数据_合同数据仓库'!$B$5:$BP$20,28,FALSE),0)</f>
        <v>0</v>
      </c>
      <c r="R552" s="125">
        <f>IFERROR(VLOOKUP($L552,'2-2 引出数据_合同数据仓库'!$B$5:$BP$20,29,FALSE),0)</f>
        <v>0</v>
      </c>
      <c r="S552" s="125">
        <f>IFERROR(VLOOKUP($L552,'2-2 引出数据_合同数据仓库'!$B$5:$BP$20,4,FALSE),0)</f>
        <v>0</v>
      </c>
      <c r="T552" s="125"/>
      <c r="U552" s="125">
        <f>IFERROR(VLOOKUP($L552,'2-2 引出数据_合同数据仓库'!$B$5:$BP$20,15,FALSE),0)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hidden="1" customHeight="1" outlineLevel="2" collapsed="1" spans="1:95">
      <c r="A553" s="122"/>
      <c r="B553" s="123"/>
      <c r="C553" s="124"/>
      <c r="D553" s="122"/>
      <c r="E553" s="123"/>
      <c r="F553" s="123"/>
      <c r="G553" s="123"/>
      <c r="H553" s="125"/>
      <c r="I553" s="125"/>
      <c r="J553" s="125">
        <f t="shared" si="6007"/>
        <v>0</v>
      </c>
      <c r="K553" s="125">
        <f t="shared" si="6232"/>
        <v>4</v>
      </c>
      <c r="L553" s="150"/>
      <c r="M553" s="151">
        <f>IFERROR(VLOOKUP($L553,'2-2 引出数据_合同数据仓库'!$B$5:$BP$20,3,FALSE),0)</f>
        <v>0</v>
      </c>
      <c r="N553" s="125"/>
      <c r="O553" s="151">
        <f>IFERROR(VLOOKUP((LEFT(VLOOKUP($L553,'2-2 引出数据_合同数据仓库'!$B$5:$BP$20,64,FALSE),15)&amp;(RIGHT(VLOOKUP($L553,'2-2 引出数据_合同数据仓库'!$B$5:$BP$20,64,FALSE),4)+1)),'2-2 引出数据_合同数据仓库'!$B$5:$BP$20,3,FALSE),0)</f>
        <v>0</v>
      </c>
      <c r="P553" s="125"/>
      <c r="Q553" s="125">
        <f>IFERROR(VLOOKUP($L553,'2-2 引出数据_合同数据仓库'!$B$5:$BP$20,28,FALSE),0)</f>
        <v>0</v>
      </c>
      <c r="R553" s="125">
        <f>IFERROR(VLOOKUP($L553,'2-2 引出数据_合同数据仓库'!$B$5:$BP$20,29,FALSE),0)</f>
        <v>0</v>
      </c>
      <c r="S553" s="125">
        <f>IFERROR(VLOOKUP($L553,'2-2 引出数据_合同数据仓库'!$B$5:$BP$20,4,FALSE),0)</f>
        <v>0</v>
      </c>
      <c r="T553" s="125"/>
      <c r="U553" s="125">
        <f>IFERROR(VLOOKUP($L553,'2-2 引出数据_合同数据仓库'!$B$5:$BP$20,15,FALSE),0)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hidden="1" customHeight="1" outlineLevel="4" spans="1:95">
      <c r="A554" s="126" t="s">
        <v>2770</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hidden="1" customHeight="1" outlineLevel="1" collapsed="1" spans="1:95">
      <c r="A555" s="22"/>
      <c r="B555" s="112" t="s">
        <v>747</v>
      </c>
      <c r="C555" s="113" t="s">
        <v>2171</v>
      </c>
      <c r="D555" s="22" t="s">
        <v>2172</v>
      </c>
      <c r="E555" s="112"/>
      <c r="F555" s="112"/>
      <c r="G555" s="112"/>
      <c r="H555" s="114">
        <f>X555+AA555+AD555+AG555+AJ555+AM555+AP555+AS555+AV555+AY555+BB555+BE555</f>
        <v>0</v>
      </c>
      <c r="I555" s="114">
        <f>Y555+AB555+AE555+AH555+AK555+AN555+AQ555+AT555+AW555+AZ555+BC555+BF555</f>
        <v>0</v>
      </c>
      <c r="J555" s="114">
        <f t="shared" si="6007"/>
        <v>0</v>
      </c>
      <c r="K555" s="114"/>
      <c r="L555" s="147"/>
      <c r="M555" s="147"/>
      <c r="N555" s="147"/>
      <c r="O555" s="147"/>
      <c r="P555" s="114"/>
      <c r="Q555" s="114"/>
      <c r="R555" s="114"/>
      <c r="S555" s="114"/>
      <c r="T555" s="114"/>
      <c r="U555" s="114"/>
      <c r="V555" s="114"/>
      <c r="W555" s="114"/>
      <c r="X555" s="114">
        <f>VLOOKUP($C555,'1 预算编制表单'!$C:$BJ,27,FALSE)</f>
        <v>0</v>
      </c>
      <c r="Y555" s="114">
        <f>X555-Z555</f>
        <v>0</v>
      </c>
      <c r="Z555" s="114">
        <f>SUM(Z556:Z560)</f>
        <v>0</v>
      </c>
      <c r="AA555" s="114">
        <f>VLOOKUP($C555,'1 预算编制表单'!$C:$BJ,30,FALSE)</f>
        <v>0</v>
      </c>
      <c r="AB555" s="114">
        <f>AA555-AC555</f>
        <v>0</v>
      </c>
      <c r="AC555" s="114">
        <f>SUM(AC556:AC560)</f>
        <v>0</v>
      </c>
      <c r="AD555" s="114">
        <f>VLOOKUP($C555,'1 预算编制表单'!$C:$BJ,33,FALSE)</f>
        <v>0</v>
      </c>
      <c r="AE555" s="114">
        <f>AD555-AF555</f>
        <v>0</v>
      </c>
      <c r="AF555" s="114">
        <f>SUM(AF556:AF560)</f>
        <v>0</v>
      </c>
      <c r="AG555" s="114">
        <f>VLOOKUP($C555,'1 预算编制表单'!$C:$BJ,36,FALSE)</f>
        <v>0</v>
      </c>
      <c r="AH555" s="114">
        <f>AG555-AI555</f>
        <v>0</v>
      </c>
      <c r="AI555" s="114">
        <f>SUM(AI556:AI560)</f>
        <v>0</v>
      </c>
      <c r="AJ555" s="114">
        <f>VLOOKUP($C555,'1 预算编制表单'!$C:$BJ,39,FALSE)</f>
        <v>0</v>
      </c>
      <c r="AK555" s="114">
        <f>AJ555-AL555</f>
        <v>0</v>
      </c>
      <c r="AL555" s="114">
        <f>SUM(AL556:AL560)</f>
        <v>0</v>
      </c>
      <c r="AM555" s="114">
        <f>VLOOKUP($C555,'1 预算编制表单'!$C:$BJ,42,FALSE)</f>
        <v>0</v>
      </c>
      <c r="AN555" s="114">
        <f>AM555-AO555</f>
        <v>0</v>
      </c>
      <c r="AO555" s="114">
        <f>SUM(AO556:AO560)</f>
        <v>0</v>
      </c>
      <c r="AP555" s="114">
        <f>VLOOKUP($C555,'1 预算编制表单'!$C:$BJ,45,FALSE)</f>
        <v>0</v>
      </c>
      <c r="AQ555" s="114">
        <f>AP555-AR555</f>
        <v>0</v>
      </c>
      <c r="AR555" s="114">
        <f>SUM(AR556:AR560)</f>
        <v>0</v>
      </c>
      <c r="AS555" s="114">
        <f>VLOOKUP($C555,'1 预算编制表单'!$C:$BJ,48,FALSE)</f>
        <v>0</v>
      </c>
      <c r="AT555" s="114">
        <f>AS555-AU555</f>
        <v>0</v>
      </c>
      <c r="AU555" s="114">
        <f>SUM(AU556:AU560)</f>
        <v>0</v>
      </c>
      <c r="AV555" s="114">
        <f>VLOOKUP($C555,'1 预算编制表单'!$C:$BJ,51,FALSE)</f>
        <v>0</v>
      </c>
      <c r="AW555" s="114">
        <f>AV555-AX555</f>
        <v>0</v>
      </c>
      <c r="AX555" s="114">
        <f>SUM(AX556:AX560)</f>
        <v>0</v>
      </c>
      <c r="AY555" s="114">
        <f>VLOOKUP($C555,'1 预算编制表单'!$C:$BJ,54,FALSE)</f>
        <v>0</v>
      </c>
      <c r="AZ555" s="114">
        <f>AY555-BA555</f>
        <v>0</v>
      </c>
      <c r="BA555" s="114">
        <f>SUM(BA556:BA560)</f>
        <v>0</v>
      </c>
      <c r="BB555" s="114">
        <f>VLOOKUP($C555,'1 预算编制表单'!$C:$BJ,57,FALSE)</f>
        <v>0</v>
      </c>
      <c r="BC555" s="114">
        <f>BB555-BD555</f>
        <v>0</v>
      </c>
      <c r="BD555" s="114">
        <f>SUM(BD556:BD560)</f>
        <v>0</v>
      </c>
      <c r="BE555" s="114">
        <f>VLOOKUP($C555,'1 预算编制表单'!$C:$BJ,60,FALSE)</f>
        <v>0</v>
      </c>
      <c r="BF555" s="114">
        <f>BE555-BG555</f>
        <v>0</v>
      </c>
      <c r="BG555" s="114">
        <f>SUM(BG556:BG560)</f>
        <v>0</v>
      </c>
      <c r="BH555" s="114">
        <f>VLOOKUP($C555,'1 预算编制表单'!$C:$BJ,27,FALSE)</f>
        <v>0</v>
      </c>
      <c r="BI555" s="114">
        <f>BH555-BJ555</f>
        <v>0</v>
      </c>
      <c r="BJ555" s="114">
        <f>SUM(BJ556:BJ560)</f>
        <v>0</v>
      </c>
      <c r="BK555" s="114">
        <f>VLOOKUP($C555,'1 预算编制表单'!$C:$BJ,30,FALSE)</f>
        <v>0</v>
      </c>
      <c r="BL555" s="114">
        <f>BK555-BM555</f>
        <v>0</v>
      </c>
      <c r="BM555" s="114">
        <f>SUM(BM556:BM560)</f>
        <v>0</v>
      </c>
      <c r="BN555" s="114">
        <f>VLOOKUP($C555,'1 预算编制表单'!$C:$BJ,33,FALSE)</f>
        <v>0</v>
      </c>
      <c r="BO555" s="114">
        <f>BN555-BP555</f>
        <v>0</v>
      </c>
      <c r="BP555" s="114">
        <f>SUM(BP556:BP560)</f>
        <v>0</v>
      </c>
      <c r="BQ555" s="114">
        <f>VLOOKUP($C555,'1 预算编制表单'!$C:$BJ,36,FALSE)</f>
        <v>0</v>
      </c>
      <c r="BR555" s="114">
        <f>BQ555-BS555</f>
        <v>0</v>
      </c>
      <c r="BS555" s="114">
        <f>SUM(BS556:BS560)</f>
        <v>0</v>
      </c>
      <c r="BT555" s="114">
        <f>VLOOKUP($C555,'1 预算编制表单'!$C:$BJ,39,FALSE)</f>
        <v>0</v>
      </c>
      <c r="BU555" s="114">
        <f>BT555-BV555</f>
        <v>0</v>
      </c>
      <c r="BV555" s="114">
        <f>SUM(BV556:BV560)</f>
        <v>0</v>
      </c>
      <c r="BW555" s="114">
        <f>VLOOKUP($C555,'1 预算编制表单'!$C:$BJ,42,FALSE)</f>
        <v>0</v>
      </c>
      <c r="BX555" s="114">
        <f>BW555-BY555</f>
        <v>0</v>
      </c>
      <c r="BY555" s="114">
        <f>SUM(BY556:BY560)</f>
        <v>0</v>
      </c>
      <c r="BZ555" s="114">
        <f>VLOOKUP($C555,'1 预算编制表单'!$C:$BJ,45,FALSE)</f>
        <v>0</v>
      </c>
      <c r="CA555" s="114">
        <f>BZ555-CB555</f>
        <v>0</v>
      </c>
      <c r="CB555" s="114">
        <f>SUM(CB556:CB560)</f>
        <v>0</v>
      </c>
      <c r="CC555" s="114">
        <f>VLOOKUP($C555,'1 预算编制表单'!$C:$BJ,48,FALSE)</f>
        <v>0</v>
      </c>
      <c r="CD555" s="114">
        <f>CC555-CE555</f>
        <v>0</v>
      </c>
      <c r="CE555" s="114">
        <f>SUM(CE556:CE560)</f>
        <v>0</v>
      </c>
      <c r="CF555" s="114">
        <f>VLOOKUP($C555,'1 预算编制表单'!$C:$BJ,51,FALSE)</f>
        <v>0</v>
      </c>
      <c r="CG555" s="114">
        <f>CF555-CH555</f>
        <v>0</v>
      </c>
      <c r="CH555" s="114">
        <f>SUM(CH556:CH560)</f>
        <v>0</v>
      </c>
      <c r="CI555" s="114">
        <f>VLOOKUP($C555,'1 预算编制表单'!$C:$BJ,54,FALSE)</f>
        <v>0</v>
      </c>
      <c r="CJ555" s="114">
        <f>CI555-CK555</f>
        <v>0</v>
      </c>
      <c r="CK555" s="114">
        <f>SUM(CK556:CK560)</f>
        <v>0</v>
      </c>
      <c r="CL555" s="114">
        <f>VLOOKUP($C555,'1 预算编制表单'!$C:$BJ,57,FALSE)</f>
        <v>0</v>
      </c>
      <c r="CM555" s="114">
        <f>CL555-CN555</f>
        <v>0</v>
      </c>
      <c r="CN555" s="114">
        <f>SUM(CN556:CN560)</f>
        <v>0</v>
      </c>
      <c r="CO555" s="114">
        <f>VLOOKUP($C555,'1 预算编制表单'!$C:$BJ,60,FALSE)</f>
        <v>0</v>
      </c>
      <c r="CP555" s="114">
        <f>CO555-CQ555</f>
        <v>0</v>
      </c>
      <c r="CQ555" s="114">
        <f>SUM(CQ556:CQ560)</f>
        <v>0</v>
      </c>
    </row>
    <row r="556" s="83" customFormat="1" ht="24" hidden="1" customHeight="1" outlineLevel="2" spans="1:95">
      <c r="A556" s="122"/>
      <c r="B556" s="123"/>
      <c r="C556" s="124"/>
      <c r="D556" s="122"/>
      <c r="E556" s="123"/>
      <c r="F556" s="123"/>
      <c r="G556" s="123"/>
      <c r="H556" s="125"/>
      <c r="I556" s="125"/>
      <c r="J556" s="125">
        <f t="shared" si="6007"/>
        <v>0</v>
      </c>
      <c r="K556" s="125">
        <v>1</v>
      </c>
      <c r="L556" s="150"/>
      <c r="M556" s="151">
        <f>IFERROR(VLOOKUP($L556,'2-2 引出数据_合同数据仓库'!$B$5:$BP$20,3,FALSE),0)</f>
        <v>0</v>
      </c>
      <c r="N556" s="125"/>
      <c r="O556" s="151">
        <f>IFERROR(VLOOKUP((LEFT(VLOOKUP($L556,'2-2 引出数据_合同数据仓库'!$B$5:$BP$20,64,FALSE),15)&amp;(RIGHT(VLOOKUP($L556,'2-2 引出数据_合同数据仓库'!$B$5:$BP$20,64,FALSE),4)+1)),'2-2 引出数据_合同数据仓库'!$B$5:$BP$20,3,FALSE),0)</f>
        <v>0</v>
      </c>
      <c r="P556" s="125"/>
      <c r="Q556" s="125">
        <f>IFERROR(VLOOKUP($L556,'2-2 引出数据_合同数据仓库'!$B$5:$BP$20,28,FALSE),0)</f>
        <v>0</v>
      </c>
      <c r="R556" s="125">
        <f>IFERROR(VLOOKUP($L556,'2-2 引出数据_合同数据仓库'!$B$5:$BP$20,29,FALSE),0)</f>
        <v>0</v>
      </c>
      <c r="S556" s="125">
        <f>IFERROR(VLOOKUP($L556,'2-2 引出数据_合同数据仓库'!$B$5:$BP$20,4,FALSE),0)</f>
        <v>0</v>
      </c>
      <c r="T556" s="125"/>
      <c r="U556" s="125">
        <f>IFERROR(VLOOKUP($L556,'2-2 引出数据_合同数据仓库'!$B$5:$BP$20,15,FALSE),0)</f>
        <v>0</v>
      </c>
      <c r="V556" s="125">
        <f t="shared" ref="V556:V559" si="6233">U556/(S556-R556+1)*365</f>
        <v>0</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0</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0</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0</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0</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0</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0</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0</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0</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0</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0</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0</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0</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0</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0</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0</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0</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0</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0</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0</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0</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0</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0</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0</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0</v>
      </c>
    </row>
    <row r="557" s="83" customFormat="1" ht="24" hidden="1"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引出数据_合同数据仓库'!$B$5:$BP$20,3,FALSE),0)</f>
        <v>0</v>
      </c>
      <c r="N557" s="125"/>
      <c r="O557" s="151">
        <f>IFERROR(VLOOKUP((LEFT(VLOOKUP($L557,'2-2 引出数据_合同数据仓库'!$B$5:$BP$20,64,FALSE),15)&amp;(RIGHT(VLOOKUP($L557,'2-2 引出数据_合同数据仓库'!$B$5:$BP$20,64,FALSE),4)+1)),'2-2 引出数据_合同数据仓库'!$B$5:$BP$20,3,FALSE),0)</f>
        <v>0</v>
      </c>
      <c r="P557" s="125"/>
      <c r="Q557" s="125">
        <f>IFERROR(VLOOKUP($L557,'2-2 引出数据_合同数据仓库'!$B$5:$BP$20,28,FALSE),0)</f>
        <v>0</v>
      </c>
      <c r="R557" s="125">
        <f>IFERROR(VLOOKUP($L557,'2-2 引出数据_合同数据仓库'!$B$5:$BP$20,29,FALSE),0)</f>
        <v>0</v>
      </c>
      <c r="S557" s="125">
        <f>IFERROR(VLOOKUP($L557,'2-2 引出数据_合同数据仓库'!$B$5:$BP$20,4,FALSE),0)</f>
        <v>0</v>
      </c>
      <c r="T557" s="125"/>
      <c r="U557" s="125">
        <f>IFERROR(VLOOKUP($L557,'2-2 引出数据_合同数据仓库'!$B$5:$BP$20,15,FALSE),0)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hidden="1"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引出数据_合同数据仓库'!$B$5:$BP$20,3,FALSE),0)</f>
        <v>0</v>
      </c>
      <c r="N558" s="125"/>
      <c r="O558" s="151">
        <f>IFERROR(VLOOKUP((LEFT(VLOOKUP($L558,'2-2 引出数据_合同数据仓库'!$B$5:$BP$20,64,FALSE),15)&amp;(RIGHT(VLOOKUP($L558,'2-2 引出数据_合同数据仓库'!$B$5:$BP$20,64,FALSE),4)+1)),'2-2 引出数据_合同数据仓库'!$B$5:$BP$20,3,FALSE),0)</f>
        <v>0</v>
      </c>
      <c r="P558" s="125"/>
      <c r="Q558" s="125">
        <f>IFERROR(VLOOKUP($L558,'2-2 引出数据_合同数据仓库'!$B$5:$BP$20,28,FALSE),0)</f>
        <v>0</v>
      </c>
      <c r="R558" s="125">
        <f>IFERROR(VLOOKUP($L558,'2-2 引出数据_合同数据仓库'!$B$5:$BP$20,29,FALSE),0)</f>
        <v>0</v>
      </c>
      <c r="S558" s="125">
        <f>IFERROR(VLOOKUP($L558,'2-2 引出数据_合同数据仓库'!$B$5:$BP$20,4,FALSE),0)</f>
        <v>0</v>
      </c>
      <c r="T558" s="125"/>
      <c r="U558" s="125">
        <f>IFERROR(VLOOKUP($L558,'2-2 引出数据_合同数据仓库'!$B$5:$BP$20,15,FALSE),0)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hidden="1" customHeight="1" outlineLevel="2" collapsed="1" spans="1:95">
      <c r="A559" s="122"/>
      <c r="B559" s="123"/>
      <c r="C559" s="124"/>
      <c r="D559" s="122"/>
      <c r="E559" s="123"/>
      <c r="F559" s="123"/>
      <c r="G559" s="123"/>
      <c r="H559" s="125"/>
      <c r="I559" s="125"/>
      <c r="J559" s="125">
        <f t="shared" si="6007"/>
        <v>0</v>
      </c>
      <c r="K559" s="125">
        <f t="shared" si="6304"/>
        <v>4</v>
      </c>
      <c r="L559" s="150"/>
      <c r="M559" s="151">
        <f>IFERROR(VLOOKUP($L559,'2-2 引出数据_合同数据仓库'!$B$5:$BP$20,3,FALSE),0)</f>
        <v>0</v>
      </c>
      <c r="N559" s="125"/>
      <c r="O559" s="151">
        <f>IFERROR(VLOOKUP((LEFT(VLOOKUP($L559,'2-2 引出数据_合同数据仓库'!$B$5:$BP$20,64,FALSE),15)&amp;(RIGHT(VLOOKUP($L559,'2-2 引出数据_合同数据仓库'!$B$5:$BP$20,64,FALSE),4)+1)),'2-2 引出数据_合同数据仓库'!$B$5:$BP$20,3,FALSE),0)</f>
        <v>0</v>
      </c>
      <c r="P559" s="125"/>
      <c r="Q559" s="125">
        <f>IFERROR(VLOOKUP($L559,'2-2 引出数据_合同数据仓库'!$B$5:$BP$20,28,FALSE),0)</f>
        <v>0</v>
      </c>
      <c r="R559" s="125">
        <f>IFERROR(VLOOKUP($L559,'2-2 引出数据_合同数据仓库'!$B$5:$BP$20,29,FALSE),0)</f>
        <v>0</v>
      </c>
      <c r="S559" s="125">
        <f>IFERROR(VLOOKUP($L559,'2-2 引出数据_合同数据仓库'!$B$5:$BP$20,4,FALSE),0)</f>
        <v>0</v>
      </c>
      <c r="T559" s="125"/>
      <c r="U559" s="125">
        <f>IFERROR(VLOOKUP($L559,'2-2 引出数据_合同数据仓库'!$B$5:$BP$20,15,FALSE),0)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hidden="1" customHeight="1" outlineLevel="4" spans="1:95">
      <c r="A560" s="126" t="s">
        <v>2770</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hidden="1" customHeight="1" outlineLevel="1" collapsed="1" spans="1:95">
      <c r="A561" s="22"/>
      <c r="B561" s="112" t="s">
        <v>747</v>
      </c>
      <c r="C561" s="113" t="s">
        <v>2191</v>
      </c>
      <c r="D561" s="22" t="s">
        <v>2192</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hidden="1"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引出数据_合同数据仓库'!$B$5:$BP$20,3,FALSE),0)</f>
        <v>0</v>
      </c>
      <c r="N562" s="125"/>
      <c r="O562" s="151">
        <f>IFERROR(VLOOKUP((LEFT(VLOOKUP($L562,'2-2 引出数据_合同数据仓库'!$B$5:$BP$20,64,FALSE),15)&amp;(RIGHT(VLOOKUP($L562,'2-2 引出数据_合同数据仓库'!$B$5:$BP$20,64,FALSE),4)+1)),'2-2 引出数据_合同数据仓库'!$B$5:$BP$20,3,FALSE),0)</f>
        <v>0</v>
      </c>
      <c r="P562" s="125"/>
      <c r="Q562" s="125">
        <f>IFERROR(VLOOKUP($L562,'2-2 引出数据_合同数据仓库'!$B$5:$BP$20,28,FALSE),0)</f>
        <v>0</v>
      </c>
      <c r="R562" s="125">
        <f>IFERROR(VLOOKUP($L562,'2-2 引出数据_合同数据仓库'!$B$5:$BP$20,29,FALSE),0)</f>
        <v>0</v>
      </c>
      <c r="S562" s="125">
        <f>IFERROR(VLOOKUP($L562,'2-2 引出数据_合同数据仓库'!$B$5:$BP$20,4,FALSE),0)</f>
        <v>0</v>
      </c>
      <c r="T562" s="125"/>
      <c r="U562" s="125">
        <f>IFERROR(VLOOKUP($L562,'2-2 引出数据_合同数据仓库'!$B$5:$BP$20,15,FALSE),0)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hidden="1"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引出数据_合同数据仓库'!$B$5:$BP$20,3,FALSE),0)</f>
        <v>0</v>
      </c>
      <c r="N563" s="125"/>
      <c r="O563" s="151">
        <f>IFERROR(VLOOKUP((LEFT(VLOOKUP($L563,'2-2 引出数据_合同数据仓库'!$B$5:$BP$20,64,FALSE),15)&amp;(RIGHT(VLOOKUP($L563,'2-2 引出数据_合同数据仓库'!$B$5:$BP$20,64,FALSE),4)+1)),'2-2 引出数据_合同数据仓库'!$B$5:$BP$20,3,FALSE),0)</f>
        <v>0</v>
      </c>
      <c r="P563" s="125"/>
      <c r="Q563" s="125">
        <f>IFERROR(VLOOKUP($L563,'2-2 引出数据_合同数据仓库'!$B$5:$BP$20,28,FALSE),0)</f>
        <v>0</v>
      </c>
      <c r="R563" s="125">
        <f>IFERROR(VLOOKUP($L563,'2-2 引出数据_合同数据仓库'!$B$5:$BP$20,29,FALSE),0)</f>
        <v>0</v>
      </c>
      <c r="S563" s="125">
        <f>IFERROR(VLOOKUP($L563,'2-2 引出数据_合同数据仓库'!$B$5:$BP$20,4,FALSE),0)</f>
        <v>0</v>
      </c>
      <c r="T563" s="125"/>
      <c r="U563" s="125">
        <f>IFERROR(VLOOKUP($L563,'2-2 引出数据_合同数据仓库'!$B$5:$BP$20,15,FALSE),0)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hidden="1"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引出数据_合同数据仓库'!$B$5:$BP$20,3,FALSE),0)</f>
        <v>0</v>
      </c>
      <c r="N564" s="125"/>
      <c r="O564" s="151">
        <f>IFERROR(VLOOKUP((LEFT(VLOOKUP($L564,'2-2 引出数据_合同数据仓库'!$B$5:$BP$20,64,FALSE),15)&amp;(RIGHT(VLOOKUP($L564,'2-2 引出数据_合同数据仓库'!$B$5:$BP$20,64,FALSE),4)+1)),'2-2 引出数据_合同数据仓库'!$B$5:$BP$20,3,FALSE),0)</f>
        <v>0</v>
      </c>
      <c r="P564" s="125"/>
      <c r="Q564" s="125">
        <f>IFERROR(VLOOKUP($L564,'2-2 引出数据_合同数据仓库'!$B$5:$BP$20,28,FALSE),0)</f>
        <v>0</v>
      </c>
      <c r="R564" s="125">
        <f>IFERROR(VLOOKUP($L564,'2-2 引出数据_合同数据仓库'!$B$5:$BP$20,29,FALSE),0)</f>
        <v>0</v>
      </c>
      <c r="S564" s="125">
        <f>IFERROR(VLOOKUP($L564,'2-2 引出数据_合同数据仓库'!$B$5:$BP$20,4,FALSE),0)</f>
        <v>0</v>
      </c>
      <c r="T564" s="125"/>
      <c r="U564" s="125">
        <f>IFERROR(VLOOKUP($L564,'2-2 引出数据_合同数据仓库'!$B$5:$BP$20,15,FALSE),0)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hidden="1" customHeight="1" outlineLevel="2" collapsed="1" spans="1:95">
      <c r="A565" s="122"/>
      <c r="B565" s="123"/>
      <c r="C565" s="124"/>
      <c r="D565" s="122"/>
      <c r="E565" s="123"/>
      <c r="F565" s="123"/>
      <c r="G565" s="123"/>
      <c r="H565" s="125"/>
      <c r="I565" s="125"/>
      <c r="J565" s="125">
        <f t="shared" si="6007"/>
        <v>0</v>
      </c>
      <c r="K565" s="125">
        <f t="shared" si="6376"/>
        <v>4</v>
      </c>
      <c r="L565" s="150"/>
      <c r="M565" s="151">
        <f>IFERROR(VLOOKUP($L565,'2-2 引出数据_合同数据仓库'!$B$5:$BP$20,3,FALSE),0)</f>
        <v>0</v>
      </c>
      <c r="N565" s="125"/>
      <c r="O565" s="151">
        <f>IFERROR(VLOOKUP((LEFT(VLOOKUP($L565,'2-2 引出数据_合同数据仓库'!$B$5:$BP$20,64,FALSE),15)&amp;(RIGHT(VLOOKUP($L565,'2-2 引出数据_合同数据仓库'!$B$5:$BP$20,64,FALSE),4)+1)),'2-2 引出数据_合同数据仓库'!$B$5:$BP$20,3,FALSE),0)</f>
        <v>0</v>
      </c>
      <c r="P565" s="125"/>
      <c r="Q565" s="125">
        <f>IFERROR(VLOOKUP($L565,'2-2 引出数据_合同数据仓库'!$B$5:$BP$20,28,FALSE),0)</f>
        <v>0</v>
      </c>
      <c r="R565" s="125">
        <f>IFERROR(VLOOKUP($L565,'2-2 引出数据_合同数据仓库'!$B$5:$BP$20,29,FALSE),0)</f>
        <v>0</v>
      </c>
      <c r="S565" s="125">
        <f>IFERROR(VLOOKUP($L565,'2-2 引出数据_合同数据仓库'!$B$5:$BP$20,4,FALSE),0)</f>
        <v>0</v>
      </c>
      <c r="T565" s="125"/>
      <c r="U565" s="125">
        <f>IFERROR(VLOOKUP($L565,'2-2 引出数据_合同数据仓库'!$B$5:$BP$20,15,FALSE),0)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hidden="1" customHeight="1" outlineLevel="4" spans="1:95">
      <c r="A566" s="126" t="s">
        <v>2770</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hidden="1" customHeight="1" outlineLevel="1" collapsed="1" spans="1:95">
      <c r="A567" s="22"/>
      <c r="B567" s="112" t="s">
        <v>747</v>
      </c>
      <c r="C567" s="113" t="s">
        <v>2197</v>
      </c>
      <c r="D567" s="22" t="s">
        <v>2198</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hidden="1"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引出数据_合同数据仓库'!$B$5:$BP$20,3,FALSE),0)</f>
        <v>0</v>
      </c>
      <c r="N568" s="125"/>
      <c r="O568" s="151">
        <f>IFERROR(VLOOKUP((LEFT(VLOOKUP($L568,'2-2 引出数据_合同数据仓库'!$B$5:$BP$20,64,FALSE),15)&amp;(RIGHT(VLOOKUP($L568,'2-2 引出数据_合同数据仓库'!$B$5:$BP$20,64,FALSE),4)+1)),'2-2 引出数据_合同数据仓库'!$B$5:$BP$20,3,FALSE),0)</f>
        <v>0</v>
      </c>
      <c r="P568" s="125"/>
      <c r="Q568" s="125">
        <f>IFERROR(VLOOKUP($L568,'2-2 引出数据_合同数据仓库'!$B$5:$BP$20,28,FALSE),0)</f>
        <v>0</v>
      </c>
      <c r="R568" s="125">
        <f>IFERROR(VLOOKUP($L568,'2-2 引出数据_合同数据仓库'!$B$5:$BP$20,29,FALSE),0)</f>
        <v>0</v>
      </c>
      <c r="S568" s="125">
        <f>IFERROR(VLOOKUP($L568,'2-2 引出数据_合同数据仓库'!$B$5:$BP$20,4,FALSE),0)</f>
        <v>0</v>
      </c>
      <c r="T568" s="125"/>
      <c r="U568" s="125">
        <f>IFERROR(VLOOKUP($L568,'2-2 引出数据_合同数据仓库'!$B$5:$BP$20,15,FALSE),0)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hidden="1"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引出数据_合同数据仓库'!$B$5:$BP$20,3,FALSE),0)</f>
        <v>0</v>
      </c>
      <c r="N569" s="125"/>
      <c r="O569" s="151">
        <f>IFERROR(VLOOKUP((LEFT(VLOOKUP($L569,'2-2 引出数据_合同数据仓库'!$B$5:$BP$20,64,FALSE),15)&amp;(RIGHT(VLOOKUP($L569,'2-2 引出数据_合同数据仓库'!$B$5:$BP$20,64,FALSE),4)+1)),'2-2 引出数据_合同数据仓库'!$B$5:$BP$20,3,FALSE),0)</f>
        <v>0</v>
      </c>
      <c r="P569" s="125"/>
      <c r="Q569" s="125">
        <f>IFERROR(VLOOKUP($L569,'2-2 引出数据_合同数据仓库'!$B$5:$BP$20,28,FALSE),0)</f>
        <v>0</v>
      </c>
      <c r="R569" s="125">
        <f>IFERROR(VLOOKUP($L569,'2-2 引出数据_合同数据仓库'!$B$5:$BP$20,29,FALSE),0)</f>
        <v>0</v>
      </c>
      <c r="S569" s="125">
        <f>IFERROR(VLOOKUP($L569,'2-2 引出数据_合同数据仓库'!$B$5:$BP$20,4,FALSE),0)</f>
        <v>0</v>
      </c>
      <c r="T569" s="125"/>
      <c r="U569" s="125">
        <f>IFERROR(VLOOKUP($L569,'2-2 引出数据_合同数据仓库'!$B$5:$BP$20,15,FALSE),0)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hidden="1"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引出数据_合同数据仓库'!$B$5:$BP$20,3,FALSE),0)</f>
        <v>0</v>
      </c>
      <c r="N570" s="125"/>
      <c r="O570" s="151">
        <f>IFERROR(VLOOKUP((LEFT(VLOOKUP($L570,'2-2 引出数据_合同数据仓库'!$B$5:$BP$20,64,FALSE),15)&amp;(RIGHT(VLOOKUP($L570,'2-2 引出数据_合同数据仓库'!$B$5:$BP$20,64,FALSE),4)+1)),'2-2 引出数据_合同数据仓库'!$B$5:$BP$20,3,FALSE),0)</f>
        <v>0</v>
      </c>
      <c r="P570" s="125"/>
      <c r="Q570" s="125">
        <f>IFERROR(VLOOKUP($L570,'2-2 引出数据_合同数据仓库'!$B$5:$BP$20,28,FALSE),0)</f>
        <v>0</v>
      </c>
      <c r="R570" s="125">
        <f>IFERROR(VLOOKUP($L570,'2-2 引出数据_合同数据仓库'!$B$5:$BP$20,29,FALSE),0)</f>
        <v>0</v>
      </c>
      <c r="S570" s="125">
        <f>IFERROR(VLOOKUP($L570,'2-2 引出数据_合同数据仓库'!$B$5:$BP$20,4,FALSE),0)</f>
        <v>0</v>
      </c>
      <c r="T570" s="125"/>
      <c r="U570" s="125">
        <f>IFERROR(VLOOKUP($L570,'2-2 引出数据_合同数据仓库'!$B$5:$BP$20,15,FALSE),0)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hidden="1" customHeight="1" outlineLevel="2" collapsed="1" spans="1:95">
      <c r="A571" s="122"/>
      <c r="B571" s="123"/>
      <c r="C571" s="124"/>
      <c r="D571" s="122"/>
      <c r="E571" s="123"/>
      <c r="F571" s="123"/>
      <c r="G571" s="123"/>
      <c r="H571" s="125"/>
      <c r="I571" s="125"/>
      <c r="J571" s="125">
        <f t="shared" si="6007"/>
        <v>0</v>
      </c>
      <c r="K571" s="125">
        <f t="shared" si="6448"/>
        <v>4</v>
      </c>
      <c r="L571" s="150"/>
      <c r="M571" s="151">
        <f>IFERROR(VLOOKUP($L571,'2-2 引出数据_合同数据仓库'!$B$5:$BP$20,3,FALSE),0)</f>
        <v>0</v>
      </c>
      <c r="N571" s="125"/>
      <c r="O571" s="151">
        <f>IFERROR(VLOOKUP((LEFT(VLOOKUP($L571,'2-2 引出数据_合同数据仓库'!$B$5:$BP$20,64,FALSE),15)&amp;(RIGHT(VLOOKUP($L571,'2-2 引出数据_合同数据仓库'!$B$5:$BP$20,64,FALSE),4)+1)),'2-2 引出数据_合同数据仓库'!$B$5:$BP$20,3,FALSE),0)</f>
        <v>0</v>
      </c>
      <c r="P571" s="125"/>
      <c r="Q571" s="125">
        <f>IFERROR(VLOOKUP($L571,'2-2 引出数据_合同数据仓库'!$B$5:$BP$20,28,FALSE),0)</f>
        <v>0</v>
      </c>
      <c r="R571" s="125">
        <f>IFERROR(VLOOKUP($L571,'2-2 引出数据_合同数据仓库'!$B$5:$BP$20,29,FALSE),0)</f>
        <v>0</v>
      </c>
      <c r="S571" s="125">
        <f>IFERROR(VLOOKUP($L571,'2-2 引出数据_合同数据仓库'!$B$5:$BP$20,4,FALSE),0)</f>
        <v>0</v>
      </c>
      <c r="T571" s="125"/>
      <c r="U571" s="125">
        <f>IFERROR(VLOOKUP($L571,'2-2 引出数据_合同数据仓库'!$B$5:$BP$20,15,FALSE),0)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hidden="1" customHeight="1" outlineLevel="4" spans="1:95">
      <c r="A572" s="126" t="s">
        <v>2770</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hidden="1" customHeight="1" outlineLevel="1" collapsed="1" spans="1:95">
      <c r="A573" s="22"/>
      <c r="B573" s="112" t="s">
        <v>747</v>
      </c>
      <c r="C573" s="113" t="s">
        <v>2211</v>
      </c>
      <c r="D573" s="22" t="s">
        <v>2212</v>
      </c>
      <c r="E573" s="112"/>
      <c r="F573" s="112"/>
      <c r="G573" s="112"/>
      <c r="H573" s="114">
        <f>X573+AA573+AD573+AG573+AJ573+AM573+AP573+AS573+AV573+AY573+BB573+BE573</f>
        <v>0</v>
      </c>
      <c r="I573" s="114">
        <f>Y573+AB573+AE573+AH573+AK573+AN573+AQ573+AT573+AW573+AZ573+BC573+BF573</f>
        <v>0</v>
      </c>
      <c r="J573" s="114">
        <f t="shared" si="6007"/>
        <v>0</v>
      </c>
      <c r="K573" s="114"/>
      <c r="L573" s="147"/>
      <c r="M573" s="147"/>
      <c r="N573" s="147"/>
      <c r="O573" s="147"/>
      <c r="P573" s="114"/>
      <c r="Q573" s="114"/>
      <c r="R573" s="114"/>
      <c r="S573" s="114"/>
      <c r="T573" s="114"/>
      <c r="U573" s="114"/>
      <c r="V573" s="114"/>
      <c r="W573" s="114"/>
      <c r="X573" s="114">
        <f>VLOOKUP($C573,'1 预算编制表单'!$C:$BJ,27,FALSE)</f>
        <v>0</v>
      </c>
      <c r="Y573" s="114">
        <f>X573-Z573</f>
        <v>0</v>
      </c>
      <c r="Z573" s="114">
        <f>SUM(Z574:Z578)</f>
        <v>0</v>
      </c>
      <c r="AA573" s="114">
        <f>VLOOKUP($C573,'1 预算编制表单'!$C:$BJ,30,FALSE)</f>
        <v>0</v>
      </c>
      <c r="AB573" s="114">
        <f>AA573-AC573</f>
        <v>0</v>
      </c>
      <c r="AC573" s="114">
        <f>SUM(AC574:AC578)</f>
        <v>0</v>
      </c>
      <c r="AD573" s="114">
        <f>VLOOKUP($C573,'1 预算编制表单'!$C:$BJ,33,FALSE)</f>
        <v>0</v>
      </c>
      <c r="AE573" s="114">
        <f>AD573-AF573</f>
        <v>0</v>
      </c>
      <c r="AF573" s="114">
        <f>SUM(AF574:AF578)</f>
        <v>0</v>
      </c>
      <c r="AG573" s="114">
        <f>VLOOKUP($C573,'1 预算编制表单'!$C:$BJ,36,FALSE)</f>
        <v>0</v>
      </c>
      <c r="AH573" s="114">
        <f>AG573-AI573</f>
        <v>0</v>
      </c>
      <c r="AI573" s="114">
        <f>SUM(AI574:AI578)</f>
        <v>0</v>
      </c>
      <c r="AJ573" s="114">
        <f>VLOOKUP($C573,'1 预算编制表单'!$C:$BJ,39,FALSE)</f>
        <v>0</v>
      </c>
      <c r="AK573" s="114">
        <f>AJ573-AL573</f>
        <v>0</v>
      </c>
      <c r="AL573" s="114">
        <f>SUM(AL574:AL578)</f>
        <v>0</v>
      </c>
      <c r="AM573" s="114">
        <f>VLOOKUP($C573,'1 预算编制表单'!$C:$BJ,42,FALSE)</f>
        <v>0</v>
      </c>
      <c r="AN573" s="114">
        <f>AM573-AO573</f>
        <v>0</v>
      </c>
      <c r="AO573" s="114">
        <f>SUM(AO574:AO578)</f>
        <v>0</v>
      </c>
      <c r="AP573" s="114">
        <f>VLOOKUP($C573,'1 预算编制表单'!$C:$BJ,45,FALSE)</f>
        <v>0</v>
      </c>
      <c r="AQ573" s="114">
        <f>AP573-AR573</f>
        <v>0</v>
      </c>
      <c r="AR573" s="114">
        <f>SUM(AR574:AR578)</f>
        <v>0</v>
      </c>
      <c r="AS573" s="114">
        <f>VLOOKUP($C573,'1 预算编制表单'!$C:$BJ,48,FALSE)</f>
        <v>0</v>
      </c>
      <c r="AT573" s="114">
        <f>AS573-AU573</f>
        <v>0</v>
      </c>
      <c r="AU573" s="114">
        <f>SUM(AU574:AU578)</f>
        <v>0</v>
      </c>
      <c r="AV573" s="114">
        <f>VLOOKUP($C573,'1 预算编制表单'!$C:$BJ,51,FALSE)</f>
        <v>0</v>
      </c>
      <c r="AW573" s="114">
        <f>AV573-AX573</f>
        <v>0</v>
      </c>
      <c r="AX573" s="114">
        <f>SUM(AX574:AX578)</f>
        <v>0</v>
      </c>
      <c r="AY573" s="114">
        <f>VLOOKUP($C573,'1 预算编制表单'!$C:$BJ,54,FALSE)</f>
        <v>0</v>
      </c>
      <c r="AZ573" s="114">
        <f>AY573-BA573</f>
        <v>0</v>
      </c>
      <c r="BA573" s="114">
        <f>SUM(BA574:BA578)</f>
        <v>0</v>
      </c>
      <c r="BB573" s="114">
        <f>VLOOKUP($C573,'1 预算编制表单'!$C:$BJ,57,FALSE)</f>
        <v>0</v>
      </c>
      <c r="BC573" s="114">
        <f>BB573-BD573</f>
        <v>0</v>
      </c>
      <c r="BD573" s="114">
        <f>SUM(BD574:BD578)</f>
        <v>0</v>
      </c>
      <c r="BE573" s="114">
        <f>VLOOKUP($C573,'1 预算编制表单'!$C:$BJ,60,FALSE)</f>
        <v>0</v>
      </c>
      <c r="BF573" s="114">
        <f>BE573-BG573</f>
        <v>0</v>
      </c>
      <c r="BG573" s="114">
        <f>SUM(BG574:BG578)</f>
        <v>0</v>
      </c>
      <c r="BH573" s="114">
        <f>VLOOKUP($C573,'1 预算编制表单'!$C:$BJ,27,FALSE)</f>
        <v>0</v>
      </c>
      <c r="BI573" s="114">
        <f>BH573-BJ573</f>
        <v>0</v>
      </c>
      <c r="BJ573" s="114">
        <f>SUM(BJ574:BJ578)</f>
        <v>0</v>
      </c>
      <c r="BK573" s="114">
        <f>VLOOKUP($C573,'1 预算编制表单'!$C:$BJ,30,FALSE)</f>
        <v>0</v>
      </c>
      <c r="BL573" s="114">
        <f>BK573-BM573</f>
        <v>0</v>
      </c>
      <c r="BM573" s="114">
        <f>SUM(BM574:BM578)</f>
        <v>0</v>
      </c>
      <c r="BN573" s="114">
        <f>VLOOKUP($C573,'1 预算编制表单'!$C:$BJ,33,FALSE)</f>
        <v>0</v>
      </c>
      <c r="BO573" s="114">
        <f>BN573-BP573</f>
        <v>0</v>
      </c>
      <c r="BP573" s="114">
        <f>SUM(BP574:BP578)</f>
        <v>0</v>
      </c>
      <c r="BQ573" s="114">
        <f>VLOOKUP($C573,'1 预算编制表单'!$C:$BJ,36,FALSE)</f>
        <v>0</v>
      </c>
      <c r="BR573" s="114">
        <f>BQ573-BS573</f>
        <v>0</v>
      </c>
      <c r="BS573" s="114">
        <f>SUM(BS574:BS578)</f>
        <v>0</v>
      </c>
      <c r="BT573" s="114">
        <f>VLOOKUP($C573,'1 预算编制表单'!$C:$BJ,39,FALSE)</f>
        <v>0</v>
      </c>
      <c r="BU573" s="114">
        <f>BT573-BV573</f>
        <v>0</v>
      </c>
      <c r="BV573" s="114">
        <f>SUM(BV574:BV578)</f>
        <v>0</v>
      </c>
      <c r="BW573" s="114">
        <f>VLOOKUP($C573,'1 预算编制表单'!$C:$BJ,42,FALSE)</f>
        <v>0</v>
      </c>
      <c r="BX573" s="114">
        <f>BW573-BY573</f>
        <v>0</v>
      </c>
      <c r="BY573" s="114">
        <f>SUM(BY574:BY578)</f>
        <v>0</v>
      </c>
      <c r="BZ573" s="114">
        <f>VLOOKUP($C573,'1 预算编制表单'!$C:$BJ,45,FALSE)</f>
        <v>0</v>
      </c>
      <c r="CA573" s="114">
        <f>BZ573-CB573</f>
        <v>0</v>
      </c>
      <c r="CB573" s="114">
        <f>SUM(CB574:CB578)</f>
        <v>0</v>
      </c>
      <c r="CC573" s="114">
        <f>VLOOKUP($C573,'1 预算编制表单'!$C:$BJ,48,FALSE)</f>
        <v>0</v>
      </c>
      <c r="CD573" s="114">
        <f>CC573-CE573</f>
        <v>0</v>
      </c>
      <c r="CE573" s="114">
        <f>SUM(CE574:CE578)</f>
        <v>0</v>
      </c>
      <c r="CF573" s="114">
        <f>VLOOKUP($C573,'1 预算编制表单'!$C:$BJ,51,FALSE)</f>
        <v>0</v>
      </c>
      <c r="CG573" s="114">
        <f>CF573-CH573</f>
        <v>0</v>
      </c>
      <c r="CH573" s="114">
        <f>SUM(CH574:CH578)</f>
        <v>0</v>
      </c>
      <c r="CI573" s="114">
        <f>VLOOKUP($C573,'1 预算编制表单'!$C:$BJ,54,FALSE)</f>
        <v>0</v>
      </c>
      <c r="CJ573" s="114">
        <f>CI573-CK573</f>
        <v>0</v>
      </c>
      <c r="CK573" s="114">
        <f>SUM(CK574:CK578)</f>
        <v>0</v>
      </c>
      <c r="CL573" s="114">
        <f>VLOOKUP($C573,'1 预算编制表单'!$C:$BJ,57,FALSE)</f>
        <v>0</v>
      </c>
      <c r="CM573" s="114">
        <f>CL573-CN573</f>
        <v>0</v>
      </c>
      <c r="CN573" s="114">
        <f>SUM(CN574:CN578)</f>
        <v>0</v>
      </c>
      <c r="CO573" s="114">
        <f>VLOOKUP($C573,'1 预算编制表单'!$C:$BJ,60,FALSE)</f>
        <v>0</v>
      </c>
      <c r="CP573" s="114">
        <f>CO573-CQ573</f>
        <v>0</v>
      </c>
      <c r="CQ573" s="114">
        <f>SUM(CQ574:CQ578)</f>
        <v>0</v>
      </c>
    </row>
    <row r="574" s="83" customFormat="1" ht="24" hidden="1" customHeight="1" outlineLevel="2" spans="1:95">
      <c r="A574" s="122"/>
      <c r="B574" s="123"/>
      <c r="C574" s="124"/>
      <c r="D574" s="122"/>
      <c r="E574" s="123"/>
      <c r="F574" s="123"/>
      <c r="G574" s="123"/>
      <c r="H574" s="125"/>
      <c r="I574" s="125"/>
      <c r="J574" s="125">
        <f t="shared" si="6007"/>
        <v>0</v>
      </c>
      <c r="K574" s="125">
        <v>1</v>
      </c>
      <c r="L574" s="150"/>
      <c r="M574" s="151">
        <f>IFERROR(VLOOKUP($L574,'2-2 引出数据_合同数据仓库'!$B$5:$BP$20,3,FALSE),0)</f>
        <v>0</v>
      </c>
      <c r="N574" s="125"/>
      <c r="O574" s="151">
        <f>IFERROR(VLOOKUP((LEFT(VLOOKUP($L574,'2-2 引出数据_合同数据仓库'!$B$5:$BP$20,64,FALSE),15)&amp;(RIGHT(VLOOKUP($L574,'2-2 引出数据_合同数据仓库'!$B$5:$BP$20,64,FALSE),4)+1)),'2-2 引出数据_合同数据仓库'!$B$5:$BP$20,3,FALSE),0)</f>
        <v>0</v>
      </c>
      <c r="P574" s="125"/>
      <c r="Q574" s="125">
        <f>IFERROR(VLOOKUP($L574,'2-2 引出数据_合同数据仓库'!$B$5:$BP$20,28,FALSE),0)</f>
        <v>0</v>
      </c>
      <c r="R574" s="125">
        <f>IFERROR(VLOOKUP($L574,'2-2 引出数据_合同数据仓库'!$B$5:$BP$20,29,FALSE),0)</f>
        <v>0</v>
      </c>
      <c r="S574" s="125">
        <f>IFERROR(VLOOKUP($L574,'2-2 引出数据_合同数据仓库'!$B$5:$BP$20,4,FALSE),0)</f>
        <v>0</v>
      </c>
      <c r="T574" s="125"/>
      <c r="U574" s="125">
        <f>IFERROR(VLOOKUP($L574,'2-2 引出数据_合同数据仓库'!$B$5:$BP$20,15,FALSE),0)</f>
        <v>0</v>
      </c>
      <c r="V574" s="125">
        <f t="shared" ref="V574:V577" si="6449">U574/(S574-R574+1)*365</f>
        <v>0</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0</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0</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0</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0</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0</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0</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0</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0</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0</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0</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0</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0</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0</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0</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0</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0</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0</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0</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0</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0</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0</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0</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0</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hidden="1" customHeight="1" outlineLevel="2" spans="1:95">
      <c r="A575" s="122"/>
      <c r="B575" s="123"/>
      <c r="C575" s="124"/>
      <c r="D575" s="122"/>
      <c r="E575" s="123"/>
      <c r="F575" s="123"/>
      <c r="G575" s="123"/>
      <c r="H575" s="125"/>
      <c r="I575" s="125"/>
      <c r="J575" s="125">
        <f t="shared" si="6007"/>
        <v>0</v>
      </c>
      <c r="K575" s="125">
        <f t="shared" ref="K575:K577" si="6520">K574+1</f>
        <v>2</v>
      </c>
      <c r="L575" s="150"/>
      <c r="M575" s="151">
        <f>IFERROR(VLOOKUP($L575,'2-2 引出数据_合同数据仓库'!$B$5:$BP$20,3,FALSE),0)</f>
        <v>0</v>
      </c>
      <c r="N575" s="125"/>
      <c r="O575" s="151">
        <f>IFERROR(VLOOKUP((LEFT(VLOOKUP($L575,'2-2 引出数据_合同数据仓库'!$B$5:$BP$20,64,FALSE),15)&amp;(RIGHT(VLOOKUP($L575,'2-2 引出数据_合同数据仓库'!$B$5:$BP$20,64,FALSE),4)+1)),'2-2 引出数据_合同数据仓库'!$B$5:$BP$20,3,FALSE),0)</f>
        <v>0</v>
      </c>
      <c r="P575" s="125"/>
      <c r="Q575" s="125">
        <f>IFERROR(VLOOKUP($L575,'2-2 引出数据_合同数据仓库'!$B$5:$BP$20,28,FALSE),0)</f>
        <v>0</v>
      </c>
      <c r="R575" s="125">
        <f>IFERROR(VLOOKUP($L575,'2-2 引出数据_合同数据仓库'!$B$5:$BP$20,29,FALSE),0)</f>
        <v>0</v>
      </c>
      <c r="S575" s="125">
        <f>IFERROR(VLOOKUP($L575,'2-2 引出数据_合同数据仓库'!$B$5:$BP$20,4,FALSE),0)</f>
        <v>0</v>
      </c>
      <c r="T575" s="125"/>
      <c r="U575" s="125">
        <f>IFERROR(VLOOKUP($L575,'2-2 引出数据_合同数据仓库'!$B$5:$BP$20,15,FALSE),0)</f>
        <v>0</v>
      </c>
      <c r="V575" s="125">
        <f t="shared" si="6449"/>
        <v>0</v>
      </c>
      <c r="W575" s="125"/>
      <c r="X575" s="157">
        <v>45658</v>
      </c>
      <c r="Y575" s="157">
        <f t="shared" si="6450"/>
        <v>45688</v>
      </c>
      <c r="Z575" s="161">
        <f t="shared" si="6451"/>
        <v>0</v>
      </c>
      <c r="AA575" s="157">
        <f t="shared" si="6452"/>
        <v>45689</v>
      </c>
      <c r="AB575" s="157">
        <f t="shared" si="6453"/>
        <v>45716</v>
      </c>
      <c r="AC575" s="161">
        <f t="shared" si="6454"/>
        <v>0</v>
      </c>
      <c r="AD575" s="157">
        <f t="shared" si="6455"/>
        <v>45717</v>
      </c>
      <c r="AE575" s="157">
        <f t="shared" si="6456"/>
        <v>45747</v>
      </c>
      <c r="AF575" s="161">
        <f t="shared" si="6457"/>
        <v>0</v>
      </c>
      <c r="AG575" s="157">
        <f t="shared" si="6458"/>
        <v>45748</v>
      </c>
      <c r="AH575" s="157">
        <f t="shared" si="6459"/>
        <v>45777</v>
      </c>
      <c r="AI575" s="161">
        <f t="shared" si="6460"/>
        <v>0</v>
      </c>
      <c r="AJ575" s="157">
        <f t="shared" si="6461"/>
        <v>45778</v>
      </c>
      <c r="AK575" s="157">
        <f t="shared" si="6462"/>
        <v>45808</v>
      </c>
      <c r="AL575" s="161">
        <f t="shared" si="6463"/>
        <v>0</v>
      </c>
      <c r="AM575" s="157">
        <f t="shared" si="6464"/>
        <v>45809</v>
      </c>
      <c r="AN575" s="157">
        <f t="shared" si="6465"/>
        <v>45838</v>
      </c>
      <c r="AO575" s="161">
        <f t="shared" si="6466"/>
        <v>0</v>
      </c>
      <c r="AP575" s="157">
        <f t="shared" si="6467"/>
        <v>45839</v>
      </c>
      <c r="AQ575" s="157">
        <f t="shared" si="6468"/>
        <v>45869</v>
      </c>
      <c r="AR575" s="161">
        <f t="shared" si="6469"/>
        <v>0</v>
      </c>
      <c r="AS575" s="157">
        <f t="shared" si="6470"/>
        <v>45870</v>
      </c>
      <c r="AT575" s="157">
        <f t="shared" si="6471"/>
        <v>45900</v>
      </c>
      <c r="AU575" s="161">
        <f t="shared" si="6472"/>
        <v>0</v>
      </c>
      <c r="AV575" s="157">
        <f t="shared" si="6473"/>
        <v>45901</v>
      </c>
      <c r="AW575" s="157">
        <f t="shared" si="6474"/>
        <v>45930</v>
      </c>
      <c r="AX575" s="161">
        <f t="shared" si="6475"/>
        <v>0</v>
      </c>
      <c r="AY575" s="157">
        <f t="shared" si="6476"/>
        <v>45931</v>
      </c>
      <c r="AZ575" s="157">
        <f t="shared" si="6477"/>
        <v>45961</v>
      </c>
      <c r="BA575" s="161">
        <f t="shared" si="6478"/>
        <v>0</v>
      </c>
      <c r="BB575" s="157">
        <f t="shared" si="6479"/>
        <v>45962</v>
      </c>
      <c r="BC575" s="157">
        <f t="shared" si="6480"/>
        <v>45991</v>
      </c>
      <c r="BD575" s="161">
        <f t="shared" si="6481"/>
        <v>0</v>
      </c>
      <c r="BE575" s="157">
        <f t="shared" si="6482"/>
        <v>45992</v>
      </c>
      <c r="BF575" s="157">
        <f t="shared" si="6483"/>
        <v>46022</v>
      </c>
      <c r="BG575" s="161">
        <f t="shared" si="6484"/>
        <v>0</v>
      </c>
      <c r="BH575" s="157">
        <v>46023</v>
      </c>
      <c r="BI575" s="157">
        <f t="shared" si="6485"/>
        <v>46053</v>
      </c>
      <c r="BJ575" s="161">
        <f t="shared" si="6486"/>
        <v>0</v>
      </c>
      <c r="BK575" s="157">
        <f t="shared" si="6487"/>
        <v>46054</v>
      </c>
      <c r="BL575" s="157">
        <f t="shared" si="6488"/>
        <v>46081</v>
      </c>
      <c r="BM575" s="161">
        <f t="shared" si="6489"/>
        <v>0</v>
      </c>
      <c r="BN575" s="157">
        <f t="shared" si="6490"/>
        <v>46082</v>
      </c>
      <c r="BO575" s="157">
        <f t="shared" si="6491"/>
        <v>46112</v>
      </c>
      <c r="BP575" s="161">
        <f t="shared" si="6492"/>
        <v>0</v>
      </c>
      <c r="BQ575" s="157">
        <f t="shared" si="6493"/>
        <v>46113</v>
      </c>
      <c r="BR575" s="157">
        <f t="shared" si="6494"/>
        <v>46142</v>
      </c>
      <c r="BS575" s="161">
        <f t="shared" si="6495"/>
        <v>0</v>
      </c>
      <c r="BT575" s="157">
        <f t="shared" si="6496"/>
        <v>46143</v>
      </c>
      <c r="BU575" s="157">
        <f t="shared" si="6497"/>
        <v>46173</v>
      </c>
      <c r="BV575" s="161">
        <f t="shared" si="6498"/>
        <v>0</v>
      </c>
      <c r="BW575" s="157">
        <f t="shared" si="6499"/>
        <v>46174</v>
      </c>
      <c r="BX575" s="157">
        <f t="shared" si="6500"/>
        <v>46203</v>
      </c>
      <c r="BY575" s="161">
        <f t="shared" si="6501"/>
        <v>0</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hidden="1" customHeight="1" outlineLevel="2" spans="1:95">
      <c r="A576" s="122"/>
      <c r="B576" s="123"/>
      <c r="C576" s="124"/>
      <c r="D576" s="122"/>
      <c r="E576" s="123"/>
      <c r="F576" s="123"/>
      <c r="G576" s="123"/>
      <c r="H576" s="125"/>
      <c r="I576" s="125"/>
      <c r="J576" s="125">
        <f t="shared" si="6007"/>
        <v>0</v>
      </c>
      <c r="K576" s="125">
        <f t="shared" si="6520"/>
        <v>3</v>
      </c>
      <c r="L576" s="150"/>
      <c r="M576" s="151">
        <f>IFERROR(VLOOKUP($L576,'2-2 引出数据_合同数据仓库'!$B$5:$BP$20,3,FALSE),0)</f>
        <v>0</v>
      </c>
      <c r="N576" s="125"/>
      <c r="O576" s="151">
        <f>IFERROR(VLOOKUP((LEFT(VLOOKUP($L576,'2-2 引出数据_合同数据仓库'!$B$5:$BP$20,64,FALSE),15)&amp;(RIGHT(VLOOKUP($L576,'2-2 引出数据_合同数据仓库'!$B$5:$BP$20,64,FALSE),4)+1)),'2-2 引出数据_合同数据仓库'!$B$5:$BP$20,3,FALSE),0)</f>
        <v>0</v>
      </c>
      <c r="P576" s="125"/>
      <c r="Q576" s="125">
        <f>IFERROR(VLOOKUP($L576,'2-2 引出数据_合同数据仓库'!$B$5:$BP$20,28,FALSE),0)</f>
        <v>0</v>
      </c>
      <c r="R576" s="125">
        <f>IFERROR(VLOOKUP($L576,'2-2 引出数据_合同数据仓库'!$B$5:$BP$20,29,FALSE),0)</f>
        <v>0</v>
      </c>
      <c r="S576" s="125">
        <f>IFERROR(VLOOKUP($L576,'2-2 引出数据_合同数据仓库'!$B$5:$BP$20,4,FALSE),0)</f>
        <v>0</v>
      </c>
      <c r="T576" s="125"/>
      <c r="U576" s="125">
        <f>IFERROR(VLOOKUP($L576,'2-2 引出数据_合同数据仓库'!$B$5:$BP$20,15,FALSE),0)</f>
        <v>0</v>
      </c>
      <c r="V576" s="125">
        <f t="shared" si="6449"/>
        <v>0</v>
      </c>
      <c r="W576" s="125"/>
      <c r="X576" s="157">
        <v>45658</v>
      </c>
      <c r="Y576" s="157">
        <f t="shared" si="6450"/>
        <v>45688</v>
      </c>
      <c r="Z576" s="161">
        <f t="shared" si="6451"/>
        <v>0</v>
      </c>
      <c r="AA576" s="157">
        <f t="shared" si="6452"/>
        <v>45689</v>
      </c>
      <c r="AB576" s="157">
        <f t="shared" si="6453"/>
        <v>45716</v>
      </c>
      <c r="AC576" s="161">
        <f t="shared" si="6454"/>
        <v>0</v>
      </c>
      <c r="AD576" s="157">
        <f t="shared" si="6455"/>
        <v>45717</v>
      </c>
      <c r="AE576" s="157">
        <f t="shared" si="6456"/>
        <v>45747</v>
      </c>
      <c r="AF576" s="161">
        <f t="shared" si="6457"/>
        <v>0</v>
      </c>
      <c r="AG576" s="157">
        <f t="shared" si="6458"/>
        <v>45748</v>
      </c>
      <c r="AH576" s="157">
        <f t="shared" si="6459"/>
        <v>45777</v>
      </c>
      <c r="AI576" s="161">
        <f t="shared" si="6460"/>
        <v>0</v>
      </c>
      <c r="AJ576" s="157">
        <f t="shared" si="6461"/>
        <v>45778</v>
      </c>
      <c r="AK576" s="157">
        <f t="shared" si="6462"/>
        <v>45808</v>
      </c>
      <c r="AL576" s="161">
        <f t="shared" si="6463"/>
        <v>0</v>
      </c>
      <c r="AM576" s="157">
        <f t="shared" si="6464"/>
        <v>45809</v>
      </c>
      <c r="AN576" s="157">
        <f t="shared" si="6465"/>
        <v>45838</v>
      </c>
      <c r="AO576" s="161">
        <f t="shared" si="6466"/>
        <v>0</v>
      </c>
      <c r="AP576" s="157">
        <f t="shared" si="6467"/>
        <v>45839</v>
      </c>
      <c r="AQ576" s="157">
        <f t="shared" si="6468"/>
        <v>45869</v>
      </c>
      <c r="AR576" s="161">
        <f t="shared" si="6469"/>
        <v>0</v>
      </c>
      <c r="AS576" s="157">
        <f t="shared" si="6470"/>
        <v>45870</v>
      </c>
      <c r="AT576" s="157">
        <f t="shared" si="6471"/>
        <v>45900</v>
      </c>
      <c r="AU576" s="161">
        <f t="shared" si="6472"/>
        <v>0</v>
      </c>
      <c r="AV576" s="157">
        <f t="shared" si="6473"/>
        <v>45901</v>
      </c>
      <c r="AW576" s="157">
        <f t="shared" si="6474"/>
        <v>45930</v>
      </c>
      <c r="AX576" s="161">
        <f t="shared" si="6475"/>
        <v>0</v>
      </c>
      <c r="AY576" s="157">
        <f t="shared" si="6476"/>
        <v>45931</v>
      </c>
      <c r="AZ576" s="157">
        <f t="shared" si="6477"/>
        <v>45961</v>
      </c>
      <c r="BA576" s="161">
        <f t="shared" si="6478"/>
        <v>0</v>
      </c>
      <c r="BB576" s="157">
        <f t="shared" si="6479"/>
        <v>45962</v>
      </c>
      <c r="BC576" s="157">
        <f t="shared" si="6480"/>
        <v>45991</v>
      </c>
      <c r="BD576" s="161">
        <f t="shared" si="6481"/>
        <v>0</v>
      </c>
      <c r="BE576" s="157">
        <f t="shared" si="6482"/>
        <v>45992</v>
      </c>
      <c r="BF576" s="157">
        <f t="shared" si="6483"/>
        <v>46022</v>
      </c>
      <c r="BG576" s="161">
        <f t="shared" si="6484"/>
        <v>0</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hidden="1" customHeight="1" outlineLevel="2" collapsed="1" spans="1:95">
      <c r="A577" s="122"/>
      <c r="B577" s="123"/>
      <c r="C577" s="124"/>
      <c r="D577" s="122"/>
      <c r="E577" s="123"/>
      <c r="F577" s="123"/>
      <c r="G577" s="123"/>
      <c r="H577" s="125"/>
      <c r="I577" s="125"/>
      <c r="J577" s="125">
        <f t="shared" si="6007"/>
        <v>0</v>
      </c>
      <c r="K577" s="125">
        <f t="shared" si="6520"/>
        <v>4</v>
      </c>
      <c r="L577" s="150"/>
      <c r="M577" s="151">
        <f>IFERROR(VLOOKUP($L577,'2-2 引出数据_合同数据仓库'!$B$5:$BP$20,3,FALSE),0)</f>
        <v>0</v>
      </c>
      <c r="N577" s="125"/>
      <c r="O577" s="151">
        <f>IFERROR(VLOOKUP((LEFT(VLOOKUP($L577,'2-2 引出数据_合同数据仓库'!$B$5:$BP$20,64,FALSE),15)&amp;(RIGHT(VLOOKUP($L577,'2-2 引出数据_合同数据仓库'!$B$5:$BP$20,64,FALSE),4)+1)),'2-2 引出数据_合同数据仓库'!$B$5:$BP$20,3,FALSE),0)</f>
        <v>0</v>
      </c>
      <c r="P577" s="125"/>
      <c r="Q577" s="125">
        <f>IFERROR(VLOOKUP($L577,'2-2 引出数据_合同数据仓库'!$B$5:$BP$20,28,FALSE),0)</f>
        <v>0</v>
      </c>
      <c r="R577" s="125">
        <f>IFERROR(VLOOKUP($L577,'2-2 引出数据_合同数据仓库'!$B$5:$BP$20,29,FALSE),0)</f>
        <v>0</v>
      </c>
      <c r="S577" s="125">
        <f>IFERROR(VLOOKUP($L577,'2-2 引出数据_合同数据仓库'!$B$5:$BP$20,4,FALSE),0)</f>
        <v>0</v>
      </c>
      <c r="T577" s="125"/>
      <c r="U577" s="125">
        <f>IFERROR(VLOOKUP($L577,'2-2 引出数据_合同数据仓库'!$B$5:$BP$20,15,FALSE),0)</f>
        <v>0</v>
      </c>
      <c r="V577" s="125">
        <f t="shared" si="6449"/>
        <v>0</v>
      </c>
      <c r="W577" s="125"/>
      <c r="X577" s="157">
        <v>45658</v>
      </c>
      <c r="Y577" s="157">
        <f t="shared" si="6450"/>
        <v>45688</v>
      </c>
      <c r="Z577" s="161">
        <f t="shared" si="6451"/>
        <v>0</v>
      </c>
      <c r="AA577" s="157">
        <f t="shared" si="6452"/>
        <v>45689</v>
      </c>
      <c r="AB577" s="157">
        <f t="shared" si="6453"/>
        <v>45716</v>
      </c>
      <c r="AC577" s="161">
        <f t="shared" si="6454"/>
        <v>0</v>
      </c>
      <c r="AD577" s="157">
        <f t="shared" si="6455"/>
        <v>45717</v>
      </c>
      <c r="AE577" s="157">
        <f t="shared" si="6456"/>
        <v>45747</v>
      </c>
      <c r="AF577" s="161">
        <f t="shared" si="6457"/>
        <v>0</v>
      </c>
      <c r="AG577" s="157">
        <f t="shared" si="6458"/>
        <v>45748</v>
      </c>
      <c r="AH577" s="157">
        <f t="shared" si="6459"/>
        <v>45777</v>
      </c>
      <c r="AI577" s="161">
        <f t="shared" si="6460"/>
        <v>0</v>
      </c>
      <c r="AJ577" s="157">
        <f t="shared" si="6461"/>
        <v>45778</v>
      </c>
      <c r="AK577" s="157">
        <f t="shared" si="6462"/>
        <v>45808</v>
      </c>
      <c r="AL577" s="161">
        <f t="shared" si="6463"/>
        <v>0</v>
      </c>
      <c r="AM577" s="157">
        <f t="shared" si="6464"/>
        <v>45809</v>
      </c>
      <c r="AN577" s="157">
        <f t="shared" si="6465"/>
        <v>45838</v>
      </c>
      <c r="AO577" s="161">
        <f t="shared" si="6466"/>
        <v>0</v>
      </c>
      <c r="AP577" s="157">
        <f t="shared" si="6467"/>
        <v>45839</v>
      </c>
      <c r="AQ577" s="157">
        <f t="shared" si="6468"/>
        <v>45869</v>
      </c>
      <c r="AR577" s="161">
        <f t="shared" si="6469"/>
        <v>0</v>
      </c>
      <c r="AS577" s="157">
        <f t="shared" si="6470"/>
        <v>45870</v>
      </c>
      <c r="AT577" s="157">
        <f t="shared" si="6471"/>
        <v>45900</v>
      </c>
      <c r="AU577" s="161">
        <f t="shared" si="6472"/>
        <v>0</v>
      </c>
      <c r="AV577" s="157">
        <f t="shared" si="6473"/>
        <v>45901</v>
      </c>
      <c r="AW577" s="157">
        <f t="shared" si="6474"/>
        <v>45930</v>
      </c>
      <c r="AX577" s="161">
        <f t="shared" si="6475"/>
        <v>0</v>
      </c>
      <c r="AY577" s="157">
        <f t="shared" si="6476"/>
        <v>45931</v>
      </c>
      <c r="AZ577" s="157">
        <f t="shared" si="6477"/>
        <v>45961</v>
      </c>
      <c r="BA577" s="161">
        <f t="shared" si="6478"/>
        <v>0</v>
      </c>
      <c r="BB577" s="157">
        <f t="shared" si="6479"/>
        <v>45962</v>
      </c>
      <c r="BC577" s="157">
        <f t="shared" si="6480"/>
        <v>45991</v>
      </c>
      <c r="BD577" s="161">
        <f t="shared" si="6481"/>
        <v>0</v>
      </c>
      <c r="BE577" s="157">
        <f t="shared" si="6482"/>
        <v>45992</v>
      </c>
      <c r="BF577" s="157">
        <f t="shared" si="6483"/>
        <v>46022</v>
      </c>
      <c r="BG577" s="161">
        <f t="shared" si="6484"/>
        <v>0</v>
      </c>
      <c r="BH577" s="157">
        <v>46023</v>
      </c>
      <c r="BI577" s="157">
        <f t="shared" si="6485"/>
        <v>46053</v>
      </c>
      <c r="BJ577" s="161">
        <f t="shared" si="6486"/>
        <v>0</v>
      </c>
      <c r="BK577" s="157">
        <f t="shared" si="6487"/>
        <v>46054</v>
      </c>
      <c r="BL577" s="157">
        <f t="shared" si="6488"/>
        <v>46081</v>
      </c>
      <c r="BM577" s="161">
        <f t="shared" si="6489"/>
        <v>0</v>
      </c>
      <c r="BN577" s="157">
        <f t="shared" si="6490"/>
        <v>46082</v>
      </c>
      <c r="BO577" s="157">
        <f t="shared" si="6491"/>
        <v>46112</v>
      </c>
      <c r="BP577" s="161">
        <f t="shared" si="6492"/>
        <v>0</v>
      </c>
      <c r="BQ577" s="157">
        <f t="shared" si="6493"/>
        <v>46113</v>
      </c>
      <c r="BR577" s="157">
        <f t="shared" si="6494"/>
        <v>46142</v>
      </c>
      <c r="BS577" s="161">
        <f t="shared" si="6495"/>
        <v>0</v>
      </c>
      <c r="BT577" s="157">
        <f t="shared" si="6496"/>
        <v>46143</v>
      </c>
      <c r="BU577" s="157">
        <f t="shared" si="6497"/>
        <v>46173</v>
      </c>
      <c r="BV577" s="161">
        <f t="shared" si="6498"/>
        <v>0</v>
      </c>
      <c r="BW577" s="157">
        <f t="shared" si="6499"/>
        <v>46174</v>
      </c>
      <c r="BX577" s="157">
        <f t="shared" si="6500"/>
        <v>46203</v>
      </c>
      <c r="BY577" s="161">
        <f t="shared" si="6501"/>
        <v>0</v>
      </c>
      <c r="BZ577" s="157">
        <f t="shared" si="6502"/>
        <v>46204</v>
      </c>
      <c r="CA577" s="157">
        <f t="shared" si="6503"/>
        <v>46234</v>
      </c>
      <c r="CB577" s="161">
        <f t="shared" si="6504"/>
        <v>0</v>
      </c>
      <c r="CC577" s="157">
        <f t="shared" si="6505"/>
        <v>46235</v>
      </c>
      <c r="CD577" s="157">
        <f t="shared" si="6506"/>
        <v>46265</v>
      </c>
      <c r="CE577" s="161">
        <f t="shared" si="6507"/>
        <v>0</v>
      </c>
      <c r="CF577" s="157">
        <f t="shared" si="6508"/>
        <v>46266</v>
      </c>
      <c r="CG577" s="157">
        <f t="shared" si="6509"/>
        <v>46295</v>
      </c>
      <c r="CH577" s="161">
        <f t="shared" si="6510"/>
        <v>0</v>
      </c>
      <c r="CI577" s="157">
        <f t="shared" si="6511"/>
        <v>46296</v>
      </c>
      <c r="CJ577" s="157">
        <f t="shared" si="6512"/>
        <v>46326</v>
      </c>
      <c r="CK577" s="161">
        <f t="shared" si="6513"/>
        <v>0</v>
      </c>
      <c r="CL577" s="157">
        <f t="shared" si="6514"/>
        <v>46327</v>
      </c>
      <c r="CM577" s="157">
        <f t="shared" si="6515"/>
        <v>46356</v>
      </c>
      <c r="CN577" s="161">
        <f t="shared" si="6516"/>
        <v>0</v>
      </c>
      <c r="CO577" s="157">
        <f t="shared" si="6517"/>
        <v>46357</v>
      </c>
      <c r="CP577" s="157">
        <f t="shared" si="6518"/>
        <v>46387</v>
      </c>
      <c r="CQ577" s="161">
        <f t="shared" si="6519"/>
        <v>0</v>
      </c>
    </row>
    <row r="578" s="83" customFormat="1" ht="24" hidden="1" customHeight="1" outlineLevel="4" spans="1:95">
      <c r="A578" s="126" t="s">
        <v>2770</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hidden="1" customHeight="1" outlineLevel="1" collapsed="1" spans="1:95">
      <c r="A579" s="22"/>
      <c r="B579" s="112" t="s">
        <v>747</v>
      </c>
      <c r="C579" s="113" t="s">
        <v>2229</v>
      </c>
      <c r="D579" s="22" t="s">
        <v>2230</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hidden="1"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引出数据_合同数据仓库'!$B$5:$BP$20,3,FALSE),0)</f>
        <v>0</v>
      </c>
      <c r="N580" s="125"/>
      <c r="O580" s="151">
        <f>IFERROR(VLOOKUP((LEFT(VLOOKUP($L580,'2-2 引出数据_合同数据仓库'!$B$5:$BP$20,64,FALSE),15)&amp;(RIGHT(VLOOKUP($L580,'2-2 引出数据_合同数据仓库'!$B$5:$BP$20,64,FALSE),4)+1)),'2-2 引出数据_合同数据仓库'!$B$5:$BP$20,3,FALSE),0)</f>
        <v>0</v>
      </c>
      <c r="P580" s="125"/>
      <c r="Q580" s="125">
        <f>IFERROR(VLOOKUP($L580,'2-2 引出数据_合同数据仓库'!$B$5:$BP$20,28,FALSE),0)</f>
        <v>0</v>
      </c>
      <c r="R580" s="125">
        <f>IFERROR(VLOOKUP($L580,'2-2 引出数据_合同数据仓库'!$B$5:$BP$20,29,FALSE),0)</f>
        <v>0</v>
      </c>
      <c r="S580" s="125">
        <f>IFERROR(VLOOKUP($L580,'2-2 引出数据_合同数据仓库'!$B$5:$BP$20,4,FALSE),0)</f>
        <v>0</v>
      </c>
      <c r="T580" s="125"/>
      <c r="U580" s="125">
        <f>IFERROR(VLOOKUP($L580,'2-2 引出数据_合同数据仓库'!$B$5:$BP$20,15,FALSE),0)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hidden="1"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引出数据_合同数据仓库'!$B$5:$BP$20,3,FALSE),0)</f>
        <v>0</v>
      </c>
      <c r="N581" s="125"/>
      <c r="O581" s="151">
        <f>IFERROR(VLOOKUP((LEFT(VLOOKUP($L581,'2-2 引出数据_合同数据仓库'!$B$5:$BP$20,64,FALSE),15)&amp;(RIGHT(VLOOKUP($L581,'2-2 引出数据_合同数据仓库'!$B$5:$BP$20,64,FALSE),4)+1)),'2-2 引出数据_合同数据仓库'!$B$5:$BP$20,3,FALSE),0)</f>
        <v>0</v>
      </c>
      <c r="P581" s="125"/>
      <c r="Q581" s="125">
        <f>IFERROR(VLOOKUP($L581,'2-2 引出数据_合同数据仓库'!$B$5:$BP$20,28,FALSE),0)</f>
        <v>0</v>
      </c>
      <c r="R581" s="125">
        <f>IFERROR(VLOOKUP($L581,'2-2 引出数据_合同数据仓库'!$B$5:$BP$20,29,FALSE),0)</f>
        <v>0</v>
      </c>
      <c r="S581" s="125">
        <f>IFERROR(VLOOKUP($L581,'2-2 引出数据_合同数据仓库'!$B$5:$BP$20,4,FALSE),0)</f>
        <v>0</v>
      </c>
      <c r="T581" s="125"/>
      <c r="U581" s="125">
        <f>IFERROR(VLOOKUP($L581,'2-2 引出数据_合同数据仓库'!$B$5:$BP$20,15,FALSE),0)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hidden="1"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引出数据_合同数据仓库'!$B$5:$BP$20,3,FALSE),0)</f>
        <v>0</v>
      </c>
      <c r="N582" s="125"/>
      <c r="O582" s="151">
        <f>IFERROR(VLOOKUP((LEFT(VLOOKUP($L582,'2-2 引出数据_合同数据仓库'!$B$5:$BP$20,64,FALSE),15)&amp;(RIGHT(VLOOKUP($L582,'2-2 引出数据_合同数据仓库'!$B$5:$BP$20,64,FALSE),4)+1)),'2-2 引出数据_合同数据仓库'!$B$5:$BP$20,3,FALSE),0)</f>
        <v>0</v>
      </c>
      <c r="P582" s="125"/>
      <c r="Q582" s="125">
        <f>IFERROR(VLOOKUP($L582,'2-2 引出数据_合同数据仓库'!$B$5:$BP$20,28,FALSE),0)</f>
        <v>0</v>
      </c>
      <c r="R582" s="125">
        <f>IFERROR(VLOOKUP($L582,'2-2 引出数据_合同数据仓库'!$B$5:$BP$20,29,FALSE),0)</f>
        <v>0</v>
      </c>
      <c r="S582" s="125">
        <f>IFERROR(VLOOKUP($L582,'2-2 引出数据_合同数据仓库'!$B$5:$BP$20,4,FALSE),0)</f>
        <v>0</v>
      </c>
      <c r="T582" s="125"/>
      <c r="U582" s="125">
        <f>IFERROR(VLOOKUP($L582,'2-2 引出数据_合同数据仓库'!$B$5:$BP$20,15,FALSE),0)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hidden="1" customHeight="1" outlineLevel="2" collapsed="1" spans="1:95">
      <c r="A583" s="122"/>
      <c r="B583" s="123"/>
      <c r="C583" s="124"/>
      <c r="D583" s="122"/>
      <c r="E583" s="123"/>
      <c r="F583" s="123"/>
      <c r="G583" s="123"/>
      <c r="H583" s="125"/>
      <c r="I583" s="125"/>
      <c r="J583" s="125">
        <f t="shared" si="6007"/>
        <v>0</v>
      </c>
      <c r="K583" s="125">
        <f t="shared" si="6592"/>
        <v>4</v>
      </c>
      <c r="L583" s="150"/>
      <c r="M583" s="151">
        <f>IFERROR(VLOOKUP($L583,'2-2 引出数据_合同数据仓库'!$B$5:$BP$20,3,FALSE),0)</f>
        <v>0</v>
      </c>
      <c r="N583" s="125"/>
      <c r="O583" s="151">
        <f>IFERROR(VLOOKUP((LEFT(VLOOKUP($L583,'2-2 引出数据_合同数据仓库'!$B$5:$BP$20,64,FALSE),15)&amp;(RIGHT(VLOOKUP($L583,'2-2 引出数据_合同数据仓库'!$B$5:$BP$20,64,FALSE),4)+1)),'2-2 引出数据_合同数据仓库'!$B$5:$BP$20,3,FALSE),0)</f>
        <v>0</v>
      </c>
      <c r="P583" s="125"/>
      <c r="Q583" s="125">
        <f>IFERROR(VLOOKUP($L583,'2-2 引出数据_合同数据仓库'!$B$5:$BP$20,28,FALSE),0)</f>
        <v>0</v>
      </c>
      <c r="R583" s="125">
        <f>IFERROR(VLOOKUP($L583,'2-2 引出数据_合同数据仓库'!$B$5:$BP$20,29,FALSE),0)</f>
        <v>0</v>
      </c>
      <c r="S583" s="125">
        <f>IFERROR(VLOOKUP($L583,'2-2 引出数据_合同数据仓库'!$B$5:$BP$20,4,FALSE),0)</f>
        <v>0</v>
      </c>
      <c r="T583" s="125"/>
      <c r="U583" s="125">
        <f>IFERROR(VLOOKUP($L583,'2-2 引出数据_合同数据仓库'!$B$5:$BP$20,15,FALSE),0)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hidden="1" customHeight="1" outlineLevel="4" spans="1:95">
      <c r="A584" s="126" t="s">
        <v>2770</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hidden="1" customHeight="1" outlineLevel="1" collapsed="1" spans="1:95">
      <c r="A585" s="22"/>
      <c r="B585" s="112" t="s">
        <v>747</v>
      </c>
      <c r="C585" s="113" t="s">
        <v>2235</v>
      </c>
      <c r="D585" s="22" t="s">
        <v>2236</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hidden="1"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引出数据_合同数据仓库'!$B$5:$BP$20,3,FALSE),0)</f>
        <v>0</v>
      </c>
      <c r="N586" s="125"/>
      <c r="O586" s="151">
        <f>IFERROR(VLOOKUP((LEFT(VLOOKUP($L586,'2-2 引出数据_合同数据仓库'!$B$5:$BP$20,64,FALSE),15)&amp;(RIGHT(VLOOKUP($L586,'2-2 引出数据_合同数据仓库'!$B$5:$BP$20,64,FALSE),4)+1)),'2-2 引出数据_合同数据仓库'!$B$5:$BP$20,3,FALSE),0)</f>
        <v>0</v>
      </c>
      <c r="P586" s="125"/>
      <c r="Q586" s="125">
        <f>IFERROR(VLOOKUP($L586,'2-2 引出数据_合同数据仓库'!$B$5:$BP$20,28,FALSE),0)</f>
        <v>0</v>
      </c>
      <c r="R586" s="125">
        <f>IFERROR(VLOOKUP($L586,'2-2 引出数据_合同数据仓库'!$B$5:$BP$20,29,FALSE),0)</f>
        <v>0</v>
      </c>
      <c r="S586" s="125">
        <f>IFERROR(VLOOKUP($L586,'2-2 引出数据_合同数据仓库'!$B$5:$BP$20,4,FALSE),0)</f>
        <v>0</v>
      </c>
      <c r="T586" s="125"/>
      <c r="U586" s="125">
        <f>IFERROR(VLOOKUP($L586,'2-2 引出数据_合同数据仓库'!$B$5:$BP$20,15,FALSE),0)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hidden="1"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引出数据_合同数据仓库'!$B$5:$BP$20,3,FALSE),0)</f>
        <v>0</v>
      </c>
      <c r="N587" s="125"/>
      <c r="O587" s="151">
        <f>IFERROR(VLOOKUP((LEFT(VLOOKUP($L587,'2-2 引出数据_合同数据仓库'!$B$5:$BP$20,64,FALSE),15)&amp;(RIGHT(VLOOKUP($L587,'2-2 引出数据_合同数据仓库'!$B$5:$BP$20,64,FALSE),4)+1)),'2-2 引出数据_合同数据仓库'!$B$5:$BP$20,3,FALSE),0)</f>
        <v>0</v>
      </c>
      <c r="P587" s="125"/>
      <c r="Q587" s="125">
        <f>IFERROR(VLOOKUP($L587,'2-2 引出数据_合同数据仓库'!$B$5:$BP$20,28,FALSE),0)</f>
        <v>0</v>
      </c>
      <c r="R587" s="125">
        <f>IFERROR(VLOOKUP($L587,'2-2 引出数据_合同数据仓库'!$B$5:$BP$20,29,FALSE),0)</f>
        <v>0</v>
      </c>
      <c r="S587" s="125">
        <f>IFERROR(VLOOKUP($L587,'2-2 引出数据_合同数据仓库'!$B$5:$BP$20,4,FALSE),0)</f>
        <v>0</v>
      </c>
      <c r="T587" s="125"/>
      <c r="U587" s="125">
        <f>IFERROR(VLOOKUP($L587,'2-2 引出数据_合同数据仓库'!$B$5:$BP$20,15,FALSE),0)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hidden="1"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引出数据_合同数据仓库'!$B$5:$BP$20,3,FALSE),0)</f>
        <v>0</v>
      </c>
      <c r="N588" s="125"/>
      <c r="O588" s="151">
        <f>IFERROR(VLOOKUP((LEFT(VLOOKUP($L588,'2-2 引出数据_合同数据仓库'!$B$5:$BP$20,64,FALSE),15)&amp;(RIGHT(VLOOKUP($L588,'2-2 引出数据_合同数据仓库'!$B$5:$BP$20,64,FALSE),4)+1)),'2-2 引出数据_合同数据仓库'!$B$5:$BP$20,3,FALSE),0)</f>
        <v>0</v>
      </c>
      <c r="P588" s="125"/>
      <c r="Q588" s="125">
        <f>IFERROR(VLOOKUP($L588,'2-2 引出数据_合同数据仓库'!$B$5:$BP$20,28,FALSE),0)</f>
        <v>0</v>
      </c>
      <c r="R588" s="125">
        <f>IFERROR(VLOOKUP($L588,'2-2 引出数据_合同数据仓库'!$B$5:$BP$20,29,FALSE),0)</f>
        <v>0</v>
      </c>
      <c r="S588" s="125">
        <f>IFERROR(VLOOKUP($L588,'2-2 引出数据_合同数据仓库'!$B$5:$BP$20,4,FALSE),0)</f>
        <v>0</v>
      </c>
      <c r="T588" s="125"/>
      <c r="U588" s="125">
        <f>IFERROR(VLOOKUP($L588,'2-2 引出数据_合同数据仓库'!$B$5:$BP$20,15,FALSE),0)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hidden="1" customHeight="1" outlineLevel="2" collapsed="1" spans="1:95">
      <c r="A589" s="122"/>
      <c r="B589" s="123"/>
      <c r="C589" s="124"/>
      <c r="D589" s="122"/>
      <c r="E589" s="123"/>
      <c r="F589" s="123"/>
      <c r="G589" s="123"/>
      <c r="H589" s="125"/>
      <c r="I589" s="125"/>
      <c r="J589" s="125">
        <f t="shared" si="6664"/>
        <v>0</v>
      </c>
      <c r="K589" s="125">
        <f t="shared" si="6665"/>
        <v>4</v>
      </c>
      <c r="L589" s="150"/>
      <c r="M589" s="151">
        <f>IFERROR(VLOOKUP($L589,'2-2 引出数据_合同数据仓库'!$B$5:$BP$20,3,FALSE),0)</f>
        <v>0</v>
      </c>
      <c r="N589" s="125"/>
      <c r="O589" s="151">
        <f>IFERROR(VLOOKUP((LEFT(VLOOKUP($L589,'2-2 引出数据_合同数据仓库'!$B$5:$BP$20,64,FALSE),15)&amp;(RIGHT(VLOOKUP($L589,'2-2 引出数据_合同数据仓库'!$B$5:$BP$20,64,FALSE),4)+1)),'2-2 引出数据_合同数据仓库'!$B$5:$BP$20,3,FALSE),0)</f>
        <v>0</v>
      </c>
      <c r="P589" s="125"/>
      <c r="Q589" s="125">
        <f>IFERROR(VLOOKUP($L589,'2-2 引出数据_合同数据仓库'!$B$5:$BP$20,28,FALSE),0)</f>
        <v>0</v>
      </c>
      <c r="R589" s="125">
        <f>IFERROR(VLOOKUP($L589,'2-2 引出数据_合同数据仓库'!$B$5:$BP$20,29,FALSE),0)</f>
        <v>0</v>
      </c>
      <c r="S589" s="125">
        <f>IFERROR(VLOOKUP($L589,'2-2 引出数据_合同数据仓库'!$B$5:$BP$20,4,FALSE),0)</f>
        <v>0</v>
      </c>
      <c r="T589" s="125"/>
      <c r="U589" s="125">
        <f>IFERROR(VLOOKUP($L589,'2-2 引出数据_合同数据仓库'!$B$5:$BP$20,15,FALSE),0)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hidden="1" customHeight="1" outlineLevel="4" spans="1:95">
      <c r="A590" s="126" t="s">
        <v>2770</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hidden="1" customHeight="1" outlineLevel="1" collapsed="1" spans="1:95">
      <c r="A591" s="22"/>
      <c r="B591" s="112" t="s">
        <v>747</v>
      </c>
      <c r="C591" s="113" t="s">
        <v>2248</v>
      </c>
      <c r="D591" s="22" t="s">
        <v>2249</v>
      </c>
      <c r="E591" s="22"/>
      <c r="F591" s="22"/>
      <c r="G591" s="112" t="s">
        <v>1799</v>
      </c>
      <c r="H591" s="114">
        <f t="shared" ref="H591:H605" si="6666">X591+AA591+AD591+AG591+AJ591+AM591+AP591+AS591+AV591+AY591+BB591+BE591</f>
        <v>0</v>
      </c>
      <c r="I591" s="114">
        <f t="shared" ref="I591:I605" si="6667">Y591+AB591+AE591+AH591+AK591+AN591+AQ591+AT591+AW591+AZ591+BC591+BF591</f>
        <v>0</v>
      </c>
      <c r="J591" s="114">
        <f t="shared" si="6664"/>
        <v>0</v>
      </c>
      <c r="K591" s="114"/>
      <c r="L591" s="147"/>
      <c r="M591" s="147"/>
      <c r="N591" s="147"/>
      <c r="O591" s="147"/>
      <c r="P591" s="114"/>
      <c r="Q591" s="114"/>
      <c r="R591" s="114"/>
      <c r="S591" s="114"/>
      <c r="T591" s="114"/>
      <c r="U591" s="114"/>
      <c r="V591" s="114"/>
      <c r="W591" s="114"/>
      <c r="X591" s="114">
        <f>VLOOKUP($C591,'1 预算编制表单'!$C:$BJ,27,FALSE)</f>
        <v>0</v>
      </c>
      <c r="Y591" s="114">
        <f>X591-Z591</f>
        <v>0</v>
      </c>
      <c r="Z591" s="114">
        <f>SUM(Z592:Z596)</f>
        <v>0</v>
      </c>
      <c r="AA591" s="114">
        <f>VLOOKUP($C591,'1 预算编制表单'!$C:$BJ,30,FALSE)</f>
        <v>0</v>
      </c>
      <c r="AB591" s="114">
        <f>AA591-AC591</f>
        <v>0</v>
      </c>
      <c r="AC591" s="114">
        <f>SUM(AC592:AC596)</f>
        <v>0</v>
      </c>
      <c r="AD591" s="114">
        <f>VLOOKUP($C591,'1 预算编制表单'!$C:$BJ,33,FALSE)</f>
        <v>0</v>
      </c>
      <c r="AE591" s="114">
        <f>AD591-AF591</f>
        <v>0</v>
      </c>
      <c r="AF591" s="114">
        <f>SUM(AF592:AF596)</f>
        <v>0</v>
      </c>
      <c r="AG591" s="114">
        <f>VLOOKUP($C591,'1 预算编制表单'!$C:$BJ,36,FALSE)</f>
        <v>0</v>
      </c>
      <c r="AH591" s="114">
        <f>AG591-AI591</f>
        <v>0</v>
      </c>
      <c r="AI591" s="114">
        <f>SUM(AI592:AI596)</f>
        <v>0</v>
      </c>
      <c r="AJ591" s="114">
        <f>VLOOKUP($C591,'1 预算编制表单'!$C:$BJ,39,FALSE)</f>
        <v>0</v>
      </c>
      <c r="AK591" s="114">
        <f>AJ591-AL591</f>
        <v>0</v>
      </c>
      <c r="AL591" s="114">
        <f>SUM(AL592:AL596)</f>
        <v>0</v>
      </c>
      <c r="AM591" s="114">
        <f>VLOOKUP($C591,'1 预算编制表单'!$C:$BJ,42,FALSE)</f>
        <v>0</v>
      </c>
      <c r="AN591" s="114">
        <f>AM591-AO591</f>
        <v>0</v>
      </c>
      <c r="AO591" s="114">
        <f>SUM(AO592:AO596)</f>
        <v>0</v>
      </c>
      <c r="AP591" s="114">
        <f>VLOOKUP($C591,'1 预算编制表单'!$C:$BJ,45,FALSE)</f>
        <v>0</v>
      </c>
      <c r="AQ591" s="114">
        <f>AP591-AR591</f>
        <v>0</v>
      </c>
      <c r="AR591" s="114">
        <f>SUM(AR592:AR596)</f>
        <v>0</v>
      </c>
      <c r="AS591" s="114">
        <f>VLOOKUP($C591,'1 预算编制表单'!$C:$BJ,48,FALSE)</f>
        <v>0</v>
      </c>
      <c r="AT591" s="114">
        <f>AS591-AU591</f>
        <v>0</v>
      </c>
      <c r="AU591" s="114">
        <f>SUM(AU592:AU596)</f>
        <v>0</v>
      </c>
      <c r="AV591" s="114">
        <f>VLOOKUP($C591,'1 预算编制表单'!$C:$BJ,51,FALSE)</f>
        <v>0</v>
      </c>
      <c r="AW591" s="114">
        <f>AV591-AX591</f>
        <v>0</v>
      </c>
      <c r="AX591" s="114">
        <f>SUM(AX592:AX596)</f>
        <v>0</v>
      </c>
      <c r="AY591" s="114">
        <f>VLOOKUP($C591,'1 预算编制表单'!$C:$BJ,54,FALSE)</f>
        <v>0</v>
      </c>
      <c r="AZ591" s="114">
        <f>AY591-BA591</f>
        <v>0</v>
      </c>
      <c r="BA591" s="114">
        <f>SUM(BA592:BA596)</f>
        <v>0</v>
      </c>
      <c r="BB591" s="114">
        <f>VLOOKUP($C591,'1 预算编制表单'!$C:$BJ,57,FALSE)</f>
        <v>0</v>
      </c>
      <c r="BC591" s="114">
        <f>BB591-BD591</f>
        <v>0</v>
      </c>
      <c r="BD591" s="114">
        <f>SUM(BD592:BD596)</f>
        <v>0</v>
      </c>
      <c r="BE591" s="114">
        <f>VLOOKUP($C591,'1 预算编制表单'!$C:$BJ,60,FALSE)</f>
        <v>0</v>
      </c>
      <c r="BF591" s="114">
        <f>BE591-BG591</f>
        <v>0</v>
      </c>
      <c r="BG591" s="114">
        <f>SUM(BG592:BG596)</f>
        <v>0</v>
      </c>
      <c r="BH591" s="114">
        <f>VLOOKUP($C591,'1 预算编制表单'!$C:$BJ,27,FALSE)</f>
        <v>0</v>
      </c>
      <c r="BI591" s="114">
        <f>BH591-BJ591</f>
        <v>0</v>
      </c>
      <c r="BJ591" s="114">
        <f>SUM(BJ592:BJ596)</f>
        <v>0</v>
      </c>
      <c r="BK591" s="114">
        <f>VLOOKUP($C591,'1 预算编制表单'!$C:$BJ,30,FALSE)</f>
        <v>0</v>
      </c>
      <c r="BL591" s="114">
        <f>BK591-BM591</f>
        <v>0</v>
      </c>
      <c r="BM591" s="114">
        <f>SUM(BM592:BM596)</f>
        <v>0</v>
      </c>
      <c r="BN591" s="114">
        <f>VLOOKUP($C591,'1 预算编制表单'!$C:$BJ,33,FALSE)</f>
        <v>0</v>
      </c>
      <c r="BO591" s="114">
        <f>BN591-BP591</f>
        <v>0</v>
      </c>
      <c r="BP591" s="114">
        <f>SUM(BP592:BP596)</f>
        <v>0</v>
      </c>
      <c r="BQ591" s="114">
        <f>VLOOKUP($C591,'1 预算编制表单'!$C:$BJ,36,FALSE)</f>
        <v>0</v>
      </c>
      <c r="BR591" s="114">
        <f>BQ591-BS591</f>
        <v>0</v>
      </c>
      <c r="BS591" s="114">
        <f>SUM(BS592:BS596)</f>
        <v>0</v>
      </c>
      <c r="BT591" s="114">
        <f>VLOOKUP($C591,'1 预算编制表单'!$C:$BJ,39,FALSE)</f>
        <v>0</v>
      </c>
      <c r="BU591" s="114">
        <f>BT591-BV591</f>
        <v>0</v>
      </c>
      <c r="BV591" s="114">
        <f>SUM(BV592:BV596)</f>
        <v>0</v>
      </c>
      <c r="BW591" s="114">
        <f>VLOOKUP($C591,'1 预算编制表单'!$C:$BJ,42,FALSE)</f>
        <v>0</v>
      </c>
      <c r="BX591" s="114">
        <f>BW591-BY591</f>
        <v>0</v>
      </c>
      <c r="BY591" s="114">
        <f>SUM(BY592:BY596)</f>
        <v>0</v>
      </c>
      <c r="BZ591" s="114">
        <f>VLOOKUP($C591,'1 预算编制表单'!$C:$BJ,45,FALSE)</f>
        <v>0</v>
      </c>
      <c r="CA591" s="114">
        <f>BZ591-CB591</f>
        <v>0</v>
      </c>
      <c r="CB591" s="114">
        <f>SUM(CB592:CB596)</f>
        <v>0</v>
      </c>
      <c r="CC591" s="114">
        <f>VLOOKUP($C591,'1 预算编制表单'!$C:$BJ,48,FALSE)</f>
        <v>0</v>
      </c>
      <c r="CD591" s="114">
        <f>CC591-CE591</f>
        <v>0</v>
      </c>
      <c r="CE591" s="114">
        <f>SUM(CE592:CE596)</f>
        <v>0</v>
      </c>
      <c r="CF591" s="114">
        <f>VLOOKUP($C591,'1 预算编制表单'!$C:$BJ,51,FALSE)</f>
        <v>0</v>
      </c>
      <c r="CG591" s="114">
        <f>CF591-CH591</f>
        <v>0</v>
      </c>
      <c r="CH591" s="114">
        <f>SUM(CH592:CH596)</f>
        <v>0</v>
      </c>
      <c r="CI591" s="114">
        <f>VLOOKUP($C591,'1 预算编制表单'!$C:$BJ,54,FALSE)</f>
        <v>0</v>
      </c>
      <c r="CJ591" s="114">
        <f>CI591-CK591</f>
        <v>0</v>
      </c>
      <c r="CK591" s="114">
        <f>SUM(CK592:CK596)</f>
        <v>0</v>
      </c>
      <c r="CL591" s="114">
        <f>VLOOKUP($C591,'1 预算编制表单'!$C:$BJ,57,FALSE)</f>
        <v>0</v>
      </c>
      <c r="CM591" s="114">
        <f>CL591-CN591</f>
        <v>0</v>
      </c>
      <c r="CN591" s="114">
        <f>SUM(CN592:CN596)</f>
        <v>0</v>
      </c>
      <c r="CO591" s="114">
        <f>VLOOKUP($C591,'1 预算编制表单'!$C:$BJ,60,FALSE)</f>
        <v>0</v>
      </c>
      <c r="CP591" s="114">
        <f>CO591-CQ591</f>
        <v>0</v>
      </c>
      <c r="CQ591" s="114">
        <f>SUM(CQ592:CQ596)</f>
        <v>0</v>
      </c>
    </row>
    <row r="592" s="83" customFormat="1" ht="24" hidden="1" customHeight="1" outlineLevel="2" spans="1:95">
      <c r="A592" s="122"/>
      <c r="B592" s="123"/>
      <c r="C592" s="124"/>
      <c r="D592" s="122"/>
      <c r="E592" s="123"/>
      <c r="F592" s="123"/>
      <c r="G592" s="123"/>
      <c r="H592" s="125"/>
      <c r="I592" s="125"/>
      <c r="J592" s="125">
        <f t="shared" si="6664"/>
        <v>0</v>
      </c>
      <c r="K592" s="125">
        <v>1</v>
      </c>
      <c r="L592" s="150"/>
      <c r="M592" s="151">
        <f>IFERROR(VLOOKUP($L592,'2-2 引出数据_合同数据仓库'!$B$5:$BP$20,3,FALSE),0)</f>
        <v>0</v>
      </c>
      <c r="N592" s="125"/>
      <c r="O592" s="151">
        <f>IFERROR(VLOOKUP((LEFT(VLOOKUP($L592,'2-2 引出数据_合同数据仓库'!$B$5:$BP$20,64,FALSE),15)&amp;(RIGHT(VLOOKUP($L592,'2-2 引出数据_合同数据仓库'!$B$5:$BP$20,64,FALSE),4)+1)),'2-2 引出数据_合同数据仓库'!$B$5:$BP$20,3,FALSE),0)</f>
        <v>0</v>
      </c>
      <c r="P592" s="125"/>
      <c r="Q592" s="125">
        <f>IFERROR(VLOOKUP($L592,'2-2 引出数据_合同数据仓库'!$B$5:$BP$20,28,FALSE),0)</f>
        <v>0</v>
      </c>
      <c r="R592" s="125">
        <f>IFERROR(VLOOKUP($L592,'2-2 引出数据_合同数据仓库'!$B$5:$BP$20,29,FALSE),0)</f>
        <v>0</v>
      </c>
      <c r="S592" s="125">
        <f>IFERROR(VLOOKUP($L592,'2-2 引出数据_合同数据仓库'!$B$5:$BP$20,4,FALSE),0)</f>
        <v>0</v>
      </c>
      <c r="T592" s="125"/>
      <c r="U592" s="125">
        <f>IFERROR(VLOOKUP($L592,'2-2 引出数据_合同数据仓库'!$B$5:$BP$20,15,FALSE),0)</f>
        <v>0</v>
      </c>
      <c r="V592" s="125">
        <f t="shared" ref="V592:V595" si="6668">U592/(S592-R592+1)*365</f>
        <v>0</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0</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0</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0</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0</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0</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0</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0</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0</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0</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0</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0</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hidden="1"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引出数据_合同数据仓库'!$B$5:$BP$20,3,FALSE),0)</f>
        <v>0</v>
      </c>
      <c r="N593" s="125"/>
      <c r="O593" s="151">
        <f>IFERROR(VLOOKUP((LEFT(VLOOKUP($L593,'2-2 引出数据_合同数据仓库'!$B$5:$BP$20,64,FALSE),15)&amp;(RIGHT(VLOOKUP($L593,'2-2 引出数据_合同数据仓库'!$B$5:$BP$20,64,FALSE),4)+1)),'2-2 引出数据_合同数据仓库'!$B$5:$BP$20,3,FALSE),0)</f>
        <v>0</v>
      </c>
      <c r="P593" s="125"/>
      <c r="Q593" s="125">
        <f>IFERROR(VLOOKUP($L593,'2-2 引出数据_合同数据仓库'!$B$5:$BP$20,28,FALSE),0)</f>
        <v>0</v>
      </c>
      <c r="R593" s="125">
        <f>IFERROR(VLOOKUP($L593,'2-2 引出数据_合同数据仓库'!$B$5:$BP$20,29,FALSE),0)</f>
        <v>0</v>
      </c>
      <c r="S593" s="125">
        <f>IFERROR(VLOOKUP($L593,'2-2 引出数据_合同数据仓库'!$B$5:$BP$20,4,FALSE),0)</f>
        <v>0</v>
      </c>
      <c r="T593" s="125"/>
      <c r="U593" s="125">
        <f>IFERROR(VLOOKUP($L593,'2-2 引出数据_合同数据仓库'!$B$5:$BP$20,15,FALSE),0)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hidden="1"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引出数据_合同数据仓库'!$B$5:$BP$20,3,FALSE),0)</f>
        <v>0</v>
      </c>
      <c r="N594" s="125"/>
      <c r="O594" s="151">
        <f>IFERROR(VLOOKUP((LEFT(VLOOKUP($L594,'2-2 引出数据_合同数据仓库'!$B$5:$BP$20,64,FALSE),15)&amp;(RIGHT(VLOOKUP($L594,'2-2 引出数据_合同数据仓库'!$B$5:$BP$20,64,FALSE),4)+1)),'2-2 引出数据_合同数据仓库'!$B$5:$BP$20,3,FALSE),0)</f>
        <v>0</v>
      </c>
      <c r="P594" s="125"/>
      <c r="Q594" s="125">
        <f>IFERROR(VLOOKUP($L594,'2-2 引出数据_合同数据仓库'!$B$5:$BP$20,28,FALSE),0)</f>
        <v>0</v>
      </c>
      <c r="R594" s="125">
        <f>IFERROR(VLOOKUP($L594,'2-2 引出数据_合同数据仓库'!$B$5:$BP$20,29,FALSE),0)</f>
        <v>0</v>
      </c>
      <c r="S594" s="125">
        <f>IFERROR(VLOOKUP($L594,'2-2 引出数据_合同数据仓库'!$B$5:$BP$20,4,FALSE),0)</f>
        <v>0</v>
      </c>
      <c r="T594" s="125"/>
      <c r="U594" s="125">
        <f>IFERROR(VLOOKUP($L594,'2-2 引出数据_合同数据仓库'!$B$5:$BP$20,15,FALSE),0)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hidden="1" customHeight="1" outlineLevel="2" collapsed="1" spans="1:95">
      <c r="A595" s="122"/>
      <c r="B595" s="123"/>
      <c r="C595" s="124"/>
      <c r="D595" s="122"/>
      <c r="E595" s="123"/>
      <c r="F595" s="123"/>
      <c r="G595" s="123"/>
      <c r="H595" s="125"/>
      <c r="I595" s="125"/>
      <c r="J595" s="125">
        <f t="shared" si="6664"/>
        <v>0</v>
      </c>
      <c r="K595" s="125">
        <f t="shared" si="6739"/>
        <v>4</v>
      </c>
      <c r="L595" s="150"/>
      <c r="M595" s="151">
        <f>IFERROR(VLOOKUP($L595,'2-2 引出数据_合同数据仓库'!$B$5:$BP$20,3,FALSE),0)</f>
        <v>0</v>
      </c>
      <c r="N595" s="125"/>
      <c r="O595" s="151">
        <f>IFERROR(VLOOKUP((LEFT(VLOOKUP($L595,'2-2 引出数据_合同数据仓库'!$B$5:$BP$20,64,FALSE),15)&amp;(RIGHT(VLOOKUP($L595,'2-2 引出数据_合同数据仓库'!$B$5:$BP$20,64,FALSE),4)+1)),'2-2 引出数据_合同数据仓库'!$B$5:$BP$20,3,FALSE),0)</f>
        <v>0</v>
      </c>
      <c r="P595" s="125"/>
      <c r="Q595" s="125">
        <f>IFERROR(VLOOKUP($L595,'2-2 引出数据_合同数据仓库'!$B$5:$BP$20,28,FALSE),0)</f>
        <v>0</v>
      </c>
      <c r="R595" s="125">
        <f>IFERROR(VLOOKUP($L595,'2-2 引出数据_合同数据仓库'!$B$5:$BP$20,29,FALSE),0)</f>
        <v>0</v>
      </c>
      <c r="S595" s="125">
        <f>IFERROR(VLOOKUP($L595,'2-2 引出数据_合同数据仓库'!$B$5:$BP$20,4,FALSE),0)</f>
        <v>0</v>
      </c>
      <c r="T595" s="125"/>
      <c r="U595" s="125">
        <f>IFERROR(VLOOKUP($L595,'2-2 引出数据_合同数据仓库'!$B$5:$BP$20,15,FALSE),0)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hidden="1" customHeight="1" outlineLevel="4" spans="1:95">
      <c r="A596" s="126" t="s">
        <v>2770</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customHeight="1" collapsed="1" spans="1:95">
      <c r="A597" s="108"/>
      <c r="B597" s="109" t="s">
        <v>742</v>
      </c>
      <c r="C597" s="110">
        <v>1.4</v>
      </c>
      <c r="D597" s="108" t="s">
        <v>215</v>
      </c>
      <c r="E597" s="108"/>
      <c r="F597" s="108"/>
      <c r="G597" s="109"/>
      <c r="H597" s="167">
        <f t="shared" si="6666"/>
        <v>0</v>
      </c>
      <c r="I597" s="167">
        <f t="shared" si="6667"/>
        <v>0</v>
      </c>
      <c r="J597" s="167">
        <f t="shared" si="6664"/>
        <v>0</v>
      </c>
      <c r="K597" s="167"/>
      <c r="L597" s="168"/>
      <c r="M597" s="168"/>
      <c r="N597" s="167"/>
      <c r="O597" s="168"/>
      <c r="P597" s="167"/>
      <c r="Q597" s="167"/>
      <c r="R597" s="167"/>
      <c r="S597" s="167"/>
      <c r="T597" s="167"/>
      <c r="U597" s="167"/>
      <c r="V597" s="167"/>
      <c r="W597" s="167"/>
      <c r="X597" s="167">
        <f>VLOOKUP($C597,'1 预算编制表单'!$C:$BJ,27,FALSE)</f>
        <v>0</v>
      </c>
      <c r="Y597" s="167">
        <f t="shared" ref="Y597:BG597" si="6740">Y598+Y599+Y600+Y601+Y602</f>
        <v>0</v>
      </c>
      <c r="Z597" s="167">
        <f t="shared" si="6740"/>
        <v>0</v>
      </c>
      <c r="AA597" s="167">
        <f>VLOOKUP($C597,'1 预算编制表单'!$C:$BJ,30,FALSE)</f>
        <v>0</v>
      </c>
      <c r="AB597" s="167">
        <f t="shared" si="6740"/>
        <v>0</v>
      </c>
      <c r="AC597" s="167">
        <f t="shared" si="6740"/>
        <v>0</v>
      </c>
      <c r="AD597" s="167">
        <f>VLOOKUP($C597,'1 预算编制表单'!$C:$BJ,33,FALSE)</f>
        <v>0</v>
      </c>
      <c r="AE597" s="167">
        <f t="shared" si="6740"/>
        <v>0</v>
      </c>
      <c r="AF597" s="167">
        <f t="shared" si="6740"/>
        <v>0</v>
      </c>
      <c r="AG597" s="167">
        <f>VLOOKUP($C597,'1 预算编制表单'!$C:$BJ,36,FALSE)</f>
        <v>0</v>
      </c>
      <c r="AH597" s="167">
        <f t="shared" si="6740"/>
        <v>0</v>
      </c>
      <c r="AI597" s="167">
        <f t="shared" si="6740"/>
        <v>0</v>
      </c>
      <c r="AJ597" s="167">
        <f>VLOOKUP($C597,'1 预算编制表单'!$C:$BJ,39,FALSE)</f>
        <v>0</v>
      </c>
      <c r="AK597" s="167">
        <f t="shared" si="6740"/>
        <v>0</v>
      </c>
      <c r="AL597" s="167">
        <f t="shared" si="6740"/>
        <v>0</v>
      </c>
      <c r="AM597" s="167">
        <f>VLOOKUP($C597,'1 预算编制表单'!$C:$BJ,42,FALSE)</f>
        <v>0</v>
      </c>
      <c r="AN597" s="167">
        <f t="shared" si="6740"/>
        <v>0</v>
      </c>
      <c r="AO597" s="167">
        <f t="shared" si="6740"/>
        <v>0</v>
      </c>
      <c r="AP597" s="167">
        <f>VLOOKUP($C597,'1 预算编制表单'!$C:$BJ,45,FALSE)</f>
        <v>0</v>
      </c>
      <c r="AQ597" s="167">
        <f t="shared" si="6740"/>
        <v>0</v>
      </c>
      <c r="AR597" s="167">
        <f t="shared" si="6740"/>
        <v>0</v>
      </c>
      <c r="AS597" s="167">
        <f>VLOOKUP($C597,'1 预算编制表单'!$C:$BJ,48,FALSE)</f>
        <v>0</v>
      </c>
      <c r="AT597" s="167">
        <f t="shared" si="6740"/>
        <v>0</v>
      </c>
      <c r="AU597" s="167">
        <f t="shared" si="6740"/>
        <v>0</v>
      </c>
      <c r="AV597" s="167">
        <f>VLOOKUP($C597,'1 预算编制表单'!$C:$BJ,51,FALSE)</f>
        <v>0</v>
      </c>
      <c r="AW597" s="167">
        <f t="shared" si="6740"/>
        <v>0</v>
      </c>
      <c r="AX597" s="167">
        <f t="shared" si="6740"/>
        <v>0</v>
      </c>
      <c r="AY597" s="167">
        <f>VLOOKUP($C597,'1 预算编制表单'!$C:$BJ,54,FALSE)</f>
        <v>0</v>
      </c>
      <c r="AZ597" s="167">
        <f t="shared" si="6740"/>
        <v>0</v>
      </c>
      <c r="BA597" s="167">
        <f t="shared" si="6740"/>
        <v>0</v>
      </c>
      <c r="BB597" s="167">
        <f>VLOOKUP($C597,'1 预算编制表单'!$C:$BJ,57,FALSE)</f>
        <v>0</v>
      </c>
      <c r="BC597" s="167">
        <f t="shared" si="6740"/>
        <v>0</v>
      </c>
      <c r="BD597" s="167">
        <f t="shared" si="6740"/>
        <v>0</v>
      </c>
      <c r="BE597" s="167">
        <f>VLOOKUP($C597,'1 预算编制表单'!$C:$BJ,60,FALSE)</f>
        <v>0</v>
      </c>
      <c r="BF597" s="167">
        <f t="shared" si="6740"/>
        <v>0</v>
      </c>
      <c r="BG597" s="167">
        <f t="shared" si="6740"/>
        <v>0</v>
      </c>
      <c r="BH597" s="167">
        <f>VLOOKUP($C597,'1 预算编制表单'!$C:$BJ,27,FALSE)</f>
        <v>0</v>
      </c>
      <c r="BI597" s="167">
        <f t="shared" ref="BI597:BM597" si="6741">BI598+BI599+BI600+BI601+BI602</f>
        <v>0</v>
      </c>
      <c r="BJ597" s="167">
        <f t="shared" si="6741"/>
        <v>0</v>
      </c>
      <c r="BK597" s="167">
        <f>VLOOKUP($C597,'1 预算编制表单'!$C:$BJ,30,FALSE)</f>
        <v>0</v>
      </c>
      <c r="BL597" s="167">
        <f t="shared" si="6741"/>
        <v>0</v>
      </c>
      <c r="BM597" s="167">
        <f t="shared" si="6741"/>
        <v>0</v>
      </c>
      <c r="BN597" s="167">
        <f>VLOOKUP($C597,'1 预算编制表单'!$C:$BJ,33,FALSE)</f>
        <v>0</v>
      </c>
      <c r="BO597" s="167">
        <f t="shared" ref="BO597:BS597" si="6742">BO598+BO599+BO600+BO601+BO602</f>
        <v>0</v>
      </c>
      <c r="BP597" s="167">
        <f t="shared" si="6742"/>
        <v>0</v>
      </c>
      <c r="BQ597" s="167">
        <f>VLOOKUP($C597,'1 预算编制表单'!$C:$BJ,36,FALSE)</f>
        <v>0</v>
      </c>
      <c r="BR597" s="167">
        <f t="shared" si="6742"/>
        <v>0</v>
      </c>
      <c r="BS597" s="167">
        <f t="shared" si="6742"/>
        <v>0</v>
      </c>
      <c r="BT597" s="167">
        <f>VLOOKUP($C597,'1 预算编制表单'!$C:$BJ,39,FALSE)</f>
        <v>0</v>
      </c>
      <c r="BU597" s="167">
        <f t="shared" ref="BU597:BY597" si="6743">BU598+BU599+BU600+BU601+BU602</f>
        <v>0</v>
      </c>
      <c r="BV597" s="167">
        <f t="shared" si="6743"/>
        <v>0</v>
      </c>
      <c r="BW597" s="167">
        <f>VLOOKUP($C597,'1 预算编制表单'!$C:$BJ,42,FALSE)</f>
        <v>0</v>
      </c>
      <c r="BX597" s="167">
        <f t="shared" si="6743"/>
        <v>0</v>
      </c>
      <c r="BY597" s="167">
        <f t="shared" si="6743"/>
        <v>0</v>
      </c>
      <c r="BZ597" s="167">
        <f>VLOOKUP($C597,'1 预算编制表单'!$C:$BJ,45,FALSE)</f>
        <v>0</v>
      </c>
      <c r="CA597" s="167">
        <f t="shared" ref="CA597:CE597" si="6744">CA598+CA599+CA600+CA601+CA602</f>
        <v>0</v>
      </c>
      <c r="CB597" s="167">
        <f t="shared" si="6744"/>
        <v>0</v>
      </c>
      <c r="CC597" s="167">
        <f>VLOOKUP($C597,'1 预算编制表单'!$C:$BJ,48,FALSE)</f>
        <v>0</v>
      </c>
      <c r="CD597" s="167">
        <f t="shared" si="6744"/>
        <v>0</v>
      </c>
      <c r="CE597" s="167">
        <f t="shared" si="6744"/>
        <v>0</v>
      </c>
      <c r="CF597" s="167">
        <f>VLOOKUP($C597,'1 预算编制表单'!$C:$BJ,51,FALSE)</f>
        <v>0</v>
      </c>
      <c r="CG597" s="167">
        <f t="shared" ref="CG597:CK597" si="6745">CG598+CG599+CG600+CG601+CG602</f>
        <v>0</v>
      </c>
      <c r="CH597" s="167">
        <f t="shared" si="6745"/>
        <v>0</v>
      </c>
      <c r="CI597" s="167">
        <f>VLOOKUP($C597,'1 预算编制表单'!$C:$BJ,54,FALSE)</f>
        <v>0</v>
      </c>
      <c r="CJ597" s="167">
        <f t="shared" si="6745"/>
        <v>0</v>
      </c>
      <c r="CK597" s="167">
        <f t="shared" si="6745"/>
        <v>0</v>
      </c>
      <c r="CL597" s="167">
        <f>VLOOKUP($C597,'1 预算编制表单'!$C:$BJ,57,FALSE)</f>
        <v>0</v>
      </c>
      <c r="CM597" s="167">
        <f t="shared" ref="CM597:CQ597" si="6746">CM598+CM599+CM600+CM601+CM602</f>
        <v>0</v>
      </c>
      <c r="CN597" s="167">
        <f t="shared" si="6746"/>
        <v>0</v>
      </c>
      <c r="CO597" s="167">
        <f>VLOOKUP($C597,'1 预算编制表单'!$C:$BJ,60,FALSE)</f>
        <v>0</v>
      </c>
      <c r="CP597" s="167">
        <f t="shared" si="6746"/>
        <v>0</v>
      </c>
      <c r="CQ597" s="167">
        <f t="shared" si="6746"/>
        <v>0</v>
      </c>
    </row>
    <row r="598" s="86" customFormat="1" ht="24" hidden="1" customHeight="1" outlineLevel="1" spans="1:95">
      <c r="A598" s="169"/>
      <c r="B598" s="170" t="s">
        <v>742</v>
      </c>
      <c r="C598" s="171" t="s">
        <v>84</v>
      </c>
      <c r="D598" s="169" t="s">
        <v>85</v>
      </c>
      <c r="E598" s="170" t="s">
        <v>2250</v>
      </c>
      <c r="F598" s="170"/>
      <c r="G598" s="170" t="s">
        <v>1799</v>
      </c>
      <c r="H598" s="172">
        <f t="shared" si="6666"/>
        <v>0</v>
      </c>
      <c r="I598" s="172">
        <f t="shared" si="6667"/>
        <v>0</v>
      </c>
      <c r="J598" s="172">
        <f t="shared" si="6664"/>
        <v>0</v>
      </c>
      <c r="K598" s="172"/>
      <c r="L598" s="173"/>
      <c r="M598" s="173"/>
      <c r="N598" s="172"/>
      <c r="O598" s="173"/>
      <c r="P598" s="172"/>
      <c r="Q598" s="172"/>
      <c r="R598" s="172"/>
      <c r="S598" s="172"/>
      <c r="T598" s="172"/>
      <c r="U598" s="172"/>
      <c r="V598" s="172"/>
      <c r="W598" s="172"/>
      <c r="X598" s="172">
        <f>VLOOKUP($C598,'1 预算编制表单'!$C:$BJ,27,FALSE)</f>
        <v>0</v>
      </c>
      <c r="Y598" s="172">
        <f t="shared" ref="Y598:Y602" si="6747">X598-Z598</f>
        <v>0</v>
      </c>
      <c r="Z598" s="172">
        <f>报销单计算表!B10</f>
        <v>0</v>
      </c>
      <c r="AA598" s="172">
        <f>VLOOKUP($C598,'1 预算编制表单'!$C:$BJ,30,FALSE)</f>
        <v>0</v>
      </c>
      <c r="AB598" s="172">
        <f t="shared" ref="AB598:AB602" si="6748">AA598-AC598</f>
        <v>0</v>
      </c>
      <c r="AC598" s="172">
        <f>报销单计算表!C10</f>
        <v>0</v>
      </c>
      <c r="AD598" s="172">
        <f>VLOOKUP($C598,'1 预算编制表单'!$C:$BJ,33,FALSE)</f>
        <v>0</v>
      </c>
      <c r="AE598" s="172">
        <f t="shared" ref="AE598:AE602" si="6749">AD598-AF598</f>
        <v>0</v>
      </c>
      <c r="AF598" s="172">
        <f>报销单计算表!D10</f>
        <v>0</v>
      </c>
      <c r="AG598" s="172">
        <f>VLOOKUP($C598,'1 预算编制表单'!$C:$BJ,36,FALSE)</f>
        <v>0</v>
      </c>
      <c r="AH598" s="172">
        <f t="shared" ref="AH598:AH602" si="6750">AG598-AI598</f>
        <v>0</v>
      </c>
      <c r="AI598" s="172">
        <f>报销单计算表!E10</f>
        <v>0</v>
      </c>
      <c r="AJ598" s="172">
        <f>VLOOKUP($C598,'1 预算编制表单'!$C:$BJ,39,FALSE)</f>
        <v>0</v>
      </c>
      <c r="AK598" s="172">
        <f t="shared" ref="AK598:AK602" si="6751">AJ598-AL598</f>
        <v>0</v>
      </c>
      <c r="AL598" s="172">
        <f>报销单计算表!F10</f>
        <v>0</v>
      </c>
      <c r="AM598" s="172">
        <f>VLOOKUP($C598,'1 预算编制表单'!$C:$BJ,42,FALSE)</f>
        <v>0</v>
      </c>
      <c r="AN598" s="172">
        <f t="shared" ref="AN598:AN602" si="6752">AM598-AO598</f>
        <v>0</v>
      </c>
      <c r="AO598" s="172">
        <f>报销单计算表!G10</f>
        <v>0</v>
      </c>
      <c r="AP598" s="172">
        <f>VLOOKUP($C598,'1 预算编制表单'!$C:$BJ,45,FALSE)</f>
        <v>0</v>
      </c>
      <c r="AQ598" s="172">
        <f t="shared" ref="AQ598:AQ602" si="6753">AP598-AR598</f>
        <v>0</v>
      </c>
      <c r="AR598" s="172">
        <f>报销单计算表!H10</f>
        <v>0</v>
      </c>
      <c r="AS598" s="172">
        <f>VLOOKUP($C598,'1 预算编制表单'!$C:$BJ,48,FALSE)</f>
        <v>0</v>
      </c>
      <c r="AT598" s="172">
        <f t="shared" ref="AT598:AT602" si="6754">AS598-AU598</f>
        <v>0</v>
      </c>
      <c r="AU598" s="172">
        <f>报销单计算表!I10</f>
        <v>0</v>
      </c>
      <c r="AV598" s="172">
        <f>VLOOKUP($C598,'1 预算编制表单'!$C:$BJ,51,FALSE)</f>
        <v>0</v>
      </c>
      <c r="AW598" s="172">
        <f t="shared" ref="AW598:AW602" si="6755">AV598-AX598</f>
        <v>0</v>
      </c>
      <c r="AX598" s="172">
        <f>报销单计算表!J10</f>
        <v>0</v>
      </c>
      <c r="AY598" s="172">
        <f>VLOOKUP($C598,'1 预算编制表单'!$C:$BJ,54,FALSE)</f>
        <v>0</v>
      </c>
      <c r="AZ598" s="172">
        <f t="shared" ref="AZ598:AZ602" si="6756">AY598-BA598</f>
        <v>0</v>
      </c>
      <c r="BA598" s="172">
        <f>报销单计算表!K10</f>
        <v>0</v>
      </c>
      <c r="BB598" s="172">
        <f>VLOOKUP($C598,'1 预算编制表单'!$C:$BJ,57,FALSE)</f>
        <v>0</v>
      </c>
      <c r="BC598" s="172">
        <f t="shared" ref="BC598:BC602" si="6757">BB598-BD598</f>
        <v>0</v>
      </c>
      <c r="BD598" s="172">
        <f>报销单计算表!L10</f>
        <v>0</v>
      </c>
      <c r="BE598" s="172">
        <f>VLOOKUP($C598,'1 预算编制表单'!$C:$BJ,60,FALSE)</f>
        <v>0</v>
      </c>
      <c r="BF598" s="172">
        <f t="shared" ref="BF598:BF602" si="6758">BE598-BG598</f>
        <v>0</v>
      </c>
      <c r="BG598" s="172">
        <f>报销单计算表!M10</f>
        <v>0</v>
      </c>
      <c r="BH598" s="172">
        <f>VLOOKUP($C598,'1 预算编制表单'!$C:$BJ,27,FALSE)</f>
        <v>0</v>
      </c>
      <c r="BI598" s="172">
        <f t="shared" ref="BI598:BI602" si="6759">BH598-BJ598</f>
        <v>0</v>
      </c>
      <c r="BJ598" s="172"/>
      <c r="BK598" s="172">
        <f>VLOOKUP($C598,'1 预算编制表单'!$C:$BJ,30,FALSE)</f>
        <v>0</v>
      </c>
      <c r="BL598" s="172">
        <f t="shared" ref="BL598:BL602" si="6760">BK598-BM598</f>
        <v>0</v>
      </c>
      <c r="BM598" s="172"/>
      <c r="BN598" s="172">
        <f>VLOOKUP($C598,'1 预算编制表单'!$C:$BJ,33,FALSE)</f>
        <v>0</v>
      </c>
      <c r="BO598" s="172">
        <f t="shared" ref="BO598:BO602" si="6761">BN598-BP598</f>
        <v>0</v>
      </c>
      <c r="BP598" s="172"/>
      <c r="BQ598" s="172">
        <f>VLOOKUP($C598,'1 预算编制表单'!$C:$BJ,36,FALSE)</f>
        <v>0</v>
      </c>
      <c r="BR598" s="172">
        <f t="shared" ref="BR598:BR602" si="6762">BQ598-BS598</f>
        <v>0</v>
      </c>
      <c r="BS598" s="172"/>
      <c r="BT598" s="172">
        <f>VLOOKUP($C598,'1 预算编制表单'!$C:$BJ,39,FALSE)</f>
        <v>0</v>
      </c>
      <c r="BU598" s="172">
        <f t="shared" ref="BU598:BU602" si="6763">BT598-BV598</f>
        <v>0</v>
      </c>
      <c r="BV598" s="172"/>
      <c r="BW598" s="172">
        <f>VLOOKUP($C598,'1 预算编制表单'!$C:$BJ,42,FALSE)</f>
        <v>0</v>
      </c>
      <c r="BX598" s="172">
        <f t="shared" ref="BX598:BX602" si="6764">BW598-BY598</f>
        <v>0</v>
      </c>
      <c r="BY598" s="172"/>
      <c r="BZ598" s="172">
        <f>VLOOKUP($C598,'1 预算编制表单'!$C:$BJ,45,FALSE)</f>
        <v>0</v>
      </c>
      <c r="CA598" s="172">
        <f t="shared" ref="CA598:CA602" si="6765">BZ598-CB598</f>
        <v>0</v>
      </c>
      <c r="CB598" s="172"/>
      <c r="CC598" s="172">
        <f>VLOOKUP($C598,'1 预算编制表单'!$C:$BJ,48,FALSE)</f>
        <v>0</v>
      </c>
      <c r="CD598" s="172">
        <f t="shared" ref="CD598:CD602" si="6766">CC598-CE598</f>
        <v>0</v>
      </c>
      <c r="CE598" s="172"/>
      <c r="CF598" s="172">
        <f>VLOOKUP($C598,'1 预算编制表单'!$C:$BJ,51,FALSE)</f>
        <v>0</v>
      </c>
      <c r="CG598" s="172">
        <f t="shared" ref="CG598:CG602" si="6767">CF598-CH598</f>
        <v>0</v>
      </c>
      <c r="CH598" s="172"/>
      <c r="CI598" s="172">
        <f>VLOOKUP($C598,'1 预算编制表单'!$C:$BJ,54,FALSE)</f>
        <v>0</v>
      </c>
      <c r="CJ598" s="172">
        <f t="shared" ref="CJ598:CJ602" si="6768">CI598-CK598</f>
        <v>0</v>
      </c>
      <c r="CK598" s="172"/>
      <c r="CL598" s="172">
        <f>VLOOKUP($C598,'1 预算编制表单'!$C:$BJ,57,FALSE)</f>
        <v>0</v>
      </c>
      <c r="CM598" s="172">
        <f t="shared" ref="CM598:CM602" si="6769">CL598-CN598</f>
        <v>0</v>
      </c>
      <c r="CN598" s="172"/>
      <c r="CO598" s="172">
        <f>VLOOKUP($C598,'1 预算编制表单'!$C:$BJ,60,FALSE)</f>
        <v>0</v>
      </c>
      <c r="CP598" s="172">
        <f t="shared" ref="CP598:CP602" si="6770">CO598-CQ598</f>
        <v>0</v>
      </c>
      <c r="CQ598" s="172"/>
    </row>
    <row r="599" s="86" customFormat="1" ht="24" hidden="1" customHeight="1" outlineLevel="1" spans="1:95">
      <c r="A599" s="169"/>
      <c r="B599" s="170" t="s">
        <v>742</v>
      </c>
      <c r="C599" s="171" t="s">
        <v>88</v>
      </c>
      <c r="D599" s="169" t="s">
        <v>89</v>
      </c>
      <c r="E599" s="170" t="s">
        <v>2254</v>
      </c>
      <c r="F599" s="170"/>
      <c r="G599" s="170" t="s">
        <v>1799</v>
      </c>
      <c r="H599" s="172">
        <f t="shared" si="6666"/>
        <v>0</v>
      </c>
      <c r="I599" s="172">
        <f t="shared" si="6667"/>
        <v>0</v>
      </c>
      <c r="J599" s="172">
        <f t="shared" si="6664"/>
        <v>0</v>
      </c>
      <c r="K599" s="172"/>
      <c r="L599" s="173"/>
      <c r="M599" s="173"/>
      <c r="N599" s="172"/>
      <c r="O599" s="173"/>
      <c r="P599" s="172"/>
      <c r="Q599" s="172"/>
      <c r="R599" s="172"/>
      <c r="S599" s="172"/>
      <c r="T599" s="172"/>
      <c r="U599" s="172"/>
      <c r="V599" s="172"/>
      <c r="W599" s="172"/>
      <c r="X599" s="172">
        <f>VLOOKUP($C599,'1 预算编制表单'!$C:$BJ,27,FALSE)</f>
        <v>0</v>
      </c>
      <c r="Y599" s="172">
        <f t="shared" si="6747"/>
        <v>0</v>
      </c>
      <c r="Z599" s="172">
        <f>报销单计算表!B11</f>
        <v>0</v>
      </c>
      <c r="AA599" s="172">
        <f>VLOOKUP($C599,'1 预算编制表单'!$C:$BJ,30,FALSE)</f>
        <v>0</v>
      </c>
      <c r="AB599" s="172">
        <f t="shared" si="6748"/>
        <v>0</v>
      </c>
      <c r="AC599" s="172">
        <f>报销单计算表!C11</f>
        <v>0</v>
      </c>
      <c r="AD599" s="172">
        <f>VLOOKUP($C599,'1 预算编制表单'!$C:$BJ,33,FALSE)</f>
        <v>0</v>
      </c>
      <c r="AE599" s="172">
        <f t="shared" si="6749"/>
        <v>0</v>
      </c>
      <c r="AF599" s="172">
        <f>报销单计算表!D11</f>
        <v>0</v>
      </c>
      <c r="AG599" s="172">
        <f>VLOOKUP($C599,'1 预算编制表单'!$C:$BJ,36,FALSE)</f>
        <v>0</v>
      </c>
      <c r="AH599" s="172">
        <f t="shared" si="6750"/>
        <v>0</v>
      </c>
      <c r="AI599" s="172">
        <f>报销单计算表!E11</f>
        <v>0</v>
      </c>
      <c r="AJ599" s="172">
        <f>VLOOKUP($C599,'1 预算编制表单'!$C:$BJ,39,FALSE)</f>
        <v>0</v>
      </c>
      <c r="AK599" s="172">
        <f t="shared" si="6751"/>
        <v>0</v>
      </c>
      <c r="AL599" s="172">
        <f>报销单计算表!F11</f>
        <v>0</v>
      </c>
      <c r="AM599" s="172">
        <f>VLOOKUP($C599,'1 预算编制表单'!$C:$BJ,42,FALSE)</f>
        <v>0</v>
      </c>
      <c r="AN599" s="172">
        <f t="shared" si="6752"/>
        <v>0</v>
      </c>
      <c r="AO599" s="172">
        <f>报销单计算表!G11</f>
        <v>0</v>
      </c>
      <c r="AP599" s="172">
        <f>VLOOKUP($C599,'1 预算编制表单'!$C:$BJ,45,FALSE)</f>
        <v>0</v>
      </c>
      <c r="AQ599" s="172">
        <f t="shared" si="6753"/>
        <v>0</v>
      </c>
      <c r="AR599" s="172">
        <f>报销单计算表!H11</f>
        <v>0</v>
      </c>
      <c r="AS599" s="172">
        <f>VLOOKUP($C599,'1 预算编制表单'!$C:$BJ,48,FALSE)</f>
        <v>0</v>
      </c>
      <c r="AT599" s="172">
        <f t="shared" si="6754"/>
        <v>0</v>
      </c>
      <c r="AU599" s="172">
        <f>报销单计算表!I11</f>
        <v>0</v>
      </c>
      <c r="AV599" s="172">
        <f>VLOOKUP($C599,'1 预算编制表单'!$C:$BJ,51,FALSE)</f>
        <v>0</v>
      </c>
      <c r="AW599" s="172">
        <f t="shared" si="6755"/>
        <v>0</v>
      </c>
      <c r="AX599" s="172">
        <f>报销单计算表!J11</f>
        <v>0</v>
      </c>
      <c r="AY599" s="172">
        <f>VLOOKUP($C599,'1 预算编制表单'!$C:$BJ,54,FALSE)</f>
        <v>0</v>
      </c>
      <c r="AZ599" s="172">
        <f t="shared" si="6756"/>
        <v>0</v>
      </c>
      <c r="BA599" s="172">
        <f>报销单计算表!K11</f>
        <v>0</v>
      </c>
      <c r="BB599" s="172">
        <f>VLOOKUP($C599,'1 预算编制表单'!$C:$BJ,57,FALSE)</f>
        <v>0</v>
      </c>
      <c r="BC599" s="172">
        <f t="shared" si="6757"/>
        <v>0</v>
      </c>
      <c r="BD599" s="172">
        <f>报销单计算表!L11</f>
        <v>0</v>
      </c>
      <c r="BE599" s="172">
        <f>VLOOKUP($C599,'1 预算编制表单'!$C:$BJ,60,FALSE)</f>
        <v>0</v>
      </c>
      <c r="BF599" s="172">
        <f t="shared" si="6758"/>
        <v>0</v>
      </c>
      <c r="BG599" s="172">
        <f>报销单计算表!M11</f>
        <v>0</v>
      </c>
      <c r="BH599" s="172">
        <f>VLOOKUP($C599,'1 预算编制表单'!$C:$BJ,27,FALSE)</f>
        <v>0</v>
      </c>
      <c r="BI599" s="172">
        <f t="shared" si="6759"/>
        <v>0</v>
      </c>
      <c r="BJ599" s="172"/>
      <c r="BK599" s="172">
        <f>VLOOKUP($C599,'1 预算编制表单'!$C:$BJ,30,FALSE)</f>
        <v>0</v>
      </c>
      <c r="BL599" s="172">
        <f t="shared" si="6760"/>
        <v>0</v>
      </c>
      <c r="BM599" s="172"/>
      <c r="BN599" s="172">
        <f>VLOOKUP($C599,'1 预算编制表单'!$C:$BJ,33,FALSE)</f>
        <v>0</v>
      </c>
      <c r="BO599" s="172">
        <f t="shared" si="6761"/>
        <v>0</v>
      </c>
      <c r="BP599" s="172"/>
      <c r="BQ599" s="172">
        <f>VLOOKUP($C599,'1 预算编制表单'!$C:$BJ,36,FALSE)</f>
        <v>0</v>
      </c>
      <c r="BR599" s="172">
        <f t="shared" si="6762"/>
        <v>0</v>
      </c>
      <c r="BS599" s="172"/>
      <c r="BT599" s="172">
        <f>VLOOKUP($C599,'1 预算编制表单'!$C:$BJ,39,FALSE)</f>
        <v>0</v>
      </c>
      <c r="BU599" s="172">
        <f t="shared" si="6763"/>
        <v>0</v>
      </c>
      <c r="BV599" s="172"/>
      <c r="BW599" s="172">
        <f>VLOOKUP($C599,'1 预算编制表单'!$C:$BJ,42,FALSE)</f>
        <v>0</v>
      </c>
      <c r="BX599" s="172">
        <f t="shared" si="6764"/>
        <v>0</v>
      </c>
      <c r="BY599" s="172"/>
      <c r="BZ599" s="172">
        <f>VLOOKUP($C599,'1 预算编制表单'!$C:$BJ,45,FALSE)</f>
        <v>0</v>
      </c>
      <c r="CA599" s="172">
        <f t="shared" si="6765"/>
        <v>0</v>
      </c>
      <c r="CB599" s="172"/>
      <c r="CC599" s="172">
        <f>VLOOKUP($C599,'1 预算编制表单'!$C:$BJ,48,FALSE)</f>
        <v>0</v>
      </c>
      <c r="CD599" s="172">
        <f t="shared" si="6766"/>
        <v>0</v>
      </c>
      <c r="CE599" s="172"/>
      <c r="CF599" s="172">
        <f>VLOOKUP($C599,'1 预算编制表单'!$C:$BJ,51,FALSE)</f>
        <v>0</v>
      </c>
      <c r="CG599" s="172">
        <f t="shared" si="6767"/>
        <v>0</v>
      </c>
      <c r="CH599" s="172"/>
      <c r="CI599" s="172">
        <f>VLOOKUP($C599,'1 预算编制表单'!$C:$BJ,54,FALSE)</f>
        <v>0</v>
      </c>
      <c r="CJ599" s="172">
        <f t="shared" si="6768"/>
        <v>0</v>
      </c>
      <c r="CK599" s="172"/>
      <c r="CL599" s="172">
        <f>VLOOKUP($C599,'1 预算编制表单'!$C:$BJ,57,FALSE)</f>
        <v>0</v>
      </c>
      <c r="CM599" s="172">
        <f t="shared" si="6769"/>
        <v>0</v>
      </c>
      <c r="CN599" s="172"/>
      <c r="CO599" s="172">
        <f>VLOOKUP($C599,'1 预算编制表单'!$C:$BJ,60,FALSE)</f>
        <v>0</v>
      </c>
      <c r="CP599" s="172">
        <f t="shared" si="6770"/>
        <v>0</v>
      </c>
      <c r="CQ599" s="172"/>
    </row>
    <row r="600" s="86" customFormat="1" ht="24" hidden="1" customHeight="1" outlineLevel="1" spans="1:95">
      <c r="A600" s="169"/>
      <c r="B600" s="170" t="s">
        <v>742</v>
      </c>
      <c r="C600" s="171" t="s">
        <v>96</v>
      </c>
      <c r="D600" s="169" t="s">
        <v>97</v>
      </c>
      <c r="E600" s="170" t="s">
        <v>2258</v>
      </c>
      <c r="F600" s="170"/>
      <c r="G600" s="170" t="s">
        <v>1799</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hidden="1" customHeight="1" outlineLevel="1" spans="1:95">
      <c r="A601" s="169"/>
      <c r="B601" s="170" t="s">
        <v>742</v>
      </c>
      <c r="C601" s="171" t="s">
        <v>92</v>
      </c>
      <c r="D601" s="169" t="s">
        <v>93</v>
      </c>
      <c r="E601" s="170" t="s">
        <v>2260</v>
      </c>
      <c r="F601" s="170" t="s">
        <v>1572</v>
      </c>
      <c r="G601" s="170" t="s">
        <v>1799</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hidden="1" customHeight="1" outlineLevel="1" spans="1:95">
      <c r="A602" s="22"/>
      <c r="B602" s="112" t="s">
        <v>742</v>
      </c>
      <c r="C602" s="113" t="s">
        <v>100</v>
      </c>
      <c r="D602" s="22" t="s">
        <v>101</v>
      </c>
      <c r="E602" s="112" t="s">
        <v>2263</v>
      </c>
      <c r="F602" s="112"/>
      <c r="G602" s="112" t="s">
        <v>1799</v>
      </c>
      <c r="H602" s="114">
        <f t="shared" si="6666"/>
        <v>0</v>
      </c>
      <c r="I602" s="114">
        <f t="shared" si="6667"/>
        <v>0</v>
      </c>
      <c r="J602" s="114">
        <f t="shared" si="6664"/>
        <v>0</v>
      </c>
      <c r="K602" s="114"/>
      <c r="L602" s="147"/>
      <c r="M602" s="147"/>
      <c r="N602" s="114"/>
      <c r="O602" s="147"/>
      <c r="P602" s="114"/>
      <c r="Q602" s="114"/>
      <c r="R602" s="114"/>
      <c r="S602" s="114"/>
      <c r="T602" s="114"/>
      <c r="U602" s="114"/>
      <c r="V602" s="114"/>
      <c r="W602" s="114"/>
      <c r="X602" s="114">
        <f>VLOOKUP($C602,'1 预算编制表单'!$C:$BJ,27,FALSE)</f>
        <v>0</v>
      </c>
      <c r="Y602" s="114">
        <f t="shared" si="6747"/>
        <v>0</v>
      </c>
      <c r="Z602" s="114"/>
      <c r="AA602" s="114">
        <f>VLOOKUP($C602,'1 预算编制表单'!$C:$BJ,30,FALSE)</f>
        <v>0</v>
      </c>
      <c r="AB602" s="114">
        <f t="shared" si="6748"/>
        <v>0</v>
      </c>
      <c r="AC602" s="114"/>
      <c r="AD602" s="114">
        <f>VLOOKUP($C602,'1 预算编制表单'!$C:$BJ,33,FALSE)</f>
        <v>0</v>
      </c>
      <c r="AE602" s="114">
        <f t="shared" si="6749"/>
        <v>0</v>
      </c>
      <c r="AF602" s="114"/>
      <c r="AG602" s="114">
        <f>VLOOKUP($C602,'1 预算编制表单'!$C:$BJ,36,FALSE)</f>
        <v>0</v>
      </c>
      <c r="AH602" s="114">
        <f t="shared" si="6750"/>
        <v>0</v>
      </c>
      <c r="AI602" s="114"/>
      <c r="AJ602" s="114">
        <f>VLOOKUP($C602,'1 预算编制表单'!$C:$BJ,39,FALSE)</f>
        <v>0</v>
      </c>
      <c r="AK602" s="114">
        <f t="shared" si="6751"/>
        <v>0</v>
      </c>
      <c r="AL602" s="114"/>
      <c r="AM602" s="114">
        <f>VLOOKUP($C602,'1 预算编制表单'!$C:$BJ,42,FALSE)</f>
        <v>0</v>
      </c>
      <c r="AN602" s="114">
        <f t="shared" si="6752"/>
        <v>0</v>
      </c>
      <c r="AO602" s="114"/>
      <c r="AP602" s="114">
        <f>VLOOKUP($C602,'1 预算编制表单'!$C:$BJ,45,FALSE)</f>
        <v>0</v>
      </c>
      <c r="AQ602" s="114">
        <f t="shared" si="6753"/>
        <v>0</v>
      </c>
      <c r="AR602" s="114"/>
      <c r="AS602" s="114">
        <f>VLOOKUP($C602,'1 预算编制表单'!$C:$BJ,48,FALSE)</f>
        <v>0</v>
      </c>
      <c r="AT602" s="114">
        <f t="shared" si="6754"/>
        <v>0</v>
      </c>
      <c r="AU602" s="114"/>
      <c r="AV602" s="114">
        <f>VLOOKUP($C602,'1 预算编制表单'!$C:$BJ,51,FALSE)</f>
        <v>0</v>
      </c>
      <c r="AW602" s="114">
        <f t="shared" si="6755"/>
        <v>0</v>
      </c>
      <c r="AX602" s="114"/>
      <c r="AY602" s="114">
        <f>VLOOKUP($C602,'1 预算编制表单'!$C:$BJ,54,FALSE)</f>
        <v>0</v>
      </c>
      <c r="AZ602" s="114">
        <f t="shared" si="6756"/>
        <v>0</v>
      </c>
      <c r="BA602" s="114"/>
      <c r="BB602" s="114">
        <f>VLOOKUP($C602,'1 预算编制表单'!$C:$BJ,57,FALSE)</f>
        <v>0</v>
      </c>
      <c r="BC602" s="114">
        <f t="shared" si="6757"/>
        <v>0</v>
      </c>
      <c r="BD602" s="114"/>
      <c r="BE602" s="114">
        <f>VLOOKUP($C602,'1 预算编制表单'!$C:$BJ,60,FALSE)</f>
        <v>0</v>
      </c>
      <c r="BF602" s="114">
        <f t="shared" si="6758"/>
        <v>0</v>
      </c>
      <c r="BG602" s="114"/>
      <c r="BH602" s="114">
        <f>VLOOKUP($C602,'1 预算编制表单'!$C:$BJ,27,FALSE)</f>
        <v>0</v>
      </c>
      <c r="BI602" s="114">
        <f t="shared" si="6759"/>
        <v>0</v>
      </c>
      <c r="BJ602" s="114"/>
      <c r="BK602" s="114">
        <f>VLOOKUP($C602,'1 预算编制表单'!$C:$BJ,30,FALSE)</f>
        <v>0</v>
      </c>
      <c r="BL602" s="114">
        <f t="shared" si="6760"/>
        <v>0</v>
      </c>
      <c r="BM602" s="114"/>
      <c r="BN602" s="114">
        <f>VLOOKUP($C602,'1 预算编制表单'!$C:$BJ,33,FALSE)</f>
        <v>0</v>
      </c>
      <c r="BO602" s="114">
        <f t="shared" si="6761"/>
        <v>0</v>
      </c>
      <c r="BP602" s="114"/>
      <c r="BQ602" s="114">
        <f>VLOOKUP($C602,'1 预算编制表单'!$C:$BJ,36,FALSE)</f>
        <v>0</v>
      </c>
      <c r="BR602" s="114">
        <f t="shared" si="6762"/>
        <v>0</v>
      </c>
      <c r="BS602" s="114"/>
      <c r="BT602" s="114">
        <f>VLOOKUP($C602,'1 预算编制表单'!$C:$BJ,39,FALSE)</f>
        <v>0</v>
      </c>
      <c r="BU602" s="114">
        <f t="shared" si="6763"/>
        <v>0</v>
      </c>
      <c r="BV602" s="114"/>
      <c r="BW602" s="114">
        <f>VLOOKUP($C602,'1 预算编制表单'!$C:$BJ,42,FALSE)</f>
        <v>0</v>
      </c>
      <c r="BX602" s="114">
        <f t="shared" si="6764"/>
        <v>0</v>
      </c>
      <c r="BY602" s="114"/>
      <c r="BZ602" s="114">
        <f>VLOOKUP($C602,'1 预算编制表单'!$C:$BJ,45,FALSE)</f>
        <v>0</v>
      </c>
      <c r="CA602" s="114">
        <f t="shared" si="6765"/>
        <v>0</v>
      </c>
      <c r="CB602" s="114"/>
      <c r="CC602" s="114">
        <f>VLOOKUP($C602,'1 预算编制表单'!$C:$BJ,48,FALSE)</f>
        <v>0</v>
      </c>
      <c r="CD602" s="114">
        <f t="shared" si="6766"/>
        <v>0</v>
      </c>
      <c r="CE602" s="114"/>
      <c r="CF602" s="114">
        <f>VLOOKUP($C602,'1 预算编制表单'!$C:$BJ,51,FALSE)</f>
        <v>0</v>
      </c>
      <c r="CG602" s="114">
        <f t="shared" si="6767"/>
        <v>0</v>
      </c>
      <c r="CH602" s="114"/>
      <c r="CI602" s="114">
        <f>VLOOKUP($C602,'1 预算编制表单'!$C:$BJ,54,FALSE)</f>
        <v>0</v>
      </c>
      <c r="CJ602" s="114">
        <f t="shared" si="6768"/>
        <v>0</v>
      </c>
      <c r="CK602" s="114"/>
      <c r="CL602" s="114">
        <f>VLOOKUP($C602,'1 预算编制表单'!$C:$BJ,57,FALSE)</f>
        <v>0</v>
      </c>
      <c r="CM602" s="114">
        <f t="shared" si="6769"/>
        <v>0</v>
      </c>
      <c r="CN602" s="114"/>
      <c r="CO602" s="114">
        <f>VLOOKUP($C602,'1 预算编制表单'!$C:$BJ,60,FALSE)</f>
        <v>0</v>
      </c>
      <c r="CP602" s="114">
        <f t="shared" si="6770"/>
        <v>0</v>
      </c>
      <c r="CQ602" s="114"/>
    </row>
    <row r="603" ht="24" customHeight="1" collapsed="1" spans="1:95">
      <c r="A603" s="108"/>
      <c r="B603" s="109" t="s">
        <v>742</v>
      </c>
      <c r="C603" s="110">
        <v>1.5</v>
      </c>
      <c r="D603" s="108" t="s">
        <v>216</v>
      </c>
      <c r="E603" s="108"/>
      <c r="F603" s="108"/>
      <c r="G603" s="109"/>
      <c r="H603" s="167">
        <f t="shared" si="6666"/>
        <v>141680.01</v>
      </c>
      <c r="I603" s="167">
        <f t="shared" si="6667"/>
        <v>132256.81</v>
      </c>
      <c r="J603" s="167">
        <f t="shared" si="6664"/>
        <v>9423.2</v>
      </c>
      <c r="K603" s="167"/>
      <c r="L603" s="168"/>
      <c r="M603" s="168"/>
      <c r="N603" s="167"/>
      <c r="O603" s="168"/>
      <c r="P603" s="167"/>
      <c r="Q603" s="167"/>
      <c r="R603" s="167"/>
      <c r="S603" s="167"/>
      <c r="T603" s="167"/>
      <c r="U603" s="167"/>
      <c r="V603" s="167"/>
      <c r="W603" s="167"/>
      <c r="X603" s="167">
        <f>VLOOKUP($C603,'1 预算编制表单'!$C:$BJ,27,FALSE)</f>
        <v>44806.6675</v>
      </c>
      <c r="Y603" s="167">
        <f t="shared" ref="Y603:BG603" si="6771">Y604+Y605+Y608+Y609+Y611+Y612+Y613+Y614+Y615</f>
        <v>44806.6675</v>
      </c>
      <c r="Z603" s="167">
        <f t="shared" si="6771"/>
        <v>0</v>
      </c>
      <c r="AA603" s="167">
        <f>VLOOKUP($C603,'1 预算编制表单'!$C:$BJ,30,FALSE)</f>
        <v>8806.6675</v>
      </c>
      <c r="AB603" s="167">
        <f t="shared" si="6771"/>
        <v>8806.6675</v>
      </c>
      <c r="AC603" s="167">
        <f t="shared" si="6771"/>
        <v>0</v>
      </c>
      <c r="AD603" s="167">
        <f>VLOOKUP($C603,'1 预算编制表单'!$C:$BJ,33,FALSE)</f>
        <v>8806.6675</v>
      </c>
      <c r="AE603" s="167">
        <f t="shared" si="6771"/>
        <v>4095.0675</v>
      </c>
      <c r="AF603" s="167">
        <f t="shared" si="6771"/>
        <v>4711.6</v>
      </c>
      <c r="AG603" s="167">
        <f>VLOOKUP($C603,'1 预算编制表单'!$C:$BJ,36,FALSE)</f>
        <v>8806.6675</v>
      </c>
      <c r="AH603" s="167">
        <f t="shared" si="6771"/>
        <v>8806.6675</v>
      </c>
      <c r="AI603" s="167">
        <f t="shared" si="6771"/>
        <v>0</v>
      </c>
      <c r="AJ603" s="167">
        <f>VLOOKUP($C603,'1 预算编制表单'!$C:$BJ,39,FALSE)</f>
        <v>8806.6675</v>
      </c>
      <c r="AK603" s="167">
        <f t="shared" si="6771"/>
        <v>8806.6675</v>
      </c>
      <c r="AL603" s="167">
        <f t="shared" si="6771"/>
        <v>0</v>
      </c>
      <c r="AM603" s="167">
        <f>VLOOKUP($C603,'1 预算编制表单'!$C:$BJ,42,FALSE)</f>
        <v>8806.6675</v>
      </c>
      <c r="AN603" s="167">
        <f t="shared" si="6771"/>
        <v>4095.0675</v>
      </c>
      <c r="AO603" s="167">
        <f t="shared" si="6771"/>
        <v>4711.6</v>
      </c>
      <c r="AP603" s="167">
        <f>VLOOKUP($C603,'1 预算编制表单'!$C:$BJ,45,FALSE)</f>
        <v>8806.6675</v>
      </c>
      <c r="AQ603" s="167">
        <f t="shared" si="6771"/>
        <v>8806.6675</v>
      </c>
      <c r="AR603" s="167">
        <f t="shared" si="6771"/>
        <v>0</v>
      </c>
      <c r="AS603" s="167">
        <f>VLOOKUP($C603,'1 预算编制表单'!$C:$BJ,48,FALSE)</f>
        <v>8806.6675</v>
      </c>
      <c r="AT603" s="167">
        <f t="shared" si="6771"/>
        <v>8806.6675</v>
      </c>
      <c r="AU603" s="167">
        <f t="shared" si="6771"/>
        <v>0</v>
      </c>
      <c r="AV603" s="167">
        <f>VLOOKUP($C603,'1 预算编制表单'!$C:$BJ,51,FALSE)</f>
        <v>8806.6675</v>
      </c>
      <c r="AW603" s="167">
        <f t="shared" si="6771"/>
        <v>8806.6675</v>
      </c>
      <c r="AX603" s="167">
        <f t="shared" si="6771"/>
        <v>0</v>
      </c>
      <c r="AY603" s="167">
        <f>VLOOKUP($C603,'1 预算编制表单'!$C:$BJ,54,FALSE)</f>
        <v>8806.6675</v>
      </c>
      <c r="AZ603" s="167">
        <f t="shared" si="6771"/>
        <v>8806.6675</v>
      </c>
      <c r="BA603" s="167">
        <f t="shared" si="6771"/>
        <v>0</v>
      </c>
      <c r="BB603" s="167">
        <f>VLOOKUP($C603,'1 预算编制表单'!$C:$BJ,57,FALSE)</f>
        <v>8806.6675</v>
      </c>
      <c r="BC603" s="167">
        <f t="shared" si="6771"/>
        <v>8806.6675</v>
      </c>
      <c r="BD603" s="167">
        <f t="shared" si="6771"/>
        <v>0</v>
      </c>
      <c r="BE603" s="167">
        <f>VLOOKUP($C603,'1 预算编制表单'!$C:$BJ,60,FALSE)</f>
        <v>8806.6675</v>
      </c>
      <c r="BF603" s="167">
        <f t="shared" si="6771"/>
        <v>8806.6675</v>
      </c>
      <c r="BG603" s="167">
        <f t="shared" si="6771"/>
        <v>0</v>
      </c>
      <c r="BH603" s="167">
        <f>VLOOKUP($C603,'1 预算编制表单'!$C:$BJ,27,FALSE)</f>
        <v>44806.6675</v>
      </c>
      <c r="BI603" s="167">
        <f t="shared" ref="BI603:BM603" si="6772">BI604+BI605+BI608+BI609+BI611+BI612+BI613+BI614+BI615</f>
        <v>44806.6675</v>
      </c>
      <c r="BJ603" s="167">
        <f t="shared" si="6772"/>
        <v>0</v>
      </c>
      <c r="BK603" s="167">
        <f>VLOOKUP($C603,'1 预算编制表单'!$C:$BJ,30,FALSE)</f>
        <v>8806.6675</v>
      </c>
      <c r="BL603" s="167">
        <f t="shared" si="6772"/>
        <v>8806.6675</v>
      </c>
      <c r="BM603" s="167">
        <f t="shared" si="6772"/>
        <v>0</v>
      </c>
      <c r="BN603" s="167">
        <f>VLOOKUP($C603,'1 预算编制表单'!$C:$BJ,33,FALSE)</f>
        <v>8806.6675</v>
      </c>
      <c r="BO603" s="167">
        <f t="shared" ref="BO603:BS603" si="6773">BO604+BO605+BO608+BO609+BO611+BO612+BO613+BO614+BO615</f>
        <v>8806.6675</v>
      </c>
      <c r="BP603" s="167">
        <f t="shared" si="6773"/>
        <v>0</v>
      </c>
      <c r="BQ603" s="167">
        <f>VLOOKUP($C603,'1 预算编制表单'!$C:$BJ,36,FALSE)</f>
        <v>8806.6675</v>
      </c>
      <c r="BR603" s="167">
        <f t="shared" si="6773"/>
        <v>8806.6675</v>
      </c>
      <c r="BS603" s="167">
        <f t="shared" si="6773"/>
        <v>0</v>
      </c>
      <c r="BT603" s="167">
        <f>VLOOKUP($C603,'1 预算编制表单'!$C:$BJ,39,FALSE)</f>
        <v>8806.6675</v>
      </c>
      <c r="BU603" s="167">
        <f t="shared" ref="BU603:BY603" si="6774">BU604+BU605+BU608+BU609+BU611+BU612+BU613+BU614+BU615</f>
        <v>8806.6675</v>
      </c>
      <c r="BV603" s="167">
        <f t="shared" si="6774"/>
        <v>0</v>
      </c>
      <c r="BW603" s="167">
        <f>VLOOKUP($C603,'1 预算编制表单'!$C:$BJ,42,FALSE)</f>
        <v>8806.6675</v>
      </c>
      <c r="BX603" s="167">
        <f t="shared" si="6774"/>
        <v>8806.6675</v>
      </c>
      <c r="BY603" s="167">
        <f t="shared" si="6774"/>
        <v>0</v>
      </c>
      <c r="BZ603" s="167">
        <f>VLOOKUP($C603,'1 预算编制表单'!$C:$BJ,45,FALSE)</f>
        <v>8806.6675</v>
      </c>
      <c r="CA603" s="167">
        <f t="shared" ref="CA603:CE603" si="6775">CA604+CA605+CA608+CA609+CA611+CA612+CA613+CA614+CA615</f>
        <v>8806.6675</v>
      </c>
      <c r="CB603" s="167">
        <f t="shared" si="6775"/>
        <v>0</v>
      </c>
      <c r="CC603" s="167">
        <f>VLOOKUP($C603,'1 预算编制表单'!$C:$BJ,48,FALSE)</f>
        <v>8806.6675</v>
      </c>
      <c r="CD603" s="167">
        <f t="shared" si="6775"/>
        <v>8806.6675</v>
      </c>
      <c r="CE603" s="167">
        <f t="shared" si="6775"/>
        <v>0</v>
      </c>
      <c r="CF603" s="167">
        <f>VLOOKUP($C603,'1 预算编制表单'!$C:$BJ,51,FALSE)</f>
        <v>8806.6675</v>
      </c>
      <c r="CG603" s="167">
        <f t="shared" ref="CG603:CK603" si="6776">CG604+CG605+CG608+CG609+CG611+CG612+CG613+CG614+CG615</f>
        <v>8806.6675</v>
      </c>
      <c r="CH603" s="167">
        <f t="shared" si="6776"/>
        <v>0</v>
      </c>
      <c r="CI603" s="167">
        <f>VLOOKUP($C603,'1 预算编制表单'!$C:$BJ,54,FALSE)</f>
        <v>8806.6675</v>
      </c>
      <c r="CJ603" s="167">
        <f t="shared" si="6776"/>
        <v>8806.6675</v>
      </c>
      <c r="CK603" s="167">
        <f t="shared" si="6776"/>
        <v>0</v>
      </c>
      <c r="CL603" s="167">
        <f>VLOOKUP($C603,'1 预算编制表单'!$C:$BJ,57,FALSE)</f>
        <v>8806.6675</v>
      </c>
      <c r="CM603" s="167">
        <f t="shared" ref="CM603:CQ603" si="6777">CM604+CM605+CM608+CM609+CM611+CM612+CM613+CM614+CM615</f>
        <v>8806.6675</v>
      </c>
      <c r="CN603" s="167">
        <f t="shared" si="6777"/>
        <v>0</v>
      </c>
      <c r="CO603" s="167">
        <f>VLOOKUP($C603,'1 预算编制表单'!$C:$BJ,60,FALSE)</f>
        <v>8806.6675</v>
      </c>
      <c r="CP603" s="167">
        <f t="shared" si="6777"/>
        <v>8806.6675</v>
      </c>
      <c r="CQ603" s="167">
        <f t="shared" si="6777"/>
        <v>0</v>
      </c>
    </row>
    <row r="604" ht="24" hidden="1" customHeight="1" outlineLevel="1" spans="1:95">
      <c r="A604" s="22"/>
      <c r="B604" s="112" t="s">
        <v>742</v>
      </c>
      <c r="C604" s="113" t="s">
        <v>135</v>
      </c>
      <c r="D604" s="22" t="s">
        <v>136</v>
      </c>
      <c r="E604" s="112" t="s">
        <v>2264</v>
      </c>
      <c r="F604" s="112"/>
      <c r="G604" s="112" t="s">
        <v>891</v>
      </c>
      <c r="H604" s="114">
        <f t="shared" si="6666"/>
        <v>36000</v>
      </c>
      <c r="I604" s="114">
        <f t="shared" si="6667"/>
        <v>36000</v>
      </c>
      <c r="J604" s="114">
        <f t="shared" si="6664"/>
        <v>0</v>
      </c>
      <c r="K604" s="114"/>
      <c r="L604" s="147"/>
      <c r="M604" s="147"/>
      <c r="N604" s="114"/>
      <c r="O604" s="147"/>
      <c r="P604" s="114"/>
      <c r="Q604" s="114"/>
      <c r="R604" s="114"/>
      <c r="S604" s="114"/>
      <c r="T604" s="114"/>
      <c r="U604" s="114"/>
      <c r="V604" s="114"/>
      <c r="W604" s="114"/>
      <c r="X604" s="114">
        <f>VLOOKUP($C604,'1 预算编制表单'!$C:$BJ,27,FALSE)</f>
        <v>36000</v>
      </c>
      <c r="Y604" s="114">
        <f>X604-Z604</f>
        <v>36000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36000</v>
      </c>
      <c r="BI604" s="114">
        <f>BH604-BJ604</f>
        <v>36000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hidden="1" customHeight="1" outlineLevel="1" collapsed="1" spans="1:95">
      <c r="A605" s="22"/>
      <c r="B605" s="112" t="s">
        <v>742</v>
      </c>
      <c r="C605" s="113" t="s">
        <v>137</v>
      </c>
      <c r="D605" s="22" t="s">
        <v>2798</v>
      </c>
      <c r="E605" s="112" t="s">
        <v>2265</v>
      </c>
      <c r="F605" s="112"/>
      <c r="G605" s="112" t="s">
        <v>1799</v>
      </c>
      <c r="H605" s="114">
        <f t="shared" si="6666"/>
        <v>2232</v>
      </c>
      <c r="I605" s="114">
        <f t="shared" si="6667"/>
        <v>-7191.2</v>
      </c>
      <c r="J605" s="114">
        <f t="shared" si="6664"/>
        <v>9423.2</v>
      </c>
      <c r="K605" s="114"/>
      <c r="L605" s="147"/>
      <c r="M605" s="147"/>
      <c r="N605" s="114"/>
      <c r="O605" s="147"/>
      <c r="P605" s="114"/>
      <c r="Q605" s="114"/>
      <c r="R605" s="114"/>
      <c r="S605" s="114"/>
      <c r="T605" s="114"/>
      <c r="U605" s="114"/>
      <c r="V605" s="114"/>
      <c r="W605" s="114"/>
      <c r="X605" s="117">
        <f>SUM(X606:X607)</f>
        <v>186</v>
      </c>
      <c r="Y605" s="117">
        <f>X605-Z605</f>
        <v>186</v>
      </c>
      <c r="Z605" s="117">
        <f>SUM(Z606:Z607)</f>
        <v>0</v>
      </c>
      <c r="AA605" s="117">
        <f>AA606</f>
        <v>186</v>
      </c>
      <c r="AB605" s="117">
        <f>AA605-AC605</f>
        <v>186</v>
      </c>
      <c r="AC605" s="117">
        <f>SUM(AC606:AC607)</f>
        <v>0</v>
      </c>
      <c r="AD605" s="117">
        <f>AD606</f>
        <v>186</v>
      </c>
      <c r="AE605" s="117">
        <f>AD605-AF605</f>
        <v>-4525.6</v>
      </c>
      <c r="AF605" s="117">
        <f>SUM(AF606:AF607)</f>
        <v>4711.6</v>
      </c>
      <c r="AG605" s="117">
        <f>AG606</f>
        <v>186</v>
      </c>
      <c r="AH605" s="117">
        <f>AG605-AI605</f>
        <v>186</v>
      </c>
      <c r="AI605" s="117">
        <f>SUM(AI606:AI607)</f>
        <v>0</v>
      </c>
      <c r="AJ605" s="117">
        <f>AJ606</f>
        <v>186</v>
      </c>
      <c r="AK605" s="117">
        <f>AJ605-AL605</f>
        <v>186</v>
      </c>
      <c r="AL605" s="117">
        <f>SUM(AL606:AL607)</f>
        <v>0</v>
      </c>
      <c r="AM605" s="117">
        <f>AM606</f>
        <v>186</v>
      </c>
      <c r="AN605" s="117">
        <f>AM605-AO605</f>
        <v>-4525.6</v>
      </c>
      <c r="AO605" s="117">
        <f>SUM(AO606:AO607)</f>
        <v>4711.6</v>
      </c>
      <c r="AP605" s="117">
        <f>AP606</f>
        <v>186</v>
      </c>
      <c r="AQ605" s="117">
        <f>AP605-AR605</f>
        <v>186</v>
      </c>
      <c r="AR605" s="117">
        <f>SUM(AR606:AR607)</f>
        <v>0</v>
      </c>
      <c r="AS605" s="117">
        <f>AS606</f>
        <v>186</v>
      </c>
      <c r="AT605" s="117">
        <f>AS605-AU605</f>
        <v>186</v>
      </c>
      <c r="AU605" s="117">
        <f>SUM(AU606:AU607)</f>
        <v>0</v>
      </c>
      <c r="AV605" s="117">
        <f>AV606</f>
        <v>186</v>
      </c>
      <c r="AW605" s="117">
        <f>AV605-AX605</f>
        <v>186</v>
      </c>
      <c r="AX605" s="117">
        <f>SUM(AX606:AX607)</f>
        <v>0</v>
      </c>
      <c r="AY605" s="117">
        <f>AY606</f>
        <v>186</v>
      </c>
      <c r="AZ605" s="117">
        <f>AY605-BA605</f>
        <v>186</v>
      </c>
      <c r="BA605" s="117">
        <f>SUM(BA606:BA607)</f>
        <v>0</v>
      </c>
      <c r="BB605" s="117">
        <f>BB606</f>
        <v>186</v>
      </c>
      <c r="BC605" s="117">
        <f>BB605-BD605</f>
        <v>186</v>
      </c>
      <c r="BD605" s="117">
        <f>SUM(BD606:BD607)</f>
        <v>0</v>
      </c>
      <c r="BE605" s="117">
        <f>BE606</f>
        <v>186</v>
      </c>
      <c r="BF605" s="117">
        <f>BE605-BG605</f>
        <v>186</v>
      </c>
      <c r="BG605" s="117">
        <f>SUM(BG606:BG607)</f>
        <v>0</v>
      </c>
      <c r="BH605" s="114">
        <f>VLOOKUP($C605,'1 预算编制表单'!$C:$BJ,27,FALSE)</f>
        <v>186</v>
      </c>
      <c r="BI605" s="114">
        <f>BH605-BJ605</f>
        <v>186</v>
      </c>
      <c r="BJ605" s="114"/>
      <c r="BK605" s="114">
        <f>VLOOKUP($C605,'1 预算编制表单'!$C:$BJ,30,FALSE)</f>
        <v>186</v>
      </c>
      <c r="BL605" s="114">
        <f>BK605-BM605</f>
        <v>186</v>
      </c>
      <c r="BM605" s="114"/>
      <c r="BN605" s="114">
        <f>VLOOKUP($C605,'1 预算编制表单'!$C:$BJ,33,FALSE)</f>
        <v>186</v>
      </c>
      <c r="BO605" s="114">
        <f>BN605-BP605</f>
        <v>186</v>
      </c>
      <c r="BP605" s="114"/>
      <c r="BQ605" s="114">
        <f>VLOOKUP($C605,'1 预算编制表单'!$C:$BJ,36,FALSE)</f>
        <v>186</v>
      </c>
      <c r="BR605" s="114">
        <f>BQ605-BS605</f>
        <v>186</v>
      </c>
      <c r="BS605" s="114"/>
      <c r="BT605" s="114">
        <f>VLOOKUP($C605,'1 预算编制表单'!$C:$BJ,39,FALSE)</f>
        <v>186</v>
      </c>
      <c r="BU605" s="114">
        <f>BT605-BV605</f>
        <v>186</v>
      </c>
      <c r="BV605" s="114"/>
      <c r="BW605" s="114">
        <f>VLOOKUP($C605,'1 预算编制表单'!$C:$BJ,42,FALSE)</f>
        <v>186</v>
      </c>
      <c r="BX605" s="114">
        <f>BW605-BY605</f>
        <v>186</v>
      </c>
      <c r="BY605" s="114"/>
      <c r="BZ605" s="114">
        <f>VLOOKUP($C605,'1 预算编制表单'!$C:$BJ,45,FALSE)</f>
        <v>186</v>
      </c>
      <c r="CA605" s="114">
        <f>BZ605-CB605</f>
        <v>186</v>
      </c>
      <c r="CB605" s="114"/>
      <c r="CC605" s="114">
        <f>VLOOKUP($C605,'1 预算编制表单'!$C:$BJ,48,FALSE)</f>
        <v>186</v>
      </c>
      <c r="CD605" s="114">
        <f>CC605-CE605</f>
        <v>186</v>
      </c>
      <c r="CE605" s="114"/>
      <c r="CF605" s="114">
        <f>VLOOKUP($C605,'1 预算编制表单'!$C:$BJ,51,FALSE)</f>
        <v>186</v>
      </c>
      <c r="CG605" s="114">
        <f>CF605-CH605</f>
        <v>186</v>
      </c>
      <c r="CH605" s="114"/>
      <c r="CI605" s="114">
        <f>VLOOKUP($C605,'1 预算编制表单'!$C:$BJ,54,FALSE)</f>
        <v>186</v>
      </c>
      <c r="CJ605" s="114">
        <f>CI605-CK605</f>
        <v>186</v>
      </c>
      <c r="CK605" s="114"/>
      <c r="CL605" s="114">
        <f>VLOOKUP($C605,'1 预算编制表单'!$C:$BJ,57,FALSE)</f>
        <v>186</v>
      </c>
      <c r="CM605" s="114">
        <f>CL605-CN605</f>
        <v>186</v>
      </c>
      <c r="CN605" s="114"/>
      <c r="CO605" s="114">
        <f>VLOOKUP($C605,'1 预算编制表单'!$C:$BJ,60,FALSE)</f>
        <v>186</v>
      </c>
      <c r="CP605" s="114">
        <f>CO605-CQ605</f>
        <v>186</v>
      </c>
      <c r="CQ605" s="114"/>
    </row>
    <row r="606" s="85" customFormat="1" ht="24" hidden="1" customHeight="1" outlineLevel="2" spans="1:95">
      <c r="A606" s="131"/>
      <c r="B606" s="132"/>
      <c r="C606" s="133" t="s">
        <v>2799</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186</v>
      </c>
      <c r="Y606" s="134">
        <f>X606-Z606</f>
        <v>186</v>
      </c>
      <c r="Z606" s="134">
        <f>SUMIF(物资过程计算表!$B:$B,$C605,物资过程计算表!$D:$D)</f>
        <v>0</v>
      </c>
      <c r="AA606" s="134">
        <f>VLOOKUP($C605,'1 预算编制表单'!$C:$BJ,30,FALSE)</f>
        <v>186</v>
      </c>
      <c r="AB606" s="134"/>
      <c r="AC606" s="134">
        <f>SUMIF(物资过程计算表!$B:$B,$C605,物资过程计算表!E:E)</f>
        <v>0</v>
      </c>
      <c r="AD606" s="134">
        <f>VLOOKUP($C605,'1 预算编制表单'!$C:$BJ,33,FALSE)</f>
        <v>186</v>
      </c>
      <c r="AE606" s="134"/>
      <c r="AF606" s="134">
        <f>SUMIF(物资过程计算表!$B:$B,$C605,物资过程计算表!F:F)</f>
        <v>4711.6</v>
      </c>
      <c r="AG606" s="134">
        <f>VLOOKUP($C605,'1 预算编制表单'!$C:$BJ,36,FALSE)</f>
        <v>186</v>
      </c>
      <c r="AH606" s="134"/>
      <c r="AI606" s="134">
        <f>SUMIF(物资过程计算表!$B:$B,$C605,物资过程计算表!G:G)</f>
        <v>0</v>
      </c>
      <c r="AJ606" s="134">
        <f>VLOOKUP($C605,'1 预算编制表单'!$C:$BJ,39,FALSE)</f>
        <v>186</v>
      </c>
      <c r="AK606" s="134"/>
      <c r="AL606" s="134">
        <f>SUMIF(物资过程计算表!$B:$B,$C605,物资过程计算表!H:H)</f>
        <v>0</v>
      </c>
      <c r="AM606" s="134">
        <f>VLOOKUP($C605,'1 预算编制表单'!$C:$BJ,42,FALSE)</f>
        <v>186</v>
      </c>
      <c r="AN606" s="134"/>
      <c r="AO606" s="134">
        <f>SUMIF(物资过程计算表!$B:$B,$C605,物资过程计算表!I:I)</f>
        <v>4711.6</v>
      </c>
      <c r="AP606" s="134">
        <f>VLOOKUP($C605,'1 预算编制表单'!$C:$BJ,45,FALSE)</f>
        <v>186</v>
      </c>
      <c r="AQ606" s="134"/>
      <c r="AR606" s="134">
        <f>SUMIF(物资过程计算表!$B:$B,$C605,物资过程计算表!J:J)</f>
        <v>0</v>
      </c>
      <c r="AS606" s="134">
        <f>VLOOKUP($C605,'1 预算编制表单'!$C:$BJ,48,FALSE)</f>
        <v>186</v>
      </c>
      <c r="AT606" s="134"/>
      <c r="AU606" s="134">
        <f>SUMIF(物资过程计算表!$B:$B,$C605,物资过程计算表!K:K)</f>
        <v>0</v>
      </c>
      <c r="AV606" s="134">
        <f>VLOOKUP($C605,'1 预算编制表单'!$C:$BJ,51,FALSE)</f>
        <v>186</v>
      </c>
      <c r="AW606" s="134"/>
      <c r="AX606" s="134">
        <f>SUMIF(物资过程计算表!$B:$B,$C605,物资过程计算表!L:L)</f>
        <v>0</v>
      </c>
      <c r="AY606" s="134">
        <f>VLOOKUP($C605,'1 预算编制表单'!$C:$BJ,54,FALSE)</f>
        <v>186</v>
      </c>
      <c r="AZ606" s="134"/>
      <c r="BA606" s="134">
        <f>SUMIF(物资过程计算表!$B:$B,$C605,物资过程计算表!M:M)</f>
        <v>0</v>
      </c>
      <c r="BB606" s="134">
        <f>VLOOKUP($C605,'1 预算编制表单'!$C:$BJ,57,FALSE)</f>
        <v>186</v>
      </c>
      <c r="BC606" s="134"/>
      <c r="BD606" s="134">
        <f>SUMIF(物资过程计算表!$B:$B,$C605,物资过程计算表!N:N)</f>
        <v>0</v>
      </c>
      <c r="BE606" s="134">
        <f>VLOOKUP($C605,'1 预算编制表单'!$C:$BJ,60,FALSE)</f>
        <v>186</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hidden="1" customHeight="1" outlineLevel="2" spans="1:95">
      <c r="A607" s="131"/>
      <c r="B607" s="132"/>
      <c r="C607" s="133" t="s">
        <v>2800</v>
      </c>
      <c r="D607" s="131" t="s">
        <v>2801</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0</v>
      </c>
      <c r="AA607" s="134"/>
      <c r="AB607" s="134"/>
      <c r="AC607" s="134">
        <f>报销单计算表!C2</f>
        <v>0</v>
      </c>
      <c r="AD607" s="134"/>
      <c r="AE607" s="134"/>
      <c r="AF607" s="134">
        <f>报销单计算表!D2</f>
        <v>0</v>
      </c>
      <c r="AG607" s="134"/>
      <c r="AH607" s="134"/>
      <c r="AI607" s="134">
        <f>报销单计算表!E2</f>
        <v>0</v>
      </c>
      <c r="AJ607" s="134"/>
      <c r="AK607" s="134"/>
      <c r="AL607" s="134">
        <f>报销单计算表!F2</f>
        <v>0</v>
      </c>
      <c r="AM607" s="134"/>
      <c r="AN607" s="134"/>
      <c r="AO607" s="134">
        <f>报销单计算表!G2</f>
        <v>0</v>
      </c>
      <c r="AP607" s="134"/>
      <c r="AQ607" s="134"/>
      <c r="AR607" s="134">
        <f>报销单计算表!H2</f>
        <v>0</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hidden="1" customHeight="1" outlineLevel="1" spans="1:95">
      <c r="A608" s="169"/>
      <c r="B608" s="170" t="s">
        <v>742</v>
      </c>
      <c r="C608" s="171" t="s">
        <v>141</v>
      </c>
      <c r="D608" s="169" t="s">
        <v>142</v>
      </c>
      <c r="E608" s="170" t="s">
        <v>2266</v>
      </c>
      <c r="F608" s="170"/>
      <c r="G608" s="170" t="s">
        <v>1799</v>
      </c>
      <c r="H608" s="172">
        <f t="shared" ref="H608:J609" si="6778">X608+AA608+AD608+AG608+AJ608+AM608+AP608+AS608+AV608+AY608+BB608+BE608</f>
        <v>43220.01</v>
      </c>
      <c r="I608" s="172">
        <f t="shared" si="6778"/>
        <v>43220.01</v>
      </c>
      <c r="J608" s="172">
        <f t="shared" si="6778"/>
        <v>0</v>
      </c>
      <c r="K608" s="172"/>
      <c r="L608" s="173"/>
      <c r="M608" s="173"/>
      <c r="N608" s="172"/>
      <c r="O608" s="173"/>
      <c r="P608" s="172"/>
      <c r="Q608" s="172"/>
      <c r="R608" s="172"/>
      <c r="S608" s="172"/>
      <c r="T608" s="172"/>
      <c r="U608" s="172"/>
      <c r="V608" s="172"/>
      <c r="W608" s="172"/>
      <c r="X608" s="172">
        <f>VLOOKUP($C608,'1 预算编制表单'!$C:$BJ,27,FALSE)</f>
        <v>3601.6675</v>
      </c>
      <c r="Y608" s="172">
        <f>X608-Z608</f>
        <v>3601.6675</v>
      </c>
      <c r="Z608" s="172">
        <f>报销单计算表!B5</f>
        <v>0</v>
      </c>
      <c r="AA608" s="172">
        <f>VLOOKUP($C608,'1 预算编制表单'!$C:$BJ,30,FALSE)</f>
        <v>3601.6675</v>
      </c>
      <c r="AB608" s="172">
        <f>AA608-AC608</f>
        <v>3601.6675</v>
      </c>
      <c r="AC608" s="172">
        <f>报销单计算表!C5</f>
        <v>0</v>
      </c>
      <c r="AD608" s="172">
        <f>VLOOKUP($C608,'1 预算编制表单'!$C:$BJ,33,FALSE)</f>
        <v>3601.6675</v>
      </c>
      <c r="AE608" s="172">
        <f>AD608-AF608</f>
        <v>3601.6675</v>
      </c>
      <c r="AF608" s="172">
        <f>报销单计算表!D5</f>
        <v>0</v>
      </c>
      <c r="AG608" s="172">
        <f>VLOOKUP($C608,'1 预算编制表单'!$C:$BJ,36,FALSE)</f>
        <v>3601.6675</v>
      </c>
      <c r="AH608" s="172">
        <f>AG608-AI608</f>
        <v>3601.6675</v>
      </c>
      <c r="AI608" s="172">
        <f>报销单计算表!E5</f>
        <v>0</v>
      </c>
      <c r="AJ608" s="172">
        <f>VLOOKUP($C608,'1 预算编制表单'!$C:$BJ,39,FALSE)</f>
        <v>3601.6675</v>
      </c>
      <c r="AK608" s="172">
        <f>AJ608-AL608</f>
        <v>3601.6675</v>
      </c>
      <c r="AL608" s="172">
        <f>报销单计算表!F5</f>
        <v>0</v>
      </c>
      <c r="AM608" s="172">
        <f>VLOOKUP($C608,'1 预算编制表单'!$C:$BJ,42,FALSE)</f>
        <v>3601.6675</v>
      </c>
      <c r="AN608" s="172">
        <f>AM608-AO608</f>
        <v>3601.6675</v>
      </c>
      <c r="AO608" s="172">
        <f>报销单计算表!G5</f>
        <v>0</v>
      </c>
      <c r="AP608" s="172">
        <f>VLOOKUP($C608,'1 预算编制表单'!$C:$BJ,45,FALSE)</f>
        <v>3601.6675</v>
      </c>
      <c r="AQ608" s="172">
        <f>AP608-AR608</f>
        <v>3601.6675</v>
      </c>
      <c r="AR608" s="172">
        <f>报销单计算表!H5</f>
        <v>0</v>
      </c>
      <c r="AS608" s="172">
        <f>VLOOKUP($C608,'1 预算编制表单'!$C:$BJ,48,FALSE)</f>
        <v>3601.6675</v>
      </c>
      <c r="AT608" s="172">
        <f>AS608-AU608</f>
        <v>3601.6675</v>
      </c>
      <c r="AU608" s="172">
        <f>报销单计算表!I5</f>
        <v>0</v>
      </c>
      <c r="AV608" s="172">
        <f>VLOOKUP($C608,'1 预算编制表单'!$C:$BJ,51,FALSE)</f>
        <v>3601.6675</v>
      </c>
      <c r="AW608" s="172">
        <f>AV608-AX608</f>
        <v>3601.6675</v>
      </c>
      <c r="AX608" s="172">
        <f>报销单计算表!J5</f>
        <v>0</v>
      </c>
      <c r="AY608" s="172">
        <f>VLOOKUP($C608,'1 预算编制表单'!$C:$BJ,54,FALSE)</f>
        <v>3601.6675</v>
      </c>
      <c r="AZ608" s="172">
        <f>AY608-BA608</f>
        <v>3601.6675</v>
      </c>
      <c r="BA608" s="172">
        <f>报销单计算表!K5</f>
        <v>0</v>
      </c>
      <c r="BB608" s="172">
        <f>VLOOKUP($C608,'1 预算编制表单'!$C:$BJ,57,FALSE)</f>
        <v>3601.6675</v>
      </c>
      <c r="BC608" s="172">
        <f>BB608-BD608</f>
        <v>3601.6675</v>
      </c>
      <c r="BD608" s="172">
        <f>报销单计算表!L5</f>
        <v>0</v>
      </c>
      <c r="BE608" s="172">
        <f>VLOOKUP($C608,'1 预算编制表单'!$C:$BJ,60,FALSE)</f>
        <v>3601.6675</v>
      </c>
      <c r="BF608" s="172">
        <f>BE608-BG608</f>
        <v>3601.6675</v>
      </c>
      <c r="BG608" s="172">
        <f>报销单计算表!M5</f>
        <v>0</v>
      </c>
      <c r="BH608" s="172">
        <f>VLOOKUP($C608,'1 预算编制表单'!$C:$BJ,27,FALSE)</f>
        <v>3601.6675</v>
      </c>
      <c r="BI608" s="172">
        <f>BH608-BJ608</f>
        <v>3601.6675</v>
      </c>
      <c r="BJ608" s="172"/>
      <c r="BK608" s="172">
        <f>VLOOKUP($C608,'1 预算编制表单'!$C:$BJ,30,FALSE)</f>
        <v>3601.6675</v>
      </c>
      <c r="BL608" s="172">
        <f>BK608-BM608</f>
        <v>3601.6675</v>
      </c>
      <c r="BM608" s="172"/>
      <c r="BN608" s="172">
        <f>VLOOKUP($C608,'1 预算编制表单'!$C:$BJ,33,FALSE)</f>
        <v>3601.6675</v>
      </c>
      <c r="BO608" s="172">
        <f>BN608-BP608</f>
        <v>3601.6675</v>
      </c>
      <c r="BP608" s="172"/>
      <c r="BQ608" s="172">
        <f>VLOOKUP($C608,'1 预算编制表单'!$C:$BJ,36,FALSE)</f>
        <v>3601.6675</v>
      </c>
      <c r="BR608" s="172">
        <f>BQ608-BS608</f>
        <v>3601.6675</v>
      </c>
      <c r="BS608" s="172"/>
      <c r="BT608" s="172">
        <f>VLOOKUP($C608,'1 预算编制表单'!$C:$BJ,39,FALSE)</f>
        <v>3601.6675</v>
      </c>
      <c r="BU608" s="172">
        <f>BT608-BV608</f>
        <v>3601.6675</v>
      </c>
      <c r="BV608" s="172"/>
      <c r="BW608" s="172">
        <f>VLOOKUP($C608,'1 预算编制表单'!$C:$BJ,42,FALSE)</f>
        <v>3601.6675</v>
      </c>
      <c r="BX608" s="172">
        <f>BW608-BY608</f>
        <v>3601.6675</v>
      </c>
      <c r="BY608" s="172"/>
      <c r="BZ608" s="172">
        <f>VLOOKUP($C608,'1 预算编制表单'!$C:$BJ,45,FALSE)</f>
        <v>3601.6675</v>
      </c>
      <c r="CA608" s="172">
        <f>BZ608-CB608</f>
        <v>3601.6675</v>
      </c>
      <c r="CB608" s="172"/>
      <c r="CC608" s="172">
        <f>VLOOKUP($C608,'1 预算编制表单'!$C:$BJ,48,FALSE)</f>
        <v>3601.6675</v>
      </c>
      <c r="CD608" s="172">
        <f>CC608-CE608</f>
        <v>3601.6675</v>
      </c>
      <c r="CE608" s="172"/>
      <c r="CF608" s="172">
        <f>VLOOKUP($C608,'1 预算编制表单'!$C:$BJ,51,FALSE)</f>
        <v>3601.6675</v>
      </c>
      <c r="CG608" s="172">
        <f>CF608-CH608</f>
        <v>3601.6675</v>
      </c>
      <c r="CH608" s="172"/>
      <c r="CI608" s="172">
        <f>VLOOKUP($C608,'1 预算编制表单'!$C:$BJ,54,FALSE)</f>
        <v>3601.6675</v>
      </c>
      <c r="CJ608" s="172">
        <f>CI608-CK608</f>
        <v>3601.6675</v>
      </c>
      <c r="CK608" s="172"/>
      <c r="CL608" s="172">
        <f>VLOOKUP($C608,'1 预算编制表单'!$C:$BJ,57,FALSE)</f>
        <v>3601.6675</v>
      </c>
      <c r="CM608" s="172">
        <f>CL608-CN608</f>
        <v>3601.6675</v>
      </c>
      <c r="CN608" s="172"/>
      <c r="CO608" s="172">
        <f>VLOOKUP($C608,'1 预算编制表单'!$C:$BJ,60,FALSE)</f>
        <v>3601.6675</v>
      </c>
      <c r="CP608" s="172">
        <f>CO608-CQ608</f>
        <v>3601.6675</v>
      </c>
      <c r="CQ608" s="172"/>
    </row>
    <row r="609" s="86" customFormat="1" ht="24" hidden="1" customHeight="1" outlineLevel="1" collapsed="1" spans="1:95">
      <c r="A609" s="169"/>
      <c r="B609" s="170" t="s">
        <v>742</v>
      </c>
      <c r="C609" s="171" t="s">
        <v>102</v>
      </c>
      <c r="D609" s="169" t="s">
        <v>103</v>
      </c>
      <c r="E609" s="170" t="s">
        <v>2267</v>
      </c>
      <c r="F609" s="170"/>
      <c r="G609" s="170" t="s">
        <v>1799</v>
      </c>
      <c r="H609" s="172">
        <f t="shared" si="6778"/>
        <v>0</v>
      </c>
      <c r="I609" s="172">
        <f t="shared" si="6778"/>
        <v>0</v>
      </c>
      <c r="J609" s="172">
        <f t="shared" si="6778"/>
        <v>0</v>
      </c>
      <c r="K609" s="172"/>
      <c r="L609" s="173"/>
      <c r="M609" s="173"/>
      <c r="N609" s="172"/>
      <c r="O609" s="173"/>
      <c r="P609" s="172"/>
      <c r="Q609" s="172"/>
      <c r="R609" s="172"/>
      <c r="S609" s="172"/>
      <c r="T609" s="172"/>
      <c r="U609" s="172"/>
      <c r="V609" s="172"/>
      <c r="W609" s="172"/>
      <c r="X609" s="172">
        <f>VLOOKUP($C609,'1 预算编制表单'!$C:$BJ,27,FALSE)</f>
        <v>0</v>
      </c>
      <c r="Y609" s="172">
        <f>X609-Z609</f>
        <v>0</v>
      </c>
      <c r="Z609" s="172">
        <f>报销单计算表!B3+Z610</f>
        <v>0</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3" customFormat="1" ht="24" hidden="1" customHeight="1" outlineLevel="2" spans="1:95">
      <c r="A610" s="131"/>
      <c r="B610" s="132"/>
      <c r="C610" s="133" t="s">
        <v>2802</v>
      </c>
      <c r="D610" s="131" t="s">
        <v>2803</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0</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hidden="1" customHeight="1" outlineLevel="1" spans="1:95">
      <c r="A611" s="22"/>
      <c r="B611" s="112" t="s">
        <v>742</v>
      </c>
      <c r="C611" s="113" t="s">
        <v>143</v>
      </c>
      <c r="D611" s="22" t="s">
        <v>144</v>
      </c>
      <c r="E611" s="112"/>
      <c r="F611" s="112"/>
      <c r="G611" s="112" t="s">
        <v>1799</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hidden="1" customHeight="1" outlineLevel="1" spans="1:95">
      <c r="A612" s="169"/>
      <c r="B612" s="170" t="s">
        <v>742</v>
      </c>
      <c r="C612" s="171" t="s">
        <v>147</v>
      </c>
      <c r="D612" s="169" t="s">
        <v>148</v>
      </c>
      <c r="E612" s="170" t="s">
        <v>2268</v>
      </c>
      <c r="F612" s="170"/>
      <c r="G612" s="170" t="s">
        <v>1799</v>
      </c>
      <c r="H612" s="172">
        <f t="shared" si="6779"/>
        <v>0</v>
      </c>
      <c r="I612" s="172">
        <f t="shared" si="6780"/>
        <v>0</v>
      </c>
      <c r="J612" s="172">
        <f t="shared" si="6781"/>
        <v>0</v>
      </c>
      <c r="K612" s="172"/>
      <c r="L612" s="173"/>
      <c r="M612" s="173"/>
      <c r="N612" s="172"/>
      <c r="O612" s="173"/>
      <c r="P612" s="172"/>
      <c r="Q612" s="172"/>
      <c r="R612" s="172"/>
      <c r="S612" s="172"/>
      <c r="T612" s="172"/>
      <c r="U612" s="172"/>
      <c r="V612" s="172"/>
      <c r="W612" s="172"/>
      <c r="X612" s="172">
        <f>VLOOKUP($C612,'1 预算编制表单'!$C:$BJ,27,FALSE)</f>
        <v>0</v>
      </c>
      <c r="Y612" s="172">
        <f>X612-Z612</f>
        <v>0</v>
      </c>
      <c r="Z612" s="172">
        <f>报销单计算表!B4</f>
        <v>0</v>
      </c>
      <c r="AA612" s="172">
        <f>VLOOKUP($C612,'1 预算编制表单'!$C:$BJ,30,FALSE)</f>
        <v>0</v>
      </c>
      <c r="AB612" s="172">
        <f>AA612-AC612</f>
        <v>0</v>
      </c>
      <c r="AC612" s="172">
        <f>报销单计算表!C4</f>
        <v>0</v>
      </c>
      <c r="AD612" s="172">
        <f>VLOOKUP($C612,'1 预算编制表单'!$C:$BJ,33,FALSE)</f>
        <v>0</v>
      </c>
      <c r="AE612" s="172">
        <f>AD612-AF612</f>
        <v>0</v>
      </c>
      <c r="AF612" s="172">
        <f>报销单计算表!D4</f>
        <v>0</v>
      </c>
      <c r="AG612" s="172">
        <f>VLOOKUP($C612,'1 预算编制表单'!$C:$BJ,36,FALSE)</f>
        <v>0</v>
      </c>
      <c r="AH612" s="172">
        <f>AG612-AI612</f>
        <v>0</v>
      </c>
      <c r="AI612" s="172">
        <f>报销单计算表!E4</f>
        <v>0</v>
      </c>
      <c r="AJ612" s="172">
        <f>VLOOKUP($C612,'1 预算编制表单'!$C:$BJ,39,FALSE)</f>
        <v>0</v>
      </c>
      <c r="AK612" s="172">
        <f>AJ612-AL612</f>
        <v>0</v>
      </c>
      <c r="AL612" s="172">
        <f>报销单计算表!F4</f>
        <v>0</v>
      </c>
      <c r="AM612" s="172">
        <f>VLOOKUP($C612,'1 预算编制表单'!$C:$BJ,42,FALSE)</f>
        <v>0</v>
      </c>
      <c r="AN612" s="172">
        <f>AM612-AO612</f>
        <v>0</v>
      </c>
      <c r="AO612" s="172">
        <f>报销单计算表!G4</f>
        <v>0</v>
      </c>
      <c r="AP612" s="172">
        <f>VLOOKUP($C612,'1 预算编制表单'!$C:$BJ,45,FALSE)</f>
        <v>0</v>
      </c>
      <c r="AQ612" s="172">
        <f>AP612-AR612</f>
        <v>0</v>
      </c>
      <c r="AR612" s="172">
        <f>报销单计算表!H4</f>
        <v>0</v>
      </c>
      <c r="AS612" s="172">
        <f>VLOOKUP($C612,'1 预算编制表单'!$C:$BJ,48,FALSE)</f>
        <v>0</v>
      </c>
      <c r="AT612" s="172">
        <f>AS612-AU612</f>
        <v>0</v>
      </c>
      <c r="AU612" s="172">
        <f>报销单计算表!I4</f>
        <v>0</v>
      </c>
      <c r="AV612" s="172">
        <f>VLOOKUP($C612,'1 预算编制表单'!$C:$BJ,51,FALSE)</f>
        <v>0</v>
      </c>
      <c r="AW612" s="172">
        <f>AV612-AX612</f>
        <v>0</v>
      </c>
      <c r="AX612" s="172">
        <f>报销单计算表!J4</f>
        <v>0</v>
      </c>
      <c r="AY612" s="172">
        <f>VLOOKUP($C612,'1 预算编制表单'!$C:$BJ,54,FALSE)</f>
        <v>0</v>
      </c>
      <c r="AZ612" s="172">
        <f>AY612-BA612</f>
        <v>0</v>
      </c>
      <c r="BA612" s="172">
        <f>报销单计算表!K4</f>
        <v>0</v>
      </c>
      <c r="BB612" s="172">
        <f>VLOOKUP($C612,'1 预算编制表单'!$C:$BJ,57,FALSE)</f>
        <v>0</v>
      </c>
      <c r="BC612" s="172">
        <f>BB612-BD612</f>
        <v>0</v>
      </c>
      <c r="BD612" s="172">
        <f>报销单计算表!L4</f>
        <v>0</v>
      </c>
      <c r="BE612" s="172">
        <f>VLOOKUP($C612,'1 预算编制表单'!$C:$BJ,60,FALSE)</f>
        <v>0</v>
      </c>
      <c r="BF612" s="172">
        <f>BE612-BG612</f>
        <v>0</v>
      </c>
      <c r="BG612" s="172">
        <f>报销单计算表!M4</f>
        <v>0</v>
      </c>
      <c r="BH612" s="172">
        <f>VLOOKUP($C612,'1 预算编制表单'!$C:$BJ,27,FALSE)</f>
        <v>0</v>
      </c>
      <c r="BI612" s="172">
        <f>BH612-BJ612</f>
        <v>0</v>
      </c>
      <c r="BJ612" s="172"/>
      <c r="BK612" s="172">
        <f>VLOOKUP($C612,'1 预算编制表单'!$C:$BJ,30,FALSE)</f>
        <v>0</v>
      </c>
      <c r="BL612" s="172">
        <f>BK612-BM612</f>
        <v>0</v>
      </c>
      <c r="BM612" s="172"/>
      <c r="BN612" s="172">
        <f>VLOOKUP($C612,'1 预算编制表单'!$C:$BJ,33,FALSE)</f>
        <v>0</v>
      </c>
      <c r="BO612" s="172">
        <f>BN612-BP612</f>
        <v>0</v>
      </c>
      <c r="BP612" s="172"/>
      <c r="BQ612" s="172">
        <f>VLOOKUP($C612,'1 预算编制表单'!$C:$BJ,36,FALSE)</f>
        <v>0</v>
      </c>
      <c r="BR612" s="172">
        <f>BQ612-BS612</f>
        <v>0</v>
      </c>
      <c r="BS612" s="172"/>
      <c r="BT612" s="172">
        <f>VLOOKUP($C612,'1 预算编制表单'!$C:$BJ,39,FALSE)</f>
        <v>0</v>
      </c>
      <c r="BU612" s="172">
        <f>BT612-BV612</f>
        <v>0</v>
      </c>
      <c r="BV612" s="172"/>
      <c r="BW612" s="172">
        <f>VLOOKUP($C612,'1 预算编制表单'!$C:$BJ,42,FALSE)</f>
        <v>0</v>
      </c>
      <c r="BX612" s="172">
        <f>BW612-BY612</f>
        <v>0</v>
      </c>
      <c r="BY612" s="172"/>
      <c r="BZ612" s="172">
        <f>VLOOKUP($C612,'1 预算编制表单'!$C:$BJ,45,FALSE)</f>
        <v>0</v>
      </c>
      <c r="CA612" s="172">
        <f>BZ612-CB612</f>
        <v>0</v>
      </c>
      <c r="CB612" s="172"/>
      <c r="CC612" s="172">
        <f>VLOOKUP($C612,'1 预算编制表单'!$C:$BJ,48,FALSE)</f>
        <v>0</v>
      </c>
      <c r="CD612" s="172">
        <f>CC612-CE612</f>
        <v>0</v>
      </c>
      <c r="CE612" s="172"/>
      <c r="CF612" s="172">
        <f>VLOOKUP($C612,'1 预算编制表单'!$C:$BJ,51,FALSE)</f>
        <v>0</v>
      </c>
      <c r="CG612" s="172">
        <f>CF612-CH612</f>
        <v>0</v>
      </c>
      <c r="CH612" s="172"/>
      <c r="CI612" s="172">
        <f>VLOOKUP($C612,'1 预算编制表单'!$C:$BJ,54,FALSE)</f>
        <v>0</v>
      </c>
      <c r="CJ612" s="172">
        <f>CI612-CK612</f>
        <v>0</v>
      </c>
      <c r="CK612" s="172"/>
      <c r="CL612" s="172">
        <f>VLOOKUP($C612,'1 预算编制表单'!$C:$BJ,57,FALSE)</f>
        <v>0</v>
      </c>
      <c r="CM612" s="172">
        <f>CL612-CN612</f>
        <v>0</v>
      </c>
      <c r="CN612" s="172"/>
      <c r="CO612" s="172">
        <f>VLOOKUP($C612,'1 预算编制表单'!$C:$BJ,60,FALSE)</f>
        <v>0</v>
      </c>
      <c r="CP612" s="172">
        <f>CO612-CQ612</f>
        <v>0</v>
      </c>
      <c r="CQ612" s="172"/>
    </row>
    <row r="613" ht="24" hidden="1" customHeight="1" outlineLevel="1" spans="1:95">
      <c r="A613" s="22"/>
      <c r="B613" s="112" t="s">
        <v>742</v>
      </c>
      <c r="C613" s="113" t="s">
        <v>153</v>
      </c>
      <c r="D613" s="22" t="s">
        <v>154</v>
      </c>
      <c r="E613" s="112" t="s">
        <v>2269</v>
      </c>
      <c r="F613" s="112"/>
      <c r="G613" s="112" t="s">
        <v>1799</v>
      </c>
      <c r="H613" s="114">
        <f t="shared" si="6779"/>
        <v>0</v>
      </c>
      <c r="I613" s="114">
        <f t="shared" si="6780"/>
        <v>0</v>
      </c>
      <c r="J613" s="114">
        <f t="shared" si="6781"/>
        <v>0</v>
      </c>
      <c r="K613" s="114"/>
      <c r="L613" s="147"/>
      <c r="M613" s="147"/>
      <c r="N613" s="114"/>
      <c r="O613" s="147"/>
      <c r="P613" s="114"/>
      <c r="Q613" s="114"/>
      <c r="R613" s="114"/>
      <c r="S613" s="114"/>
      <c r="T613" s="114"/>
      <c r="U613" s="114"/>
      <c r="V613" s="114"/>
      <c r="W613" s="114"/>
      <c r="X613" s="114">
        <f>VLOOKUP($C613,'1 预算编制表单'!$C:$BJ,27,FALSE)</f>
        <v>0</v>
      </c>
      <c r="Y613" s="114">
        <f>X613-Z613</f>
        <v>0</v>
      </c>
      <c r="Z613" s="114"/>
      <c r="AA613" s="114">
        <f>VLOOKUP($C613,'1 预算编制表单'!$C:$BJ,30,FALSE)</f>
        <v>0</v>
      </c>
      <c r="AB613" s="114">
        <f>AA613-AC613</f>
        <v>0</v>
      </c>
      <c r="AC613" s="114"/>
      <c r="AD613" s="114">
        <f>VLOOKUP($C613,'1 预算编制表单'!$C:$BJ,33,FALSE)</f>
        <v>0</v>
      </c>
      <c r="AE613" s="114">
        <f>AD613-AF613</f>
        <v>0</v>
      </c>
      <c r="AF613" s="114"/>
      <c r="AG613" s="114">
        <f>VLOOKUP($C613,'1 预算编制表单'!$C:$BJ,36,FALSE)</f>
        <v>0</v>
      </c>
      <c r="AH613" s="114">
        <f>AG613-AI613</f>
        <v>0</v>
      </c>
      <c r="AI613" s="114"/>
      <c r="AJ613" s="114">
        <f>VLOOKUP($C613,'1 预算编制表单'!$C:$BJ,39,FALSE)</f>
        <v>0</v>
      </c>
      <c r="AK613" s="114">
        <f>AJ613-AL613</f>
        <v>0</v>
      </c>
      <c r="AL613" s="114"/>
      <c r="AM613" s="114">
        <f>VLOOKUP($C613,'1 预算编制表单'!$C:$BJ,42,FALSE)</f>
        <v>0</v>
      </c>
      <c r="AN613" s="114">
        <f>AM613-AO613</f>
        <v>0</v>
      </c>
      <c r="AO613" s="114"/>
      <c r="AP613" s="114">
        <f>VLOOKUP($C613,'1 预算编制表单'!$C:$BJ,45,FALSE)</f>
        <v>0</v>
      </c>
      <c r="AQ613" s="114">
        <f>AP613-AR613</f>
        <v>0</v>
      </c>
      <c r="AR613" s="114"/>
      <c r="AS613" s="114">
        <f>VLOOKUP($C613,'1 预算编制表单'!$C:$BJ,48,FALSE)</f>
        <v>0</v>
      </c>
      <c r="AT613" s="114">
        <f>AS613-AU613</f>
        <v>0</v>
      </c>
      <c r="AU613" s="114"/>
      <c r="AV613" s="114">
        <f>VLOOKUP($C613,'1 预算编制表单'!$C:$BJ,51,FALSE)</f>
        <v>0</v>
      </c>
      <c r="AW613" s="114">
        <f>AV613-AX613</f>
        <v>0</v>
      </c>
      <c r="AX613" s="114"/>
      <c r="AY613" s="114">
        <f>VLOOKUP($C613,'1 预算编制表单'!$C:$BJ,54,FALSE)</f>
        <v>0</v>
      </c>
      <c r="AZ613" s="114">
        <f>AY613-BA613</f>
        <v>0</v>
      </c>
      <c r="BA613" s="114"/>
      <c r="BB613" s="114">
        <f>VLOOKUP($C613,'1 预算编制表单'!$C:$BJ,57,FALSE)</f>
        <v>0</v>
      </c>
      <c r="BC613" s="114">
        <f>BB613-BD613</f>
        <v>0</v>
      </c>
      <c r="BD613" s="114"/>
      <c r="BE613" s="114">
        <f>VLOOKUP($C613,'1 预算编制表单'!$C:$BJ,60,FALSE)</f>
        <v>0</v>
      </c>
      <c r="BF613" s="114">
        <f>BE613-BG613</f>
        <v>0</v>
      </c>
      <c r="BG613" s="114"/>
      <c r="BH613" s="114">
        <f>VLOOKUP($C613,'1 预算编制表单'!$C:$BJ,27,FALSE)</f>
        <v>0</v>
      </c>
      <c r="BI613" s="114">
        <f>BH613-BJ613</f>
        <v>0</v>
      </c>
      <c r="BJ613" s="114"/>
      <c r="BK613" s="114">
        <f>VLOOKUP($C613,'1 预算编制表单'!$C:$BJ,30,FALSE)</f>
        <v>0</v>
      </c>
      <c r="BL613" s="114">
        <f>BK613-BM613</f>
        <v>0</v>
      </c>
      <c r="BM613" s="114"/>
      <c r="BN613" s="114">
        <f>VLOOKUP($C613,'1 预算编制表单'!$C:$BJ,33,FALSE)</f>
        <v>0</v>
      </c>
      <c r="BO613" s="114">
        <f>BN613-BP613</f>
        <v>0</v>
      </c>
      <c r="BP613" s="114"/>
      <c r="BQ613" s="114">
        <f>VLOOKUP($C613,'1 预算编制表单'!$C:$BJ,36,FALSE)</f>
        <v>0</v>
      </c>
      <c r="BR613" s="114">
        <f>BQ613-BS613</f>
        <v>0</v>
      </c>
      <c r="BS613" s="114"/>
      <c r="BT613" s="114">
        <f>VLOOKUP($C613,'1 预算编制表单'!$C:$BJ,39,FALSE)</f>
        <v>0</v>
      </c>
      <c r="BU613" s="114">
        <f>BT613-BV613</f>
        <v>0</v>
      </c>
      <c r="BV613" s="114"/>
      <c r="BW613" s="114">
        <f>VLOOKUP($C613,'1 预算编制表单'!$C:$BJ,42,FALSE)</f>
        <v>0</v>
      </c>
      <c r="BX613" s="114">
        <f>BW613-BY613</f>
        <v>0</v>
      </c>
      <c r="BY613" s="114"/>
      <c r="BZ613" s="114">
        <f>VLOOKUP($C613,'1 预算编制表单'!$C:$BJ,45,FALSE)</f>
        <v>0</v>
      </c>
      <c r="CA613" s="114">
        <f>BZ613-CB613</f>
        <v>0</v>
      </c>
      <c r="CB613" s="114"/>
      <c r="CC613" s="114">
        <f>VLOOKUP($C613,'1 预算编制表单'!$C:$BJ,48,FALSE)</f>
        <v>0</v>
      </c>
      <c r="CD613" s="114">
        <f>CC613-CE613</f>
        <v>0</v>
      </c>
      <c r="CE613" s="114"/>
      <c r="CF613" s="114">
        <f>VLOOKUP($C613,'1 预算编制表单'!$C:$BJ,51,FALSE)</f>
        <v>0</v>
      </c>
      <c r="CG613" s="114">
        <f>CF613-CH613</f>
        <v>0</v>
      </c>
      <c r="CH613" s="114"/>
      <c r="CI613" s="114">
        <f>VLOOKUP($C613,'1 预算编制表单'!$C:$BJ,54,FALSE)</f>
        <v>0</v>
      </c>
      <c r="CJ613" s="114">
        <f>CI613-CK613</f>
        <v>0</v>
      </c>
      <c r="CK613" s="114"/>
      <c r="CL613" s="114">
        <f>VLOOKUP($C613,'1 预算编制表单'!$C:$BJ,57,FALSE)</f>
        <v>0</v>
      </c>
      <c r="CM613" s="114">
        <f>CL613-CN613</f>
        <v>0</v>
      </c>
      <c r="CN613" s="114"/>
      <c r="CO613" s="114">
        <f>VLOOKUP($C613,'1 预算编制表单'!$C:$BJ,60,FALSE)</f>
        <v>0</v>
      </c>
      <c r="CP613" s="114">
        <f>CO613-CQ613</f>
        <v>0</v>
      </c>
      <c r="CQ613" s="114"/>
    </row>
    <row r="614" ht="24" hidden="1" customHeight="1" outlineLevel="1" spans="1:95">
      <c r="A614" s="22"/>
      <c r="B614" s="112" t="s">
        <v>742</v>
      </c>
      <c r="C614" s="113" t="s">
        <v>157</v>
      </c>
      <c r="D614" s="22" t="s">
        <v>158</v>
      </c>
      <c r="E614" s="112" t="s">
        <v>2270</v>
      </c>
      <c r="F614" s="112"/>
      <c r="G614" s="112" t="s">
        <v>1799</v>
      </c>
      <c r="H614" s="114">
        <f t="shared" si="6779"/>
        <v>0</v>
      </c>
      <c r="I614" s="114">
        <f t="shared" si="6780"/>
        <v>0</v>
      </c>
      <c r="J614" s="114">
        <f t="shared" si="6781"/>
        <v>0</v>
      </c>
      <c r="K614" s="114"/>
      <c r="L614" s="147"/>
      <c r="M614" s="147"/>
      <c r="N614" s="114"/>
      <c r="O614" s="147"/>
      <c r="P614" s="114"/>
      <c r="Q614" s="114"/>
      <c r="R614" s="114"/>
      <c r="S614" s="114"/>
      <c r="T614" s="114"/>
      <c r="U614" s="114"/>
      <c r="V614" s="114"/>
      <c r="W614" s="114"/>
      <c r="X614" s="114">
        <f>VLOOKUP($C614,'1 预算编制表单'!$C:$BJ,27,FALSE)</f>
        <v>0</v>
      </c>
      <c r="Y614" s="114">
        <f>X614-Z614</f>
        <v>0</v>
      </c>
      <c r="Z614" s="114"/>
      <c r="AA614" s="114">
        <f>VLOOKUP($C614,'1 预算编制表单'!$C:$BJ,30,FALSE)</f>
        <v>0</v>
      </c>
      <c r="AB614" s="114">
        <f>AA614-AC614</f>
        <v>0</v>
      </c>
      <c r="AC614" s="114"/>
      <c r="AD614" s="114">
        <f>VLOOKUP($C614,'1 预算编制表单'!$C:$BJ,33,FALSE)</f>
        <v>0</v>
      </c>
      <c r="AE614" s="114">
        <f>AD614-AF614</f>
        <v>0</v>
      </c>
      <c r="AF614" s="114"/>
      <c r="AG614" s="114">
        <f>VLOOKUP($C614,'1 预算编制表单'!$C:$BJ,36,FALSE)</f>
        <v>0</v>
      </c>
      <c r="AH614" s="114">
        <f>AG614-AI614</f>
        <v>0</v>
      </c>
      <c r="AI614" s="114"/>
      <c r="AJ614" s="114">
        <f>VLOOKUP($C614,'1 预算编制表单'!$C:$BJ,39,FALSE)</f>
        <v>0</v>
      </c>
      <c r="AK614" s="114">
        <f>AJ614-AL614</f>
        <v>0</v>
      </c>
      <c r="AL614" s="114"/>
      <c r="AM614" s="114">
        <f>VLOOKUP($C614,'1 预算编制表单'!$C:$BJ,42,FALSE)</f>
        <v>0</v>
      </c>
      <c r="AN614" s="114">
        <f>AM614-AO614</f>
        <v>0</v>
      </c>
      <c r="AO614" s="114"/>
      <c r="AP614" s="114">
        <f>VLOOKUP($C614,'1 预算编制表单'!$C:$BJ,45,FALSE)</f>
        <v>0</v>
      </c>
      <c r="AQ614" s="114">
        <f>AP614-AR614</f>
        <v>0</v>
      </c>
      <c r="AR614" s="114"/>
      <c r="AS614" s="114">
        <f>VLOOKUP($C614,'1 预算编制表单'!$C:$BJ,48,FALSE)</f>
        <v>0</v>
      </c>
      <c r="AT614" s="114">
        <f>AS614-AU614</f>
        <v>0</v>
      </c>
      <c r="AU614" s="114"/>
      <c r="AV614" s="114">
        <f>VLOOKUP($C614,'1 预算编制表单'!$C:$BJ,51,FALSE)</f>
        <v>0</v>
      </c>
      <c r="AW614" s="114">
        <f>AV614-AX614</f>
        <v>0</v>
      </c>
      <c r="AX614" s="114"/>
      <c r="AY614" s="114">
        <f>VLOOKUP($C614,'1 预算编制表单'!$C:$BJ,54,FALSE)</f>
        <v>0</v>
      </c>
      <c r="AZ614" s="114">
        <f>AY614-BA614</f>
        <v>0</v>
      </c>
      <c r="BA614" s="114"/>
      <c r="BB614" s="114">
        <f>VLOOKUP($C614,'1 预算编制表单'!$C:$BJ,57,FALSE)</f>
        <v>0</v>
      </c>
      <c r="BC614" s="114">
        <f>BB614-BD614</f>
        <v>0</v>
      </c>
      <c r="BD614" s="114"/>
      <c r="BE614" s="114">
        <f>VLOOKUP($C614,'1 预算编制表单'!$C:$BJ,60,FALSE)</f>
        <v>0</v>
      </c>
      <c r="BF614" s="114">
        <f>BE614-BG614</f>
        <v>0</v>
      </c>
      <c r="BG614" s="114"/>
      <c r="BH614" s="114">
        <f>VLOOKUP($C614,'1 预算编制表单'!$C:$BJ,27,FALSE)</f>
        <v>0</v>
      </c>
      <c r="BI614" s="114">
        <f>BH614-BJ614</f>
        <v>0</v>
      </c>
      <c r="BJ614" s="114"/>
      <c r="BK614" s="114">
        <f>VLOOKUP($C614,'1 预算编制表单'!$C:$BJ,30,FALSE)</f>
        <v>0</v>
      </c>
      <c r="BL614" s="114">
        <f>BK614-BM614</f>
        <v>0</v>
      </c>
      <c r="BM614" s="114"/>
      <c r="BN614" s="114">
        <f>VLOOKUP($C614,'1 预算编制表单'!$C:$BJ,33,FALSE)</f>
        <v>0</v>
      </c>
      <c r="BO614" s="114">
        <f>BN614-BP614</f>
        <v>0</v>
      </c>
      <c r="BP614" s="114"/>
      <c r="BQ614" s="114">
        <f>VLOOKUP($C614,'1 预算编制表单'!$C:$BJ,36,FALSE)</f>
        <v>0</v>
      </c>
      <c r="BR614" s="114">
        <f>BQ614-BS614</f>
        <v>0</v>
      </c>
      <c r="BS614" s="114"/>
      <c r="BT614" s="114">
        <f>VLOOKUP($C614,'1 预算编制表单'!$C:$BJ,39,FALSE)</f>
        <v>0</v>
      </c>
      <c r="BU614" s="114">
        <f>BT614-BV614</f>
        <v>0</v>
      </c>
      <c r="BV614" s="114"/>
      <c r="BW614" s="114">
        <f>VLOOKUP($C614,'1 预算编制表单'!$C:$BJ,42,FALSE)</f>
        <v>0</v>
      </c>
      <c r="BX614" s="114">
        <f>BW614-BY614</f>
        <v>0</v>
      </c>
      <c r="BY614" s="114"/>
      <c r="BZ614" s="114">
        <f>VLOOKUP($C614,'1 预算编制表单'!$C:$BJ,45,FALSE)</f>
        <v>0</v>
      </c>
      <c r="CA614" s="114">
        <f>BZ614-CB614</f>
        <v>0</v>
      </c>
      <c r="CB614" s="114"/>
      <c r="CC614" s="114">
        <f>VLOOKUP($C614,'1 预算编制表单'!$C:$BJ,48,FALSE)</f>
        <v>0</v>
      </c>
      <c r="CD614" s="114">
        <f>CC614-CE614</f>
        <v>0</v>
      </c>
      <c r="CE614" s="114"/>
      <c r="CF614" s="114">
        <f>VLOOKUP($C614,'1 预算编制表单'!$C:$BJ,51,FALSE)</f>
        <v>0</v>
      </c>
      <c r="CG614" s="114">
        <f>CF614-CH614</f>
        <v>0</v>
      </c>
      <c r="CH614" s="114"/>
      <c r="CI614" s="114">
        <f>VLOOKUP($C614,'1 预算编制表单'!$C:$BJ,54,FALSE)</f>
        <v>0</v>
      </c>
      <c r="CJ614" s="114">
        <f>CI614-CK614</f>
        <v>0</v>
      </c>
      <c r="CK614" s="114"/>
      <c r="CL614" s="114">
        <f>VLOOKUP($C614,'1 预算编制表单'!$C:$BJ,57,FALSE)</f>
        <v>0</v>
      </c>
      <c r="CM614" s="114">
        <f>CL614-CN614</f>
        <v>0</v>
      </c>
      <c r="CN614" s="114"/>
      <c r="CO614" s="114">
        <f>VLOOKUP($C614,'1 预算编制表单'!$C:$BJ,60,FALSE)</f>
        <v>0</v>
      </c>
      <c r="CP614" s="114">
        <f>CO614-CQ614</f>
        <v>0</v>
      </c>
      <c r="CQ614" s="114"/>
    </row>
    <row r="615" s="86" customFormat="1" ht="24" hidden="1" customHeight="1" outlineLevel="1" spans="1:95">
      <c r="A615" s="169"/>
      <c r="B615" s="170" t="s">
        <v>742</v>
      </c>
      <c r="C615" s="171" t="s">
        <v>78</v>
      </c>
      <c r="D615" s="169" t="s">
        <v>79</v>
      </c>
      <c r="E615" s="170" t="s">
        <v>2271</v>
      </c>
      <c r="F615" s="170"/>
      <c r="G615" s="170" t="s">
        <v>1799</v>
      </c>
      <c r="H615" s="172">
        <f t="shared" si="6779"/>
        <v>60228</v>
      </c>
      <c r="I615" s="172">
        <f t="shared" si="6780"/>
        <v>60228</v>
      </c>
      <c r="J615" s="172">
        <f t="shared" si="6781"/>
        <v>0</v>
      </c>
      <c r="K615" s="172"/>
      <c r="L615" s="173"/>
      <c r="M615" s="173"/>
      <c r="N615" s="172"/>
      <c r="O615" s="173"/>
      <c r="P615" s="172"/>
      <c r="Q615" s="172"/>
      <c r="R615" s="172"/>
      <c r="S615" s="172"/>
      <c r="T615" s="172"/>
      <c r="U615" s="172"/>
      <c r="V615" s="172"/>
      <c r="W615" s="172"/>
      <c r="X615" s="172">
        <f>VLOOKUP($C615,'1 预算编制表单'!$C:$BJ,27,FALSE)</f>
        <v>5019</v>
      </c>
      <c r="Y615" s="172">
        <f>X615-Z615</f>
        <v>5019</v>
      </c>
      <c r="Z615" s="172">
        <f>报销单计算表!B8</f>
        <v>0</v>
      </c>
      <c r="AA615" s="172">
        <f>VLOOKUP($C615,'1 预算编制表单'!$C:$BJ,30,FALSE)</f>
        <v>5019</v>
      </c>
      <c r="AB615" s="172">
        <f>AA615-AC615</f>
        <v>5019</v>
      </c>
      <c r="AC615" s="172">
        <f>报销单计算表!C8</f>
        <v>0</v>
      </c>
      <c r="AD615" s="172">
        <f>VLOOKUP($C615,'1 预算编制表单'!$C:$BJ,33,FALSE)</f>
        <v>5019</v>
      </c>
      <c r="AE615" s="172">
        <f>AD615-AF615</f>
        <v>5019</v>
      </c>
      <c r="AF615" s="172">
        <f>报销单计算表!D8</f>
        <v>0</v>
      </c>
      <c r="AG615" s="172">
        <f>VLOOKUP($C615,'1 预算编制表单'!$C:$BJ,36,FALSE)</f>
        <v>5019</v>
      </c>
      <c r="AH615" s="172">
        <f>AG615-AI615</f>
        <v>5019</v>
      </c>
      <c r="AI615" s="172">
        <f>报销单计算表!E8</f>
        <v>0</v>
      </c>
      <c r="AJ615" s="172">
        <f>VLOOKUP($C615,'1 预算编制表单'!$C:$BJ,39,FALSE)</f>
        <v>5019</v>
      </c>
      <c r="AK615" s="172">
        <f>AJ615-AL615</f>
        <v>5019</v>
      </c>
      <c r="AL615" s="172">
        <f>报销单计算表!F8</f>
        <v>0</v>
      </c>
      <c r="AM615" s="172">
        <f>VLOOKUP($C615,'1 预算编制表单'!$C:$BJ,42,FALSE)</f>
        <v>5019</v>
      </c>
      <c r="AN615" s="172">
        <f>AM615-AO615</f>
        <v>5019</v>
      </c>
      <c r="AO615" s="172">
        <f>报销单计算表!G8</f>
        <v>0</v>
      </c>
      <c r="AP615" s="172">
        <f>VLOOKUP($C615,'1 预算编制表单'!$C:$BJ,45,FALSE)</f>
        <v>5019</v>
      </c>
      <c r="AQ615" s="172">
        <f>AP615-AR615</f>
        <v>5019</v>
      </c>
      <c r="AR615" s="172">
        <f>报销单计算表!H8</f>
        <v>0</v>
      </c>
      <c r="AS615" s="172">
        <f>VLOOKUP($C615,'1 预算编制表单'!$C:$BJ,48,FALSE)</f>
        <v>5019</v>
      </c>
      <c r="AT615" s="172">
        <f>AS615-AU615</f>
        <v>5019</v>
      </c>
      <c r="AU615" s="172">
        <f>报销单计算表!I8</f>
        <v>0</v>
      </c>
      <c r="AV615" s="172">
        <f>VLOOKUP($C615,'1 预算编制表单'!$C:$BJ,51,FALSE)</f>
        <v>5019</v>
      </c>
      <c r="AW615" s="172">
        <f>AV615-AX615</f>
        <v>5019</v>
      </c>
      <c r="AX615" s="172">
        <f>报销单计算表!J8</f>
        <v>0</v>
      </c>
      <c r="AY615" s="172">
        <f>VLOOKUP($C615,'1 预算编制表单'!$C:$BJ,54,FALSE)</f>
        <v>5019</v>
      </c>
      <c r="AZ615" s="172">
        <f>AY615-BA615</f>
        <v>5019</v>
      </c>
      <c r="BA615" s="172">
        <f>报销单计算表!K8</f>
        <v>0</v>
      </c>
      <c r="BB615" s="172">
        <f>VLOOKUP($C615,'1 预算编制表单'!$C:$BJ,57,FALSE)</f>
        <v>5019</v>
      </c>
      <c r="BC615" s="172">
        <f>BB615-BD615</f>
        <v>5019</v>
      </c>
      <c r="BD615" s="172">
        <f>报销单计算表!L8</f>
        <v>0</v>
      </c>
      <c r="BE615" s="172">
        <f>VLOOKUP($C615,'1 预算编制表单'!$C:$BJ,60,FALSE)</f>
        <v>5019</v>
      </c>
      <c r="BF615" s="172">
        <f>BE615-BG615</f>
        <v>5019</v>
      </c>
      <c r="BG615" s="172">
        <f>报销单计算表!M8</f>
        <v>0</v>
      </c>
      <c r="BH615" s="172">
        <f>VLOOKUP($C615,'1 预算编制表单'!$C:$BJ,27,FALSE)</f>
        <v>5019</v>
      </c>
      <c r="BI615" s="172">
        <f>BH615-BJ615</f>
        <v>5019</v>
      </c>
      <c r="BJ615" s="172"/>
      <c r="BK615" s="172">
        <f>VLOOKUP($C615,'1 预算编制表单'!$C:$BJ,30,FALSE)</f>
        <v>5019</v>
      </c>
      <c r="BL615" s="172">
        <f>BK615-BM615</f>
        <v>5019</v>
      </c>
      <c r="BM615" s="172"/>
      <c r="BN615" s="172">
        <f>VLOOKUP($C615,'1 预算编制表单'!$C:$BJ,33,FALSE)</f>
        <v>5019</v>
      </c>
      <c r="BO615" s="172">
        <f>BN615-BP615</f>
        <v>5019</v>
      </c>
      <c r="BP615" s="172"/>
      <c r="BQ615" s="172">
        <f>VLOOKUP($C615,'1 预算编制表单'!$C:$BJ,36,FALSE)</f>
        <v>5019</v>
      </c>
      <c r="BR615" s="172">
        <f>BQ615-BS615</f>
        <v>5019</v>
      </c>
      <c r="BS615" s="172"/>
      <c r="BT615" s="172">
        <f>VLOOKUP($C615,'1 预算编制表单'!$C:$BJ,39,FALSE)</f>
        <v>5019</v>
      </c>
      <c r="BU615" s="172">
        <f>BT615-BV615</f>
        <v>5019</v>
      </c>
      <c r="BV615" s="172"/>
      <c r="BW615" s="172">
        <f>VLOOKUP($C615,'1 预算编制表单'!$C:$BJ,42,FALSE)</f>
        <v>5019</v>
      </c>
      <c r="BX615" s="172">
        <f>BW615-BY615</f>
        <v>5019</v>
      </c>
      <c r="BY615" s="172"/>
      <c r="BZ615" s="172">
        <f>VLOOKUP($C615,'1 预算编制表单'!$C:$BJ,45,FALSE)</f>
        <v>5019</v>
      </c>
      <c r="CA615" s="172">
        <f>BZ615-CB615</f>
        <v>5019</v>
      </c>
      <c r="CB615" s="172"/>
      <c r="CC615" s="172">
        <f>VLOOKUP($C615,'1 预算编制表单'!$C:$BJ,48,FALSE)</f>
        <v>5019</v>
      </c>
      <c r="CD615" s="172">
        <f>CC615-CE615</f>
        <v>5019</v>
      </c>
      <c r="CE615" s="172"/>
      <c r="CF615" s="172">
        <f>VLOOKUP($C615,'1 预算编制表单'!$C:$BJ,51,FALSE)</f>
        <v>5019</v>
      </c>
      <c r="CG615" s="172">
        <f>CF615-CH615</f>
        <v>5019</v>
      </c>
      <c r="CH615" s="172"/>
      <c r="CI615" s="172">
        <f>VLOOKUP($C615,'1 预算编制表单'!$C:$BJ,54,FALSE)</f>
        <v>5019</v>
      </c>
      <c r="CJ615" s="172">
        <f>CI615-CK615</f>
        <v>5019</v>
      </c>
      <c r="CK615" s="172"/>
      <c r="CL615" s="172">
        <f>VLOOKUP($C615,'1 预算编制表单'!$C:$BJ,57,FALSE)</f>
        <v>5019</v>
      </c>
      <c r="CM615" s="172">
        <f>CL615-CN615</f>
        <v>5019</v>
      </c>
      <c r="CN615" s="172"/>
      <c r="CO615" s="172">
        <f>VLOOKUP($C615,'1 预算编制表单'!$C:$BJ,60,FALSE)</f>
        <v>5019</v>
      </c>
      <c r="CP615" s="172">
        <f>CO615-CQ615</f>
        <v>5019</v>
      </c>
      <c r="CQ615" s="172"/>
    </row>
    <row r="616" ht="24" customHeight="1" collapsed="1" spans="1:95">
      <c r="A616" s="108"/>
      <c r="B616" s="109" t="s">
        <v>742</v>
      </c>
      <c r="C616" s="110">
        <v>1.6</v>
      </c>
      <c r="D616" s="108" t="s">
        <v>217</v>
      </c>
      <c r="E616" s="108"/>
      <c r="F616" s="108" t="s">
        <v>2272</v>
      </c>
      <c r="G616" s="109"/>
      <c r="H616" s="167">
        <f t="shared" si="6779"/>
        <v>0</v>
      </c>
      <c r="I616" s="167">
        <f t="shared" si="6780"/>
        <v>-416</v>
      </c>
      <c r="J616" s="167">
        <f t="shared" si="6781"/>
        <v>416</v>
      </c>
      <c r="K616" s="167"/>
      <c r="L616" s="168"/>
      <c r="M616" s="168"/>
      <c r="N616" s="167"/>
      <c r="O616" s="168"/>
      <c r="P616" s="167"/>
      <c r="Q616" s="167"/>
      <c r="R616" s="167"/>
      <c r="S616" s="167"/>
      <c r="T616" s="167"/>
      <c r="U616" s="167"/>
      <c r="V616" s="167"/>
      <c r="W616" s="167"/>
      <c r="X616" s="167">
        <f>VLOOKUP($C616,'1 预算编制表单'!$C:$BJ,27,FALSE)</f>
        <v>0</v>
      </c>
      <c r="Y616" s="167">
        <f t="shared" ref="Y616:AC616" si="6782">Y617+Y618+Y619+Y620+Y621</f>
        <v>-138</v>
      </c>
      <c r="Z616" s="167">
        <f t="shared" si="6782"/>
        <v>138</v>
      </c>
      <c r="AA616" s="167">
        <f>VLOOKUP($C616,'1 预算编制表单'!$C:$BJ,30,FALSE)</f>
        <v>0</v>
      </c>
      <c r="AB616" s="167">
        <f t="shared" si="6782"/>
        <v>0</v>
      </c>
      <c r="AC616" s="167">
        <f t="shared" si="6782"/>
        <v>0</v>
      </c>
      <c r="AD616" s="167">
        <f>VLOOKUP($C616,'1 预算编制表单'!$C:$BJ,33,FALSE)</f>
        <v>0</v>
      </c>
      <c r="AE616" s="167">
        <f t="shared" ref="AE616:AI616" si="6783">AE617+AE618+AE619+AE620+AE621</f>
        <v>-140</v>
      </c>
      <c r="AF616" s="167">
        <f t="shared" si="6783"/>
        <v>140</v>
      </c>
      <c r="AG616" s="167">
        <f>VLOOKUP($C616,'1 预算编制表单'!$C:$BJ,36,FALSE)</f>
        <v>0</v>
      </c>
      <c r="AH616" s="167">
        <f t="shared" si="6783"/>
        <v>0</v>
      </c>
      <c r="AI616" s="167">
        <f t="shared" si="6783"/>
        <v>0</v>
      </c>
      <c r="AJ616" s="167">
        <f>VLOOKUP($C616,'1 预算编制表单'!$C:$BJ,39,FALSE)</f>
        <v>0</v>
      </c>
      <c r="AK616" s="167">
        <f t="shared" ref="AK616:AO616" si="6784">AK617+AK618+AK619+AK620+AK621</f>
        <v>-138</v>
      </c>
      <c r="AL616" s="167">
        <f t="shared" si="6784"/>
        <v>138</v>
      </c>
      <c r="AM616" s="167">
        <f>VLOOKUP($C616,'1 预算编制表单'!$C:$BJ,42,FALSE)</f>
        <v>0</v>
      </c>
      <c r="AN616" s="167">
        <f t="shared" si="6784"/>
        <v>0</v>
      </c>
      <c r="AO616" s="167">
        <f t="shared" si="6784"/>
        <v>0</v>
      </c>
      <c r="AP616" s="167">
        <f>VLOOKUP($C616,'1 预算编制表单'!$C:$BJ,45,FALSE)</f>
        <v>0</v>
      </c>
      <c r="AQ616" s="167">
        <f t="shared" ref="AQ616:AU616" si="6785">AQ617+AQ618+AQ619+AQ620+AQ621</f>
        <v>0</v>
      </c>
      <c r="AR616" s="167">
        <f t="shared" si="6785"/>
        <v>0</v>
      </c>
      <c r="AS616" s="167">
        <f>VLOOKUP($C616,'1 预算编制表单'!$C:$BJ,48,FALSE)</f>
        <v>0</v>
      </c>
      <c r="AT616" s="167">
        <f t="shared" si="6785"/>
        <v>0</v>
      </c>
      <c r="AU616" s="167">
        <f t="shared" si="6785"/>
        <v>0</v>
      </c>
      <c r="AV616" s="167">
        <f>VLOOKUP($C616,'1 预算编制表单'!$C:$BJ,51,FALSE)</f>
        <v>0</v>
      </c>
      <c r="AW616" s="167">
        <f t="shared" ref="AW616:BA616" si="6786">AW617+AW618+AW619+AW620+AW621</f>
        <v>0</v>
      </c>
      <c r="AX616" s="167">
        <f t="shared" si="6786"/>
        <v>0</v>
      </c>
      <c r="AY616" s="167">
        <f>VLOOKUP($C616,'1 预算编制表单'!$C:$BJ,54,FALSE)</f>
        <v>0</v>
      </c>
      <c r="AZ616" s="167">
        <f t="shared" si="6786"/>
        <v>0</v>
      </c>
      <c r="BA616" s="167">
        <f t="shared" si="6786"/>
        <v>0</v>
      </c>
      <c r="BB616" s="167">
        <f>VLOOKUP($C616,'1 预算编制表单'!$C:$BJ,57,FALSE)</f>
        <v>0</v>
      </c>
      <c r="BC616" s="167">
        <f t="shared" ref="BC616:BG616" si="6787">BC617+BC618+BC619+BC620+BC621</f>
        <v>0</v>
      </c>
      <c r="BD616" s="167">
        <f t="shared" si="6787"/>
        <v>0</v>
      </c>
      <c r="BE616" s="167">
        <f>VLOOKUP($C616,'1 预算编制表单'!$C:$BJ,60,FALSE)</f>
        <v>0</v>
      </c>
      <c r="BF616" s="167">
        <f t="shared" si="6787"/>
        <v>0</v>
      </c>
      <c r="BG616" s="167">
        <f t="shared" si="6787"/>
        <v>0</v>
      </c>
      <c r="BH616" s="167">
        <f>VLOOKUP($C616,'1 预算编制表单'!$C:$BJ,27,FALSE)</f>
        <v>0</v>
      </c>
      <c r="BI616" s="167">
        <f t="shared" ref="BI616:BM616" si="6788">BI617+BI618+BI619+BI620+BI621</f>
        <v>0</v>
      </c>
      <c r="BJ616" s="167">
        <f t="shared" si="6788"/>
        <v>0</v>
      </c>
      <c r="BK616" s="167">
        <f>VLOOKUP($C616,'1 预算编制表单'!$C:$BJ,30,FALSE)</f>
        <v>0</v>
      </c>
      <c r="BL616" s="167">
        <f t="shared" si="6788"/>
        <v>0</v>
      </c>
      <c r="BM616" s="167">
        <f t="shared" si="6788"/>
        <v>0</v>
      </c>
      <c r="BN616" s="167">
        <f>VLOOKUP($C616,'1 预算编制表单'!$C:$BJ,33,FALSE)</f>
        <v>0</v>
      </c>
      <c r="BO616" s="167">
        <f t="shared" ref="BO616:BS616" si="6789">BO617+BO618+BO619+BO620+BO621</f>
        <v>0</v>
      </c>
      <c r="BP616" s="167">
        <f t="shared" si="6789"/>
        <v>0</v>
      </c>
      <c r="BQ616" s="167">
        <f>VLOOKUP($C616,'1 预算编制表单'!$C:$BJ,36,FALSE)</f>
        <v>0</v>
      </c>
      <c r="BR616" s="167">
        <f t="shared" si="6789"/>
        <v>0</v>
      </c>
      <c r="BS616" s="167">
        <f t="shared" si="6789"/>
        <v>0</v>
      </c>
      <c r="BT616" s="167">
        <f>VLOOKUP($C616,'1 预算编制表单'!$C:$BJ,39,FALSE)</f>
        <v>0</v>
      </c>
      <c r="BU616" s="167">
        <f t="shared" ref="BU616:BY616" si="6790">BU617+BU618+BU619+BU620+BU621</f>
        <v>0</v>
      </c>
      <c r="BV616" s="167">
        <f t="shared" si="6790"/>
        <v>0</v>
      </c>
      <c r="BW616" s="167">
        <f>VLOOKUP($C616,'1 预算编制表单'!$C:$BJ,42,FALSE)</f>
        <v>0</v>
      </c>
      <c r="BX616" s="167">
        <f t="shared" si="6790"/>
        <v>0</v>
      </c>
      <c r="BY616" s="167">
        <f t="shared" si="6790"/>
        <v>0</v>
      </c>
      <c r="BZ616" s="167">
        <f>VLOOKUP($C616,'1 预算编制表单'!$C:$BJ,45,FALSE)</f>
        <v>0</v>
      </c>
      <c r="CA616" s="167">
        <f t="shared" ref="CA616:CE616" si="6791">CA617+CA618+CA619+CA620+CA621</f>
        <v>0</v>
      </c>
      <c r="CB616" s="167">
        <f t="shared" si="6791"/>
        <v>0</v>
      </c>
      <c r="CC616" s="167">
        <f>VLOOKUP($C616,'1 预算编制表单'!$C:$BJ,48,FALSE)</f>
        <v>0</v>
      </c>
      <c r="CD616" s="167">
        <f t="shared" si="6791"/>
        <v>0</v>
      </c>
      <c r="CE616" s="167">
        <f t="shared" si="6791"/>
        <v>0</v>
      </c>
      <c r="CF616" s="167">
        <f>VLOOKUP($C616,'1 预算编制表单'!$C:$BJ,51,FALSE)</f>
        <v>0</v>
      </c>
      <c r="CG616" s="167">
        <f t="shared" ref="CG616:CK616" si="6792">CG617+CG618+CG619+CG620+CG621</f>
        <v>0</v>
      </c>
      <c r="CH616" s="167">
        <f t="shared" si="6792"/>
        <v>0</v>
      </c>
      <c r="CI616" s="167">
        <f>VLOOKUP($C616,'1 预算编制表单'!$C:$BJ,54,FALSE)</f>
        <v>0</v>
      </c>
      <c r="CJ616" s="167">
        <f t="shared" si="6792"/>
        <v>0</v>
      </c>
      <c r="CK616" s="167">
        <f t="shared" si="6792"/>
        <v>0</v>
      </c>
      <c r="CL616" s="167">
        <f>VLOOKUP($C616,'1 预算编制表单'!$C:$BJ,57,FALSE)</f>
        <v>0</v>
      </c>
      <c r="CM616" s="167">
        <f t="shared" ref="CM616:CQ616" si="6793">CM617+CM618+CM619+CM620+CM621</f>
        <v>0</v>
      </c>
      <c r="CN616" s="167">
        <f t="shared" si="6793"/>
        <v>0</v>
      </c>
      <c r="CO616" s="167">
        <f>VLOOKUP($C616,'1 预算编制表单'!$C:$BJ,60,FALSE)</f>
        <v>0</v>
      </c>
      <c r="CP616" s="167">
        <f t="shared" si="6793"/>
        <v>0</v>
      </c>
      <c r="CQ616" s="167">
        <f t="shared" si="6793"/>
        <v>0</v>
      </c>
    </row>
    <row r="617" ht="24" hidden="1" customHeight="1" outlineLevel="1" spans="1:95">
      <c r="A617" s="22"/>
      <c r="B617" s="112" t="s">
        <v>742</v>
      </c>
      <c r="C617" s="113" t="s">
        <v>2273</v>
      </c>
      <c r="D617" s="22" t="s">
        <v>2274</v>
      </c>
      <c r="E617" s="22"/>
      <c r="F617" s="22"/>
      <c r="G617" s="112"/>
      <c r="H617" s="114">
        <f t="shared" si="6779"/>
        <v>0</v>
      </c>
      <c r="I617" s="114">
        <f t="shared" si="6780"/>
        <v>-416</v>
      </c>
      <c r="J617" s="114">
        <f t="shared" si="6781"/>
        <v>416</v>
      </c>
      <c r="K617" s="114"/>
      <c r="L617" s="147"/>
      <c r="M617" s="147"/>
      <c r="N617" s="114"/>
      <c r="O617" s="147"/>
      <c r="P617" s="114"/>
      <c r="Q617" s="114"/>
      <c r="R617" s="114"/>
      <c r="S617" s="114"/>
      <c r="T617" s="114"/>
      <c r="U617" s="114"/>
      <c r="V617" s="114"/>
      <c r="W617" s="114"/>
      <c r="X617" s="117">
        <f>VLOOKUP($C617,'1 预算编制表单'!$C:$BJ,27,FALSE)</f>
        <v>0</v>
      </c>
      <c r="Y617" s="117">
        <f>X617-Z617</f>
        <v>-138</v>
      </c>
      <c r="Z617" s="117">
        <f>SUMIF(物资过程计算表!$B:$B,$C617,物资过程计算表!$D:$D)</f>
        <v>138</v>
      </c>
      <c r="AA617" s="117">
        <f>VLOOKUP($C617,'1 预算编制表单'!$C:$BJ,30,FALSE)</f>
        <v>0</v>
      </c>
      <c r="AB617" s="117">
        <f>AA617-AC617</f>
        <v>0</v>
      </c>
      <c r="AC617" s="117">
        <f>SUMIF(物资过程计算表!$B:$B,$C617,物资过程计算表!E:E)</f>
        <v>0</v>
      </c>
      <c r="AD617" s="117">
        <f>VLOOKUP($C617,'1 预算编制表单'!$C:$BJ,33,FALSE)</f>
        <v>0</v>
      </c>
      <c r="AE617" s="117">
        <f>AD617-AF617</f>
        <v>-140</v>
      </c>
      <c r="AF617" s="117">
        <f>SUMIF(物资过程计算表!$B:$B,$C617,物资过程计算表!F:F)</f>
        <v>140</v>
      </c>
      <c r="AG617" s="117">
        <f>VLOOKUP($C617,'1 预算编制表单'!$C:$BJ,36,FALSE)</f>
        <v>0</v>
      </c>
      <c r="AH617" s="117">
        <f>AG617-AI617</f>
        <v>0</v>
      </c>
      <c r="AI617" s="117">
        <f>SUMIF(物资过程计算表!$B:$B,$C617,物资过程计算表!G:G)</f>
        <v>0</v>
      </c>
      <c r="AJ617" s="117">
        <f>VLOOKUP($C617,'1 预算编制表单'!$C:$BJ,39,FALSE)</f>
        <v>0</v>
      </c>
      <c r="AK617" s="117">
        <f>AJ617-AL617</f>
        <v>-138</v>
      </c>
      <c r="AL617" s="117">
        <f>SUMIF(物资过程计算表!$B:$B,$C617,物资过程计算表!H:H)</f>
        <v>138</v>
      </c>
      <c r="AM617" s="117">
        <f>VLOOKUP($C617,'1 预算编制表单'!$C:$BJ,42,FALSE)</f>
        <v>0</v>
      </c>
      <c r="AN617" s="117">
        <f>AM617-AO617</f>
        <v>0</v>
      </c>
      <c r="AO617" s="117">
        <f>SUMIF(物资过程计算表!$B:$B,$C617,物资过程计算表!I:I)</f>
        <v>0</v>
      </c>
      <c r="AP617" s="117">
        <f>VLOOKUP($C617,'1 预算编制表单'!$C:$BJ,45,FALSE)</f>
        <v>0</v>
      </c>
      <c r="AQ617" s="117">
        <f>AP617-AR617</f>
        <v>0</v>
      </c>
      <c r="AR617" s="117">
        <f>SUMIF(物资过程计算表!$B:$B,$C617,物资过程计算表!J:J)</f>
        <v>0</v>
      </c>
      <c r="AS617" s="117">
        <f>VLOOKUP($C617,'1 预算编制表单'!$C:$BJ,48,FALSE)</f>
        <v>0</v>
      </c>
      <c r="AT617" s="117">
        <f>AS617-AU617</f>
        <v>0</v>
      </c>
      <c r="AU617" s="117">
        <f>SUMIF(物资过程计算表!$B:$B,$C617,物资过程计算表!K:K)</f>
        <v>0</v>
      </c>
      <c r="AV617" s="117">
        <f>VLOOKUP($C617,'1 预算编制表单'!$C:$BJ,51,FALSE)</f>
        <v>0</v>
      </c>
      <c r="AW617" s="117">
        <f>AV617-AX617</f>
        <v>0</v>
      </c>
      <c r="AX617" s="117">
        <f>SUMIF(物资过程计算表!$B:$B,$C617,物资过程计算表!L:L)</f>
        <v>0</v>
      </c>
      <c r="AY617" s="117">
        <f>VLOOKUP($C617,'1 预算编制表单'!$C:$BJ,54,FALSE)</f>
        <v>0</v>
      </c>
      <c r="AZ617" s="117">
        <f>AY617-BA617</f>
        <v>0</v>
      </c>
      <c r="BA617" s="117">
        <f>SUMIF(物资过程计算表!$B:$B,$C617,物资过程计算表!M:M)</f>
        <v>0</v>
      </c>
      <c r="BB617" s="117">
        <f>VLOOKUP($C617,'1 预算编制表单'!$C:$BJ,57,FALSE)</f>
        <v>0</v>
      </c>
      <c r="BC617" s="117">
        <f>BB617-BD617</f>
        <v>0</v>
      </c>
      <c r="BD617" s="117">
        <f>SUMIF(物资过程计算表!$B:$B,$C617,物资过程计算表!N:N)</f>
        <v>0</v>
      </c>
      <c r="BE617" s="117">
        <f>VLOOKUP($C617,'1 预算编制表单'!$C:$BJ,60,FALSE)</f>
        <v>0</v>
      </c>
      <c r="BF617" s="117">
        <f>BE617-BG617</f>
        <v>0</v>
      </c>
      <c r="BG617" s="117">
        <f>SUMIF(物资过程计算表!$B:$B,$C617,物资过程计算表!O:O)</f>
        <v>0</v>
      </c>
      <c r="BH617" s="114">
        <f>VLOOKUP($C617,'1 预算编制表单'!$C:$BJ,27,FALSE)</f>
        <v>0</v>
      </c>
      <c r="BI617" s="114">
        <f t="shared" ref="BI617:BI621" si="6794">BH617-BJ617</f>
        <v>0</v>
      </c>
      <c r="BJ617" s="114"/>
      <c r="BK617" s="114">
        <f>VLOOKUP($C617,'1 预算编制表单'!$C:$BJ,30,FALSE)</f>
        <v>0</v>
      </c>
      <c r="BL617" s="114">
        <f t="shared" ref="BL617:BL621" si="6795">BK617-BM617</f>
        <v>0</v>
      </c>
      <c r="BM617" s="114"/>
      <c r="BN617" s="114">
        <f>VLOOKUP($C617,'1 预算编制表单'!$C:$BJ,33,FALSE)</f>
        <v>0</v>
      </c>
      <c r="BO617" s="114">
        <f t="shared" ref="BO617:BO621" si="6796">BN617-BP617</f>
        <v>0</v>
      </c>
      <c r="BP617" s="114"/>
      <c r="BQ617" s="114">
        <f>VLOOKUP($C617,'1 预算编制表单'!$C:$BJ,36,FALSE)</f>
        <v>0</v>
      </c>
      <c r="BR617" s="114">
        <f t="shared" ref="BR617:BR621" si="6797">BQ617-BS617</f>
        <v>0</v>
      </c>
      <c r="BS617" s="114"/>
      <c r="BT617" s="114">
        <f>VLOOKUP($C617,'1 预算编制表单'!$C:$BJ,39,FALSE)</f>
        <v>0</v>
      </c>
      <c r="BU617" s="114">
        <f t="shared" ref="BU617:BU621" si="6798">BT617-BV617</f>
        <v>0</v>
      </c>
      <c r="BV617" s="114"/>
      <c r="BW617" s="114">
        <f>VLOOKUP($C617,'1 预算编制表单'!$C:$BJ,42,FALSE)</f>
        <v>0</v>
      </c>
      <c r="BX617" s="114">
        <f t="shared" ref="BX617:BX621" si="6799">BW617-BY617</f>
        <v>0</v>
      </c>
      <c r="BY617" s="114"/>
      <c r="BZ617" s="114">
        <f>VLOOKUP($C617,'1 预算编制表单'!$C:$BJ,45,FALSE)</f>
        <v>0</v>
      </c>
      <c r="CA617" s="114">
        <f t="shared" ref="CA617:CA621" si="6800">BZ617-CB617</f>
        <v>0</v>
      </c>
      <c r="CB617" s="114"/>
      <c r="CC617" s="114">
        <f>VLOOKUP($C617,'1 预算编制表单'!$C:$BJ,48,FALSE)</f>
        <v>0</v>
      </c>
      <c r="CD617" s="114">
        <f t="shared" ref="CD617:CD621" si="6801">CC617-CE617</f>
        <v>0</v>
      </c>
      <c r="CE617" s="114"/>
      <c r="CF617" s="114">
        <f>VLOOKUP($C617,'1 预算编制表单'!$C:$BJ,51,FALSE)</f>
        <v>0</v>
      </c>
      <c r="CG617" s="114">
        <f t="shared" ref="CG617:CG621" si="6802">CF617-CH617</f>
        <v>0</v>
      </c>
      <c r="CH617" s="114"/>
      <c r="CI617" s="114">
        <f>VLOOKUP($C617,'1 预算编制表单'!$C:$BJ,54,FALSE)</f>
        <v>0</v>
      </c>
      <c r="CJ617" s="114">
        <f t="shared" ref="CJ617:CJ621" si="6803">CI617-CK617</f>
        <v>0</v>
      </c>
      <c r="CK617" s="114"/>
      <c r="CL617" s="114">
        <f>VLOOKUP($C617,'1 预算编制表单'!$C:$BJ,57,FALSE)</f>
        <v>0</v>
      </c>
      <c r="CM617" s="114">
        <f t="shared" ref="CM617:CM621" si="6804">CL617-CN617</f>
        <v>0</v>
      </c>
      <c r="CN617" s="114"/>
      <c r="CO617" s="114">
        <f>VLOOKUP($C617,'1 预算编制表单'!$C:$BJ,60,FALSE)</f>
        <v>0</v>
      </c>
      <c r="CP617" s="114">
        <f t="shared" ref="CP617:CP621" si="6805">CO617-CQ617</f>
        <v>0</v>
      </c>
      <c r="CQ617" s="114"/>
    </row>
    <row r="618" ht="24" hidden="1" customHeight="1" outlineLevel="1" spans="1:95">
      <c r="A618" s="22"/>
      <c r="B618" s="112" t="s">
        <v>742</v>
      </c>
      <c r="C618" s="113" t="s">
        <v>2327</v>
      </c>
      <c r="D618" s="22" t="s">
        <v>2328</v>
      </c>
      <c r="E618" s="112" t="s">
        <v>2329</v>
      </c>
      <c r="F618" s="112" t="s">
        <v>1572</v>
      </c>
      <c r="G618" s="112" t="s">
        <v>891</v>
      </c>
      <c r="H618" s="114">
        <f t="shared" si="6779"/>
        <v>0</v>
      </c>
      <c r="I618" s="114">
        <f t="shared" si="6780"/>
        <v>0</v>
      </c>
      <c r="J618" s="114">
        <f t="shared" si="6781"/>
        <v>0</v>
      </c>
      <c r="K618" s="114"/>
      <c r="L618" s="147"/>
      <c r="M618" s="147"/>
      <c r="N618" s="114"/>
      <c r="O618" s="147"/>
      <c r="P618" s="114"/>
      <c r="Q618" s="114"/>
      <c r="R618" s="114"/>
      <c r="S618" s="114"/>
      <c r="T618" s="114"/>
      <c r="U618" s="114"/>
      <c r="V618" s="114"/>
      <c r="W618" s="114"/>
      <c r="X618" s="114">
        <f>VLOOKUP($C618,'1 预算编制表单'!$C:$BJ,27,FALSE)</f>
        <v>0</v>
      </c>
      <c r="Y618" s="114">
        <f t="shared" ref="Y618:Y621" si="6806">X618-Z618</f>
        <v>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0</v>
      </c>
      <c r="BI618" s="114">
        <f t="shared" si="6794"/>
        <v>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hidden="1" customHeight="1" outlineLevel="1" spans="1:95">
      <c r="A619" s="22"/>
      <c r="B619" s="112" t="s">
        <v>742</v>
      </c>
      <c r="C619" s="113" t="s">
        <v>2330</v>
      </c>
      <c r="D619" s="22" t="s">
        <v>2331</v>
      </c>
      <c r="E619" s="112" t="s">
        <v>2332</v>
      </c>
      <c r="F619" s="112" t="s">
        <v>1572</v>
      </c>
      <c r="G619" s="112" t="s">
        <v>891</v>
      </c>
      <c r="H619" s="114">
        <f t="shared" si="6779"/>
        <v>0</v>
      </c>
      <c r="I619" s="114">
        <f t="shared" si="6780"/>
        <v>0</v>
      </c>
      <c r="J619" s="114">
        <f t="shared" si="6781"/>
        <v>0</v>
      </c>
      <c r="K619" s="114"/>
      <c r="L619" s="147"/>
      <c r="M619" s="147"/>
      <c r="N619" s="114"/>
      <c r="O619" s="147"/>
      <c r="P619" s="114"/>
      <c r="Q619" s="114"/>
      <c r="R619" s="114"/>
      <c r="S619" s="114"/>
      <c r="T619" s="114"/>
      <c r="U619" s="114"/>
      <c r="V619" s="114"/>
      <c r="W619" s="114"/>
      <c r="X619" s="114">
        <f>VLOOKUP($C619,'1 预算编制表单'!$C:$BJ,27,FALSE)</f>
        <v>0</v>
      </c>
      <c r="Y619" s="114">
        <f t="shared" si="6806"/>
        <v>0</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0</v>
      </c>
      <c r="BI619" s="114">
        <f t="shared" si="6794"/>
        <v>0</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24" hidden="1" customHeight="1" outlineLevel="1" spans="1:95">
      <c r="A620" s="22"/>
      <c r="B620" s="112" t="s">
        <v>742</v>
      </c>
      <c r="C620" s="113" t="s">
        <v>2333</v>
      </c>
      <c r="D620" s="22" t="s">
        <v>2334</v>
      </c>
      <c r="E620" s="22"/>
      <c r="F620" s="112" t="s">
        <v>1572</v>
      </c>
      <c r="G620" s="112" t="s">
        <v>891</v>
      </c>
      <c r="H620" s="114">
        <f t="shared" si="6779"/>
        <v>0</v>
      </c>
      <c r="I620" s="114">
        <f t="shared" si="6780"/>
        <v>0</v>
      </c>
      <c r="J620" s="114">
        <f t="shared" si="6781"/>
        <v>0</v>
      </c>
      <c r="K620" s="114"/>
      <c r="L620" s="147"/>
      <c r="M620" s="147"/>
      <c r="N620" s="114"/>
      <c r="O620" s="147"/>
      <c r="P620" s="114"/>
      <c r="Q620" s="114"/>
      <c r="R620" s="114"/>
      <c r="S620" s="114"/>
      <c r="T620" s="114"/>
      <c r="U620" s="114"/>
      <c r="V620" s="114"/>
      <c r="W620" s="114"/>
      <c r="X620" s="114">
        <f>VLOOKUP($C620,'1 预算编制表单'!$C:$BJ,27,FALSE)</f>
        <v>0</v>
      </c>
      <c r="Y620" s="114">
        <f t="shared" si="6806"/>
        <v>0</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0</v>
      </c>
      <c r="BI620" s="114">
        <f t="shared" si="6794"/>
        <v>0</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24" hidden="1" customHeight="1" outlineLevel="1" spans="1:95">
      <c r="A621" s="22"/>
      <c r="B621" s="112" t="s">
        <v>742</v>
      </c>
      <c r="C621" s="113" t="s">
        <v>2335</v>
      </c>
      <c r="D621" s="22" t="s">
        <v>2336</v>
      </c>
      <c r="E621" s="22"/>
      <c r="F621" s="112" t="s">
        <v>1572</v>
      </c>
      <c r="G621" s="112" t="s">
        <v>891</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434"/>
  <sheetViews>
    <sheetView zoomScale="70" zoomScaleNormal="70" topLeftCell="A433" workbookViewId="0">
      <selection activeCell="F5" sqref="F5:I434"/>
    </sheetView>
  </sheetViews>
  <sheetFormatPr defaultColWidth="9" defaultRowHeight="14"/>
  <cols>
    <col min="1" max="5" width="9" style="64"/>
    <col min="6" max="6" width="10.2727272727273" style="64"/>
    <col min="7" max="7" width="9" style="64"/>
    <col min="8" max="9" width="10.2727272727273" style="64"/>
    <col min="10" max="16384" width="9" style="64"/>
  </cols>
  <sheetData>
    <row r="1" ht="15" spans="1:13">
      <c r="A1" s="76" t="s">
        <v>2804</v>
      </c>
      <c r="B1" s="77"/>
      <c r="C1" s="77"/>
      <c r="D1" s="77"/>
      <c r="E1" s="77"/>
      <c r="F1" s="77"/>
      <c r="G1" s="77"/>
      <c r="H1" s="77"/>
      <c r="I1" s="77"/>
      <c r="J1" s="77"/>
      <c r="K1" s="77"/>
      <c r="L1" s="77"/>
      <c r="M1" s="77"/>
    </row>
    <row r="2" ht="15" spans="1:13">
      <c r="A2" s="76" t="s">
        <v>2805</v>
      </c>
      <c r="B2" s="77"/>
      <c r="C2" s="77"/>
      <c r="D2" s="77"/>
      <c r="E2" s="77"/>
      <c r="F2" s="77"/>
      <c r="G2" s="77"/>
      <c r="H2" s="77"/>
      <c r="I2" s="77"/>
      <c r="J2" s="77"/>
      <c r="K2" s="77"/>
      <c r="L2" s="77"/>
      <c r="M2" s="77"/>
    </row>
    <row r="3" ht="15" spans="1:13">
      <c r="A3" s="76" t="s">
        <v>2806</v>
      </c>
      <c r="B3" s="77"/>
      <c r="C3" s="77"/>
      <c r="D3" s="77"/>
      <c r="E3" s="77"/>
      <c r="F3" s="77"/>
      <c r="G3" s="77"/>
      <c r="H3" s="77"/>
      <c r="I3" s="77"/>
      <c r="J3" s="77"/>
      <c r="K3" s="77"/>
      <c r="L3" s="77"/>
      <c r="M3" s="77"/>
    </row>
    <row r="4" ht="30" spans="1:13">
      <c r="A4" s="78" t="s">
        <v>2807</v>
      </c>
      <c r="B4" s="78" t="s">
        <v>2808</v>
      </c>
      <c r="C4" s="78" t="s">
        <v>2809</v>
      </c>
      <c r="D4" s="78" t="s">
        <v>2810</v>
      </c>
      <c r="E4" s="78" t="s">
        <v>2811</v>
      </c>
      <c r="F4" s="78" t="s">
        <v>2812</v>
      </c>
      <c r="G4" s="78" t="s">
        <v>1190</v>
      </c>
      <c r="H4" s="78" t="s">
        <v>2813</v>
      </c>
      <c r="I4" s="78" t="s">
        <v>2814</v>
      </c>
      <c r="J4" s="78" t="s">
        <v>2815</v>
      </c>
      <c r="K4" s="78" t="s">
        <v>2816</v>
      </c>
      <c r="L4" s="78" t="s">
        <v>2817</v>
      </c>
      <c r="M4" s="78" t="s">
        <v>2818</v>
      </c>
    </row>
    <row r="5" ht="300" spans="1:13">
      <c r="A5" s="79" t="s">
        <v>2819</v>
      </c>
      <c r="B5" s="79" t="s">
        <v>2820</v>
      </c>
      <c r="C5" s="79" t="s">
        <v>2821</v>
      </c>
      <c r="D5" s="79" t="s">
        <v>2822</v>
      </c>
      <c r="E5" s="79" t="s">
        <v>2823</v>
      </c>
      <c r="F5" s="80">
        <v>2505</v>
      </c>
      <c r="G5" s="80">
        <v>1</v>
      </c>
      <c r="H5" s="80">
        <v>2505</v>
      </c>
      <c r="I5" s="80">
        <v>5681.12</v>
      </c>
      <c r="J5" s="79" t="s">
        <v>2824</v>
      </c>
      <c r="K5" s="79" t="s">
        <v>2825</v>
      </c>
      <c r="L5" s="79" t="s">
        <v>2826</v>
      </c>
      <c r="M5" s="79" t="s">
        <v>2827</v>
      </c>
    </row>
    <row r="6" ht="300" spans="1:13">
      <c r="A6" s="79" t="s">
        <v>2819</v>
      </c>
      <c r="B6" s="79" t="s">
        <v>2820</v>
      </c>
      <c r="C6" s="79" t="s">
        <v>2821</v>
      </c>
      <c r="D6" s="79" t="s">
        <v>2822</v>
      </c>
      <c r="E6" s="79" t="s">
        <v>2823</v>
      </c>
      <c r="F6" s="80">
        <v>832</v>
      </c>
      <c r="G6" s="80">
        <v>1</v>
      </c>
      <c r="H6" s="80">
        <v>832</v>
      </c>
      <c r="I6" s="80">
        <v>5681.12</v>
      </c>
      <c r="J6" s="79" t="s">
        <v>2824</v>
      </c>
      <c r="K6" s="79" t="s">
        <v>2825</v>
      </c>
      <c r="L6" s="79" t="s">
        <v>2826</v>
      </c>
      <c r="M6" s="79" t="s">
        <v>2828</v>
      </c>
    </row>
    <row r="7" ht="300" spans="1:13">
      <c r="A7" s="79" t="s">
        <v>2819</v>
      </c>
      <c r="B7" s="79" t="s">
        <v>2820</v>
      </c>
      <c r="C7" s="79" t="s">
        <v>2821</v>
      </c>
      <c r="D7" s="79" t="s">
        <v>2822</v>
      </c>
      <c r="E7" s="79" t="s">
        <v>2823</v>
      </c>
      <c r="F7" s="80">
        <v>1512.12</v>
      </c>
      <c r="G7" s="80">
        <v>1</v>
      </c>
      <c r="H7" s="80">
        <v>1512.12</v>
      </c>
      <c r="I7" s="80">
        <v>5681.12</v>
      </c>
      <c r="J7" s="79" t="s">
        <v>2824</v>
      </c>
      <c r="K7" s="79" t="s">
        <v>2825</v>
      </c>
      <c r="L7" s="79" t="s">
        <v>2826</v>
      </c>
      <c r="M7" s="79" t="s">
        <v>2829</v>
      </c>
    </row>
    <row r="8" ht="300" spans="1:13">
      <c r="A8" s="79" t="s">
        <v>2819</v>
      </c>
      <c r="B8" s="79" t="s">
        <v>2820</v>
      </c>
      <c r="C8" s="79" t="s">
        <v>2821</v>
      </c>
      <c r="D8" s="79" t="s">
        <v>2822</v>
      </c>
      <c r="E8" s="79" t="s">
        <v>2823</v>
      </c>
      <c r="F8" s="80">
        <v>832</v>
      </c>
      <c r="G8" s="80">
        <v>1</v>
      </c>
      <c r="H8" s="80">
        <v>832</v>
      </c>
      <c r="I8" s="80">
        <v>5681.12</v>
      </c>
      <c r="J8" s="79" t="s">
        <v>2824</v>
      </c>
      <c r="K8" s="79" t="s">
        <v>2825</v>
      </c>
      <c r="L8" s="79" t="s">
        <v>2826</v>
      </c>
      <c r="M8" s="79" t="s">
        <v>2830</v>
      </c>
    </row>
    <row r="9" ht="300" spans="1:13">
      <c r="A9" s="79" t="s">
        <v>2831</v>
      </c>
      <c r="B9" s="79" t="s">
        <v>2832</v>
      </c>
      <c r="C9" s="79" t="s">
        <v>2833</v>
      </c>
      <c r="D9" s="79" t="s">
        <v>2834</v>
      </c>
      <c r="E9" s="79" t="s">
        <v>2833</v>
      </c>
      <c r="F9" s="80">
        <v>52.2</v>
      </c>
      <c r="G9" s="80">
        <v>1</v>
      </c>
      <c r="H9" s="80">
        <v>52.2</v>
      </c>
      <c r="I9" s="80">
        <v>4885.57</v>
      </c>
      <c r="J9" s="79" t="s">
        <v>2835</v>
      </c>
      <c r="K9" s="79" t="s">
        <v>2836</v>
      </c>
      <c r="L9" s="79" t="s">
        <v>2826</v>
      </c>
      <c r="M9" s="79" t="s">
        <v>2837</v>
      </c>
    </row>
    <row r="10" ht="300" spans="1:13">
      <c r="A10" s="79" t="s">
        <v>2831</v>
      </c>
      <c r="B10" s="79" t="s">
        <v>2838</v>
      </c>
      <c r="C10" s="79" t="s">
        <v>2839</v>
      </c>
      <c r="D10" s="79" t="s">
        <v>2840</v>
      </c>
      <c r="E10" s="79" t="s">
        <v>2839</v>
      </c>
      <c r="F10" s="80">
        <v>117.79</v>
      </c>
      <c r="G10" s="80">
        <v>40</v>
      </c>
      <c r="H10" s="80">
        <v>4711.6</v>
      </c>
      <c r="I10" s="80">
        <v>4885.57</v>
      </c>
      <c r="J10" s="79" t="s">
        <v>2835</v>
      </c>
      <c r="K10" s="79" t="s">
        <v>2836</v>
      </c>
      <c r="L10" s="79" t="s">
        <v>2826</v>
      </c>
      <c r="M10" s="79" t="s">
        <v>2841</v>
      </c>
    </row>
    <row r="11" ht="300" spans="1:13">
      <c r="A11" s="79" t="s">
        <v>2831</v>
      </c>
      <c r="B11" s="79" t="s">
        <v>2842</v>
      </c>
      <c r="C11" s="79" t="s">
        <v>2843</v>
      </c>
      <c r="D11" s="79" t="s">
        <v>2844</v>
      </c>
      <c r="E11" s="79" t="s">
        <v>2843</v>
      </c>
      <c r="F11" s="80">
        <v>6.96</v>
      </c>
      <c r="G11" s="80">
        <v>5</v>
      </c>
      <c r="H11" s="80">
        <v>34.8</v>
      </c>
      <c r="I11" s="80">
        <v>4885.57</v>
      </c>
      <c r="J11" s="79" t="s">
        <v>2835</v>
      </c>
      <c r="K11" s="79" t="s">
        <v>2836</v>
      </c>
      <c r="L11" s="79" t="s">
        <v>2826</v>
      </c>
      <c r="M11" s="79" t="s">
        <v>2845</v>
      </c>
    </row>
    <row r="12" ht="300" spans="1:13">
      <c r="A12" s="79" t="s">
        <v>2831</v>
      </c>
      <c r="B12" s="79" t="s">
        <v>2846</v>
      </c>
      <c r="C12" s="79" t="s">
        <v>2847</v>
      </c>
      <c r="D12" s="79" t="s">
        <v>2848</v>
      </c>
      <c r="E12" s="79" t="s">
        <v>2847</v>
      </c>
      <c r="F12" s="80">
        <v>6.16</v>
      </c>
      <c r="G12" s="80">
        <v>6</v>
      </c>
      <c r="H12" s="80">
        <v>36.96</v>
      </c>
      <c r="I12" s="80">
        <v>4885.57</v>
      </c>
      <c r="J12" s="79" t="s">
        <v>2835</v>
      </c>
      <c r="K12" s="79" t="s">
        <v>2836</v>
      </c>
      <c r="L12" s="79" t="s">
        <v>2826</v>
      </c>
      <c r="M12" s="79" t="s">
        <v>2849</v>
      </c>
    </row>
    <row r="13" ht="300" spans="1:13">
      <c r="A13" s="79" t="s">
        <v>2831</v>
      </c>
      <c r="B13" s="79" t="s">
        <v>2850</v>
      </c>
      <c r="C13" s="79" t="s">
        <v>2851</v>
      </c>
      <c r="D13" s="79" t="s">
        <v>2852</v>
      </c>
      <c r="E13" s="79" t="s">
        <v>2851</v>
      </c>
      <c r="F13" s="80">
        <v>13.05</v>
      </c>
      <c r="G13" s="80">
        <v>1</v>
      </c>
      <c r="H13" s="80">
        <v>13.05</v>
      </c>
      <c r="I13" s="80">
        <v>4885.57</v>
      </c>
      <c r="J13" s="79" t="s">
        <v>2835</v>
      </c>
      <c r="K13" s="79" t="s">
        <v>2836</v>
      </c>
      <c r="L13" s="79" t="s">
        <v>2826</v>
      </c>
      <c r="M13" s="79" t="s">
        <v>2853</v>
      </c>
    </row>
    <row r="14" ht="300" spans="1:13">
      <c r="A14" s="79" t="s">
        <v>2831</v>
      </c>
      <c r="B14" s="79" t="s">
        <v>2854</v>
      </c>
      <c r="C14" s="79" t="s">
        <v>2855</v>
      </c>
      <c r="D14" s="79" t="s">
        <v>2844</v>
      </c>
      <c r="E14" s="79" t="s">
        <v>2855</v>
      </c>
      <c r="F14" s="80">
        <v>36.96</v>
      </c>
      <c r="G14" s="80">
        <v>1</v>
      </c>
      <c r="H14" s="80">
        <v>36.96</v>
      </c>
      <c r="I14" s="80">
        <v>4885.57</v>
      </c>
      <c r="J14" s="79" t="s">
        <v>2835</v>
      </c>
      <c r="K14" s="79" t="s">
        <v>2836</v>
      </c>
      <c r="L14" s="79" t="s">
        <v>2826</v>
      </c>
      <c r="M14" s="79" t="s">
        <v>2856</v>
      </c>
    </row>
    <row r="15" ht="300" spans="1:13">
      <c r="A15" s="79" t="s">
        <v>2857</v>
      </c>
      <c r="B15" s="79" t="s">
        <v>2858</v>
      </c>
      <c r="C15" s="79" t="s">
        <v>2859</v>
      </c>
      <c r="D15" s="79" t="s">
        <v>2860</v>
      </c>
      <c r="E15" s="79" t="s">
        <v>2859</v>
      </c>
      <c r="F15" s="80">
        <v>38617.92</v>
      </c>
      <c r="G15" s="80">
        <v>1</v>
      </c>
      <c r="H15" s="80">
        <v>38617.92</v>
      </c>
      <c r="I15" s="80">
        <v>38617.92</v>
      </c>
      <c r="J15" s="79" t="s">
        <v>2861</v>
      </c>
      <c r="K15" s="79" t="s">
        <v>2862</v>
      </c>
      <c r="L15" s="79" t="s">
        <v>2826</v>
      </c>
      <c r="M15" s="79" t="s">
        <v>2863</v>
      </c>
    </row>
    <row r="16" ht="300" spans="1:13">
      <c r="A16" s="79" t="s">
        <v>2864</v>
      </c>
      <c r="B16" s="79" t="s">
        <v>2865</v>
      </c>
      <c r="C16" s="79" t="s">
        <v>2866</v>
      </c>
      <c r="D16" s="79" t="s">
        <v>2867</v>
      </c>
      <c r="E16" s="79" t="s">
        <v>1742</v>
      </c>
      <c r="F16" s="80">
        <v>13.8</v>
      </c>
      <c r="G16" s="80">
        <v>4</v>
      </c>
      <c r="H16" s="80">
        <v>55.2</v>
      </c>
      <c r="I16" s="80">
        <v>498.39</v>
      </c>
      <c r="J16" s="79" t="s">
        <v>2868</v>
      </c>
      <c r="K16" s="79" t="s">
        <v>2869</v>
      </c>
      <c r="L16" s="79" t="s">
        <v>2826</v>
      </c>
      <c r="M16" s="79" t="s">
        <v>2870</v>
      </c>
    </row>
    <row r="17" ht="300" spans="1:13">
      <c r="A17" s="79" t="s">
        <v>2864</v>
      </c>
      <c r="B17" s="79" t="s">
        <v>2871</v>
      </c>
      <c r="C17" s="79" t="s">
        <v>2872</v>
      </c>
      <c r="D17" s="79" t="s">
        <v>2873</v>
      </c>
      <c r="E17" s="79" t="s">
        <v>2874</v>
      </c>
      <c r="F17" s="80">
        <v>1.84</v>
      </c>
      <c r="G17" s="80">
        <v>5</v>
      </c>
      <c r="H17" s="80">
        <v>9.2</v>
      </c>
      <c r="I17" s="80">
        <v>498.39</v>
      </c>
      <c r="J17" s="79" t="s">
        <v>2868</v>
      </c>
      <c r="K17" s="79" t="s">
        <v>2869</v>
      </c>
      <c r="L17" s="79" t="s">
        <v>2826</v>
      </c>
      <c r="M17" s="79" t="s">
        <v>2875</v>
      </c>
    </row>
    <row r="18" ht="300" spans="1:13">
      <c r="A18" s="79" t="s">
        <v>2864</v>
      </c>
      <c r="B18" s="79" t="s">
        <v>2876</v>
      </c>
      <c r="C18" s="79" t="s">
        <v>2877</v>
      </c>
      <c r="D18" s="79" t="s">
        <v>2878</v>
      </c>
      <c r="E18" s="79" t="s">
        <v>2879</v>
      </c>
      <c r="F18" s="80">
        <v>11</v>
      </c>
      <c r="G18" s="80">
        <v>5</v>
      </c>
      <c r="H18" s="80">
        <v>55</v>
      </c>
      <c r="I18" s="80">
        <v>498.39</v>
      </c>
      <c r="J18" s="79" t="s">
        <v>2868</v>
      </c>
      <c r="K18" s="79" t="s">
        <v>2869</v>
      </c>
      <c r="L18" s="79" t="s">
        <v>2826</v>
      </c>
      <c r="M18" s="79" t="s">
        <v>2880</v>
      </c>
    </row>
    <row r="19" ht="300" spans="1:13">
      <c r="A19" s="79" t="s">
        <v>2864</v>
      </c>
      <c r="B19" s="79" t="s">
        <v>2881</v>
      </c>
      <c r="C19" s="79" t="s">
        <v>2882</v>
      </c>
      <c r="D19" s="79" t="s">
        <v>2883</v>
      </c>
      <c r="E19" s="79" t="s">
        <v>2884</v>
      </c>
      <c r="F19" s="80">
        <v>33</v>
      </c>
      <c r="G19" s="80">
        <v>5</v>
      </c>
      <c r="H19" s="80">
        <v>165</v>
      </c>
      <c r="I19" s="80">
        <v>498.39</v>
      </c>
      <c r="J19" s="79" t="s">
        <v>2868</v>
      </c>
      <c r="K19" s="79" t="s">
        <v>2869</v>
      </c>
      <c r="L19" s="79" t="s">
        <v>2826</v>
      </c>
      <c r="M19" s="79" t="s">
        <v>2885</v>
      </c>
    </row>
    <row r="20" ht="300" spans="1:13">
      <c r="A20" s="79" t="s">
        <v>2864</v>
      </c>
      <c r="B20" s="79" t="s">
        <v>2886</v>
      </c>
      <c r="C20" s="79" t="s">
        <v>2887</v>
      </c>
      <c r="D20" s="79" t="s">
        <v>2883</v>
      </c>
      <c r="E20" s="79" t="s">
        <v>2888</v>
      </c>
      <c r="F20" s="80">
        <v>13.23</v>
      </c>
      <c r="G20" s="80">
        <v>5</v>
      </c>
      <c r="H20" s="80">
        <v>66.15</v>
      </c>
      <c r="I20" s="80">
        <v>498.39</v>
      </c>
      <c r="J20" s="79" t="s">
        <v>2868</v>
      </c>
      <c r="K20" s="79" t="s">
        <v>2869</v>
      </c>
      <c r="L20" s="79" t="s">
        <v>2826</v>
      </c>
      <c r="M20" s="79" t="s">
        <v>2889</v>
      </c>
    </row>
    <row r="21" ht="300" spans="1:13">
      <c r="A21" s="79" t="s">
        <v>2864</v>
      </c>
      <c r="B21" s="79" t="s">
        <v>2890</v>
      </c>
      <c r="C21" s="79" t="s">
        <v>2891</v>
      </c>
      <c r="D21" s="79" t="s">
        <v>2892</v>
      </c>
      <c r="E21" s="79" t="s">
        <v>2893</v>
      </c>
      <c r="F21" s="80">
        <v>6.6</v>
      </c>
      <c r="G21" s="80">
        <v>4</v>
      </c>
      <c r="H21" s="80">
        <v>26.4</v>
      </c>
      <c r="I21" s="80">
        <v>498.39</v>
      </c>
      <c r="J21" s="79" t="s">
        <v>2868</v>
      </c>
      <c r="K21" s="79" t="s">
        <v>2869</v>
      </c>
      <c r="L21" s="79" t="s">
        <v>2826</v>
      </c>
      <c r="M21" s="79" t="s">
        <v>2894</v>
      </c>
    </row>
    <row r="22" ht="300" spans="1:13">
      <c r="A22" s="79" t="s">
        <v>2864</v>
      </c>
      <c r="B22" s="79" t="s">
        <v>2895</v>
      </c>
      <c r="C22" s="79" t="s">
        <v>2896</v>
      </c>
      <c r="D22" s="79" t="s">
        <v>2878</v>
      </c>
      <c r="E22" s="79" t="s">
        <v>2879</v>
      </c>
      <c r="F22" s="80">
        <v>15</v>
      </c>
      <c r="G22" s="80">
        <v>2</v>
      </c>
      <c r="H22" s="80">
        <v>30</v>
      </c>
      <c r="I22" s="80">
        <v>498.39</v>
      </c>
      <c r="J22" s="79" t="s">
        <v>2868</v>
      </c>
      <c r="K22" s="79" t="s">
        <v>2869</v>
      </c>
      <c r="L22" s="79" t="s">
        <v>2826</v>
      </c>
      <c r="M22" s="79" t="s">
        <v>2897</v>
      </c>
    </row>
    <row r="23" ht="300" spans="1:13">
      <c r="A23" s="79" t="s">
        <v>2864</v>
      </c>
      <c r="B23" s="79" t="s">
        <v>2898</v>
      </c>
      <c r="C23" s="79" t="s">
        <v>2899</v>
      </c>
      <c r="D23" s="79" t="s">
        <v>2900</v>
      </c>
      <c r="E23" s="79" t="s">
        <v>1739</v>
      </c>
      <c r="F23" s="80">
        <v>18</v>
      </c>
      <c r="G23" s="80">
        <v>4</v>
      </c>
      <c r="H23" s="80">
        <v>72</v>
      </c>
      <c r="I23" s="80">
        <v>498.39</v>
      </c>
      <c r="J23" s="79" t="s">
        <v>2868</v>
      </c>
      <c r="K23" s="79" t="s">
        <v>2869</v>
      </c>
      <c r="L23" s="79" t="s">
        <v>2826</v>
      </c>
      <c r="M23" s="79" t="s">
        <v>2901</v>
      </c>
    </row>
    <row r="24" ht="300" spans="1:13">
      <c r="A24" s="79" t="s">
        <v>2864</v>
      </c>
      <c r="B24" s="79" t="s">
        <v>2902</v>
      </c>
      <c r="C24" s="79" t="s">
        <v>2903</v>
      </c>
      <c r="D24" s="79" t="s">
        <v>2883</v>
      </c>
      <c r="E24" s="79" t="s">
        <v>2904</v>
      </c>
      <c r="F24" s="80">
        <v>9.72</v>
      </c>
      <c r="G24" s="80">
        <v>2</v>
      </c>
      <c r="H24" s="80">
        <v>19.44</v>
      </c>
      <c r="I24" s="80">
        <v>498.39</v>
      </c>
      <c r="J24" s="79" t="s">
        <v>2868</v>
      </c>
      <c r="K24" s="79" t="s">
        <v>2869</v>
      </c>
      <c r="L24" s="79" t="s">
        <v>2826</v>
      </c>
      <c r="M24" s="79" t="s">
        <v>2905</v>
      </c>
    </row>
    <row r="25" ht="300" spans="1:13">
      <c r="A25" s="79" t="s">
        <v>2906</v>
      </c>
      <c r="B25" s="79" t="s">
        <v>2907</v>
      </c>
      <c r="C25" s="79" t="s">
        <v>2908</v>
      </c>
      <c r="D25" s="79" t="s">
        <v>2909</v>
      </c>
      <c r="E25" s="79" t="s">
        <v>2910</v>
      </c>
      <c r="F25" s="80">
        <v>0.21</v>
      </c>
      <c r="G25" s="80">
        <v>4000</v>
      </c>
      <c r="H25" s="80">
        <v>840</v>
      </c>
      <c r="I25" s="80">
        <v>840</v>
      </c>
      <c r="J25" s="79" t="s">
        <v>2911</v>
      </c>
      <c r="K25" s="79" t="s">
        <v>2912</v>
      </c>
      <c r="L25" s="79" t="s">
        <v>2826</v>
      </c>
      <c r="M25" s="79" t="s">
        <v>2913</v>
      </c>
    </row>
    <row r="26" ht="300" spans="1:13">
      <c r="A26" s="79" t="s">
        <v>2914</v>
      </c>
      <c r="B26" s="79" t="s">
        <v>2915</v>
      </c>
      <c r="C26" s="79" t="s">
        <v>2916</v>
      </c>
      <c r="D26" s="79" t="s">
        <v>2917</v>
      </c>
      <c r="E26" s="79" t="s">
        <v>2918</v>
      </c>
      <c r="F26" s="80">
        <v>6.9</v>
      </c>
      <c r="G26" s="80">
        <v>20</v>
      </c>
      <c r="H26" s="80">
        <v>138</v>
      </c>
      <c r="I26" s="80">
        <v>5768</v>
      </c>
      <c r="J26" s="79" t="s">
        <v>2868</v>
      </c>
      <c r="K26" s="79" t="s">
        <v>2919</v>
      </c>
      <c r="L26" s="79" t="s">
        <v>2826</v>
      </c>
      <c r="M26" s="79" t="s">
        <v>2920</v>
      </c>
    </row>
    <row r="27" ht="300" spans="1:13">
      <c r="A27" s="79" t="s">
        <v>2914</v>
      </c>
      <c r="B27" s="79" t="s">
        <v>2921</v>
      </c>
      <c r="C27" s="79" t="s">
        <v>2922</v>
      </c>
      <c r="D27" s="79" t="s">
        <v>2923</v>
      </c>
      <c r="E27" s="79" t="s">
        <v>2924</v>
      </c>
      <c r="F27" s="80">
        <v>12.5</v>
      </c>
      <c r="G27" s="80">
        <v>40</v>
      </c>
      <c r="H27" s="80">
        <v>500</v>
      </c>
      <c r="I27" s="80">
        <v>5768</v>
      </c>
      <c r="J27" s="79" t="s">
        <v>2868</v>
      </c>
      <c r="K27" s="79" t="s">
        <v>2919</v>
      </c>
      <c r="L27" s="79" t="s">
        <v>2826</v>
      </c>
      <c r="M27" s="79" t="s">
        <v>2925</v>
      </c>
    </row>
    <row r="28" ht="300" spans="1:13">
      <c r="A28" s="79" t="s">
        <v>2914</v>
      </c>
      <c r="B28" s="79" t="s">
        <v>2926</v>
      </c>
      <c r="C28" s="79" t="s">
        <v>2927</v>
      </c>
      <c r="D28" s="79" t="s">
        <v>2873</v>
      </c>
      <c r="E28" s="79" t="s">
        <v>2928</v>
      </c>
      <c r="F28" s="80">
        <v>17.1</v>
      </c>
      <c r="G28" s="80">
        <v>300</v>
      </c>
      <c r="H28" s="80">
        <v>5130</v>
      </c>
      <c r="I28" s="80">
        <v>5768</v>
      </c>
      <c r="J28" s="79" t="s">
        <v>2868</v>
      </c>
      <c r="K28" s="79" t="s">
        <v>2919</v>
      </c>
      <c r="L28" s="79" t="s">
        <v>2826</v>
      </c>
      <c r="M28" s="79" t="s">
        <v>2929</v>
      </c>
    </row>
    <row r="29" ht="300" spans="1:13">
      <c r="A29" s="79" t="s">
        <v>2930</v>
      </c>
      <c r="B29" s="79" t="s">
        <v>2881</v>
      </c>
      <c r="C29" s="79" t="s">
        <v>2882</v>
      </c>
      <c r="D29" s="79" t="s">
        <v>2883</v>
      </c>
      <c r="E29" s="79" t="s">
        <v>2884</v>
      </c>
      <c r="F29" s="80">
        <v>33</v>
      </c>
      <c r="G29" s="80">
        <v>5</v>
      </c>
      <c r="H29" s="80">
        <v>165</v>
      </c>
      <c r="I29" s="80">
        <v>900</v>
      </c>
      <c r="J29" s="79" t="s">
        <v>2868</v>
      </c>
      <c r="K29" s="79" t="s">
        <v>2931</v>
      </c>
      <c r="L29" s="79" t="s">
        <v>2826</v>
      </c>
      <c r="M29" s="79" t="s">
        <v>2932</v>
      </c>
    </row>
    <row r="30" ht="300" spans="1:13">
      <c r="A30" s="79" t="s">
        <v>2930</v>
      </c>
      <c r="B30" s="79" t="s">
        <v>2933</v>
      </c>
      <c r="C30" s="79" t="s">
        <v>2934</v>
      </c>
      <c r="D30" s="79" t="s">
        <v>2883</v>
      </c>
      <c r="E30" s="79" t="s">
        <v>2935</v>
      </c>
      <c r="F30" s="80">
        <v>10.5</v>
      </c>
      <c r="G30" s="80">
        <v>1</v>
      </c>
      <c r="H30" s="80">
        <v>10.5</v>
      </c>
      <c r="I30" s="80">
        <v>900</v>
      </c>
      <c r="J30" s="79" t="s">
        <v>2868</v>
      </c>
      <c r="K30" s="79" t="s">
        <v>2931</v>
      </c>
      <c r="L30" s="79" t="s">
        <v>2826</v>
      </c>
      <c r="M30" s="79" t="s">
        <v>2936</v>
      </c>
    </row>
    <row r="31" ht="300" spans="1:13">
      <c r="A31" s="79" t="s">
        <v>2930</v>
      </c>
      <c r="B31" s="79" t="s">
        <v>2937</v>
      </c>
      <c r="C31" s="79" t="s">
        <v>2938</v>
      </c>
      <c r="D31" s="79" t="s">
        <v>2939</v>
      </c>
      <c r="E31" s="79" t="s">
        <v>2940</v>
      </c>
      <c r="F31" s="80">
        <v>30.6</v>
      </c>
      <c r="G31" s="80">
        <v>5</v>
      </c>
      <c r="H31" s="80">
        <v>153</v>
      </c>
      <c r="I31" s="80">
        <v>900</v>
      </c>
      <c r="J31" s="79" t="s">
        <v>2868</v>
      </c>
      <c r="K31" s="79" t="s">
        <v>2931</v>
      </c>
      <c r="L31" s="79" t="s">
        <v>2826</v>
      </c>
      <c r="M31" s="79" t="s">
        <v>2941</v>
      </c>
    </row>
    <row r="32" ht="300" spans="1:13">
      <c r="A32" s="79" t="s">
        <v>2930</v>
      </c>
      <c r="B32" s="79" t="s">
        <v>2942</v>
      </c>
      <c r="C32" s="79" t="s">
        <v>2943</v>
      </c>
      <c r="D32" s="79" t="s">
        <v>2873</v>
      </c>
      <c r="E32" s="79" t="s">
        <v>2944</v>
      </c>
      <c r="F32" s="80">
        <v>31</v>
      </c>
      <c r="G32" s="80">
        <v>2</v>
      </c>
      <c r="H32" s="80">
        <v>62</v>
      </c>
      <c r="I32" s="80">
        <v>900</v>
      </c>
      <c r="J32" s="79" t="s">
        <v>2868</v>
      </c>
      <c r="K32" s="79" t="s">
        <v>2931</v>
      </c>
      <c r="L32" s="79" t="s">
        <v>2826</v>
      </c>
      <c r="M32" s="79" t="s">
        <v>2945</v>
      </c>
    </row>
    <row r="33" ht="300" spans="1:13">
      <c r="A33" s="79" t="s">
        <v>2930</v>
      </c>
      <c r="B33" s="79" t="s">
        <v>2946</v>
      </c>
      <c r="C33" s="79" t="s">
        <v>2947</v>
      </c>
      <c r="D33" s="79" t="s">
        <v>2948</v>
      </c>
      <c r="E33" s="79" t="s">
        <v>2949</v>
      </c>
      <c r="F33" s="80">
        <v>20</v>
      </c>
      <c r="G33" s="80">
        <v>7</v>
      </c>
      <c r="H33" s="80">
        <v>140</v>
      </c>
      <c r="I33" s="80">
        <v>900</v>
      </c>
      <c r="J33" s="79" t="s">
        <v>2868</v>
      </c>
      <c r="K33" s="79" t="s">
        <v>2931</v>
      </c>
      <c r="L33" s="79" t="s">
        <v>2826</v>
      </c>
      <c r="M33" s="79" t="s">
        <v>2950</v>
      </c>
    </row>
    <row r="34" ht="300" spans="1:13">
      <c r="A34" s="79" t="s">
        <v>2930</v>
      </c>
      <c r="B34" s="79" t="s">
        <v>2951</v>
      </c>
      <c r="C34" s="79" t="s">
        <v>2952</v>
      </c>
      <c r="D34" s="79" t="s">
        <v>2953</v>
      </c>
      <c r="E34" s="79" t="s">
        <v>2954</v>
      </c>
      <c r="F34" s="80">
        <v>3.1</v>
      </c>
      <c r="G34" s="80">
        <v>5</v>
      </c>
      <c r="H34" s="80">
        <v>15.5</v>
      </c>
      <c r="I34" s="80">
        <v>900</v>
      </c>
      <c r="J34" s="79" t="s">
        <v>2868</v>
      </c>
      <c r="K34" s="79" t="s">
        <v>2931</v>
      </c>
      <c r="L34" s="79" t="s">
        <v>2826</v>
      </c>
      <c r="M34" s="79" t="s">
        <v>2955</v>
      </c>
    </row>
    <row r="35" ht="300" spans="1:13">
      <c r="A35" s="79" t="s">
        <v>2930</v>
      </c>
      <c r="B35" s="79" t="s">
        <v>2956</v>
      </c>
      <c r="C35" s="79" t="s">
        <v>2957</v>
      </c>
      <c r="D35" s="79" t="s">
        <v>2958</v>
      </c>
      <c r="E35" s="79" t="s">
        <v>1770</v>
      </c>
      <c r="F35" s="80">
        <v>17.7</v>
      </c>
      <c r="G35" s="80">
        <v>20</v>
      </c>
      <c r="H35" s="80">
        <v>354</v>
      </c>
      <c r="I35" s="80">
        <v>900</v>
      </c>
      <c r="J35" s="79" t="s">
        <v>2868</v>
      </c>
      <c r="K35" s="79" t="s">
        <v>2931</v>
      </c>
      <c r="L35" s="79" t="s">
        <v>2826</v>
      </c>
      <c r="M35" s="79" t="s">
        <v>2959</v>
      </c>
    </row>
    <row r="36" ht="300" spans="1:13">
      <c r="A36" s="79" t="s">
        <v>2960</v>
      </c>
      <c r="B36" s="79" t="s">
        <v>2961</v>
      </c>
      <c r="C36" s="79" t="s">
        <v>2962</v>
      </c>
      <c r="D36" s="79" t="s">
        <v>2963</v>
      </c>
      <c r="E36" s="79" t="s">
        <v>2962</v>
      </c>
      <c r="F36" s="80">
        <v>8666</v>
      </c>
      <c r="G36" s="80">
        <v>1</v>
      </c>
      <c r="H36" s="80">
        <v>8666</v>
      </c>
      <c r="I36" s="80">
        <v>8666</v>
      </c>
      <c r="J36" s="79" t="s">
        <v>2964</v>
      </c>
      <c r="K36" s="79" t="s">
        <v>2965</v>
      </c>
      <c r="L36" s="79" t="s">
        <v>2826</v>
      </c>
      <c r="M36" s="79" t="s">
        <v>2966</v>
      </c>
    </row>
    <row r="37" ht="300" spans="1:13">
      <c r="A37" s="79" t="s">
        <v>2967</v>
      </c>
      <c r="B37" s="79" t="s">
        <v>2968</v>
      </c>
      <c r="C37" s="79" t="s">
        <v>2969</v>
      </c>
      <c r="D37" s="79" t="s">
        <v>2970</v>
      </c>
      <c r="E37" s="79" t="s">
        <v>1861</v>
      </c>
      <c r="F37" s="80">
        <v>9.49</v>
      </c>
      <c r="G37" s="80">
        <v>50</v>
      </c>
      <c r="H37" s="80">
        <v>474.5</v>
      </c>
      <c r="I37" s="80">
        <v>1557.31</v>
      </c>
      <c r="J37" s="79" t="s">
        <v>2868</v>
      </c>
      <c r="K37" s="79" t="s">
        <v>2971</v>
      </c>
      <c r="L37" s="79" t="s">
        <v>2826</v>
      </c>
      <c r="M37" s="79" t="s">
        <v>2972</v>
      </c>
    </row>
    <row r="38" ht="300" spans="1:13">
      <c r="A38" s="79" t="s">
        <v>2967</v>
      </c>
      <c r="B38" s="79" t="s">
        <v>2973</v>
      </c>
      <c r="C38" s="79" t="s">
        <v>2974</v>
      </c>
      <c r="D38" s="79" t="s">
        <v>2883</v>
      </c>
      <c r="E38" s="79" t="s">
        <v>2975</v>
      </c>
      <c r="F38" s="80">
        <v>104</v>
      </c>
      <c r="G38" s="80">
        <v>1</v>
      </c>
      <c r="H38" s="80">
        <v>104</v>
      </c>
      <c r="I38" s="80">
        <v>1557.31</v>
      </c>
      <c r="J38" s="79" t="s">
        <v>2868</v>
      </c>
      <c r="K38" s="79" t="s">
        <v>2971</v>
      </c>
      <c r="L38" s="79" t="s">
        <v>2826</v>
      </c>
      <c r="M38" s="79" t="s">
        <v>2976</v>
      </c>
    </row>
    <row r="39" ht="300" spans="1:13">
      <c r="A39" s="79" t="s">
        <v>2967</v>
      </c>
      <c r="B39" s="79" t="s">
        <v>2977</v>
      </c>
      <c r="C39" s="79" t="s">
        <v>2978</v>
      </c>
      <c r="D39" s="79" t="s">
        <v>2883</v>
      </c>
      <c r="E39" s="79" t="s">
        <v>2979</v>
      </c>
      <c r="F39" s="80">
        <v>40.8</v>
      </c>
      <c r="G39" s="80">
        <v>2</v>
      </c>
      <c r="H39" s="80">
        <v>81.6</v>
      </c>
      <c r="I39" s="80">
        <v>1557.31</v>
      </c>
      <c r="J39" s="79" t="s">
        <v>2868</v>
      </c>
      <c r="K39" s="79" t="s">
        <v>2971</v>
      </c>
      <c r="L39" s="79" t="s">
        <v>2826</v>
      </c>
      <c r="M39" s="79" t="s">
        <v>2980</v>
      </c>
    </row>
    <row r="40" ht="300" spans="1:13">
      <c r="A40" s="79" t="s">
        <v>2967</v>
      </c>
      <c r="B40" s="79" t="s">
        <v>2981</v>
      </c>
      <c r="C40" s="79" t="s">
        <v>2982</v>
      </c>
      <c r="D40" s="79" t="s">
        <v>2873</v>
      </c>
      <c r="E40" s="79" t="s">
        <v>2983</v>
      </c>
      <c r="F40" s="80">
        <v>12.6</v>
      </c>
      <c r="G40" s="80">
        <v>1</v>
      </c>
      <c r="H40" s="80">
        <v>12.6</v>
      </c>
      <c r="I40" s="80">
        <v>1557.31</v>
      </c>
      <c r="J40" s="79" t="s">
        <v>2868</v>
      </c>
      <c r="K40" s="79" t="s">
        <v>2971</v>
      </c>
      <c r="L40" s="79" t="s">
        <v>2826</v>
      </c>
      <c r="M40" s="79" t="s">
        <v>2984</v>
      </c>
    </row>
    <row r="41" ht="300" spans="1:13">
      <c r="A41" s="79" t="s">
        <v>2967</v>
      </c>
      <c r="B41" s="79" t="s">
        <v>2886</v>
      </c>
      <c r="C41" s="79" t="s">
        <v>2887</v>
      </c>
      <c r="D41" s="79" t="s">
        <v>2883</v>
      </c>
      <c r="E41" s="79" t="s">
        <v>2888</v>
      </c>
      <c r="F41" s="80">
        <v>13.23</v>
      </c>
      <c r="G41" s="80">
        <v>5</v>
      </c>
      <c r="H41" s="80">
        <v>66.15</v>
      </c>
      <c r="I41" s="80">
        <v>1557.31</v>
      </c>
      <c r="J41" s="79" t="s">
        <v>2868</v>
      </c>
      <c r="K41" s="79" t="s">
        <v>2971</v>
      </c>
      <c r="L41" s="79" t="s">
        <v>2826</v>
      </c>
      <c r="M41" s="79" t="s">
        <v>2985</v>
      </c>
    </row>
    <row r="42" ht="300" spans="1:13">
      <c r="A42" s="79" t="s">
        <v>2967</v>
      </c>
      <c r="B42" s="79" t="s">
        <v>2986</v>
      </c>
      <c r="C42" s="79" t="s">
        <v>2987</v>
      </c>
      <c r="D42" s="79" t="s">
        <v>2923</v>
      </c>
      <c r="E42" s="79" t="s">
        <v>2988</v>
      </c>
      <c r="F42" s="80">
        <v>7.2</v>
      </c>
      <c r="G42" s="80">
        <v>2</v>
      </c>
      <c r="H42" s="80">
        <v>14.4</v>
      </c>
      <c r="I42" s="80">
        <v>1557.31</v>
      </c>
      <c r="J42" s="79" t="s">
        <v>2868</v>
      </c>
      <c r="K42" s="79" t="s">
        <v>2971</v>
      </c>
      <c r="L42" s="79" t="s">
        <v>2826</v>
      </c>
      <c r="M42" s="79" t="s">
        <v>2989</v>
      </c>
    </row>
    <row r="43" ht="300" spans="1:13">
      <c r="A43" s="79" t="s">
        <v>2967</v>
      </c>
      <c r="B43" s="79" t="s">
        <v>2990</v>
      </c>
      <c r="C43" s="79" t="s">
        <v>2991</v>
      </c>
      <c r="D43" s="79" t="s">
        <v>2923</v>
      </c>
      <c r="E43" s="79" t="s">
        <v>2992</v>
      </c>
      <c r="F43" s="80">
        <v>4.2</v>
      </c>
      <c r="G43" s="80">
        <v>10</v>
      </c>
      <c r="H43" s="80">
        <v>42</v>
      </c>
      <c r="I43" s="80">
        <v>1557.31</v>
      </c>
      <c r="J43" s="79" t="s">
        <v>2868</v>
      </c>
      <c r="K43" s="79" t="s">
        <v>2971</v>
      </c>
      <c r="L43" s="79" t="s">
        <v>2826</v>
      </c>
      <c r="M43" s="79" t="s">
        <v>2993</v>
      </c>
    </row>
    <row r="44" ht="300" spans="1:13">
      <c r="A44" s="79" t="s">
        <v>2967</v>
      </c>
      <c r="B44" s="79" t="s">
        <v>2994</v>
      </c>
      <c r="C44" s="79" t="s">
        <v>2995</v>
      </c>
      <c r="D44" s="79" t="s">
        <v>2958</v>
      </c>
      <c r="E44" s="79" t="s">
        <v>1770</v>
      </c>
      <c r="F44" s="80">
        <v>5.3</v>
      </c>
      <c r="G44" s="80">
        <v>50</v>
      </c>
      <c r="H44" s="80">
        <v>265</v>
      </c>
      <c r="I44" s="80">
        <v>1557.31</v>
      </c>
      <c r="J44" s="79" t="s">
        <v>2868</v>
      </c>
      <c r="K44" s="79" t="s">
        <v>2971</v>
      </c>
      <c r="L44" s="79" t="s">
        <v>2826</v>
      </c>
      <c r="M44" s="79" t="s">
        <v>2996</v>
      </c>
    </row>
    <row r="45" ht="300" spans="1:13">
      <c r="A45" s="79" t="s">
        <v>2967</v>
      </c>
      <c r="B45" s="79" t="s">
        <v>2937</v>
      </c>
      <c r="C45" s="79" t="s">
        <v>2938</v>
      </c>
      <c r="D45" s="79" t="s">
        <v>2939</v>
      </c>
      <c r="E45" s="79" t="s">
        <v>2940</v>
      </c>
      <c r="F45" s="80">
        <v>30.6</v>
      </c>
      <c r="G45" s="80">
        <v>5</v>
      </c>
      <c r="H45" s="80">
        <v>153</v>
      </c>
      <c r="I45" s="80">
        <v>1557.31</v>
      </c>
      <c r="J45" s="79" t="s">
        <v>2868</v>
      </c>
      <c r="K45" s="79" t="s">
        <v>2971</v>
      </c>
      <c r="L45" s="79" t="s">
        <v>2826</v>
      </c>
      <c r="M45" s="79" t="s">
        <v>2997</v>
      </c>
    </row>
    <row r="46" ht="300" spans="1:13">
      <c r="A46" s="79" t="s">
        <v>2967</v>
      </c>
      <c r="B46" s="79" t="s">
        <v>2998</v>
      </c>
      <c r="C46" s="79" t="s">
        <v>2999</v>
      </c>
      <c r="D46" s="79" t="s">
        <v>3000</v>
      </c>
      <c r="E46" s="79" t="s">
        <v>1737</v>
      </c>
      <c r="F46" s="80">
        <v>34.2</v>
      </c>
      <c r="G46" s="80">
        <v>4</v>
      </c>
      <c r="H46" s="80">
        <v>136.8</v>
      </c>
      <c r="I46" s="80">
        <v>1557.31</v>
      </c>
      <c r="J46" s="79" t="s">
        <v>2868</v>
      </c>
      <c r="K46" s="79" t="s">
        <v>2971</v>
      </c>
      <c r="L46" s="79" t="s">
        <v>2826</v>
      </c>
      <c r="M46" s="79" t="s">
        <v>3001</v>
      </c>
    </row>
    <row r="47" ht="300" spans="1:13">
      <c r="A47" s="79" t="s">
        <v>2967</v>
      </c>
      <c r="B47" s="79" t="s">
        <v>3002</v>
      </c>
      <c r="C47" s="79" t="s">
        <v>3003</v>
      </c>
      <c r="D47" s="79" t="s">
        <v>2883</v>
      </c>
      <c r="E47" s="79" t="s">
        <v>3004</v>
      </c>
      <c r="F47" s="80">
        <v>21.5</v>
      </c>
      <c r="G47" s="80">
        <v>5</v>
      </c>
      <c r="H47" s="80">
        <v>107.5</v>
      </c>
      <c r="I47" s="80">
        <v>1557.31</v>
      </c>
      <c r="J47" s="79" t="s">
        <v>2868</v>
      </c>
      <c r="K47" s="79" t="s">
        <v>2971</v>
      </c>
      <c r="L47" s="79" t="s">
        <v>2826</v>
      </c>
      <c r="M47" s="79" t="s">
        <v>3005</v>
      </c>
    </row>
    <row r="48" ht="300" spans="1:13">
      <c r="A48" s="79" t="s">
        <v>2967</v>
      </c>
      <c r="B48" s="79" t="s">
        <v>3006</v>
      </c>
      <c r="C48" s="79" t="s">
        <v>3007</v>
      </c>
      <c r="D48" s="79" t="s">
        <v>3008</v>
      </c>
      <c r="E48" s="79" t="s">
        <v>3009</v>
      </c>
      <c r="F48" s="80">
        <v>5.2</v>
      </c>
      <c r="G48" s="80">
        <v>5</v>
      </c>
      <c r="H48" s="80">
        <v>26</v>
      </c>
      <c r="I48" s="80">
        <v>1557.31</v>
      </c>
      <c r="J48" s="79" t="s">
        <v>2868</v>
      </c>
      <c r="K48" s="79" t="s">
        <v>2971</v>
      </c>
      <c r="L48" s="79" t="s">
        <v>2826</v>
      </c>
      <c r="M48" s="79" t="s">
        <v>3010</v>
      </c>
    </row>
    <row r="49" ht="300" spans="1:13">
      <c r="A49" s="79" t="s">
        <v>2967</v>
      </c>
      <c r="B49" s="79" t="s">
        <v>3011</v>
      </c>
      <c r="C49" s="79" t="s">
        <v>3012</v>
      </c>
      <c r="D49" s="79" t="s">
        <v>3013</v>
      </c>
      <c r="E49" s="79" t="s">
        <v>3014</v>
      </c>
      <c r="F49" s="80">
        <v>11</v>
      </c>
      <c r="G49" s="80">
        <v>5</v>
      </c>
      <c r="H49" s="80">
        <v>55</v>
      </c>
      <c r="I49" s="80">
        <v>1557.31</v>
      </c>
      <c r="J49" s="79" t="s">
        <v>2868</v>
      </c>
      <c r="K49" s="79" t="s">
        <v>2971</v>
      </c>
      <c r="L49" s="79" t="s">
        <v>2826</v>
      </c>
      <c r="M49" s="79" t="s">
        <v>3015</v>
      </c>
    </row>
    <row r="50" ht="300" spans="1:13">
      <c r="A50" s="79" t="s">
        <v>2967</v>
      </c>
      <c r="B50" s="79" t="s">
        <v>3016</v>
      </c>
      <c r="C50" s="79" t="s">
        <v>3017</v>
      </c>
      <c r="D50" s="79" t="s">
        <v>2883</v>
      </c>
      <c r="E50" s="79" t="s">
        <v>3018</v>
      </c>
      <c r="F50" s="80">
        <v>4.69</v>
      </c>
      <c r="G50" s="80">
        <v>4</v>
      </c>
      <c r="H50" s="80">
        <v>18.76</v>
      </c>
      <c r="I50" s="80">
        <v>1557.31</v>
      </c>
      <c r="J50" s="79" t="s">
        <v>2868</v>
      </c>
      <c r="K50" s="79" t="s">
        <v>2971</v>
      </c>
      <c r="L50" s="79" t="s">
        <v>2826</v>
      </c>
      <c r="M50" s="79" t="s">
        <v>3019</v>
      </c>
    </row>
    <row r="51" ht="300" spans="1:13">
      <c r="A51" s="79" t="s">
        <v>3020</v>
      </c>
      <c r="B51" s="79" t="s">
        <v>2838</v>
      </c>
      <c r="C51" s="79" t="s">
        <v>2839</v>
      </c>
      <c r="D51" s="79" t="s">
        <v>2840</v>
      </c>
      <c r="E51" s="79" t="s">
        <v>2839</v>
      </c>
      <c r="F51" s="80">
        <v>117.79</v>
      </c>
      <c r="G51" s="80">
        <v>40</v>
      </c>
      <c r="H51" s="80">
        <v>4711.6</v>
      </c>
      <c r="I51" s="80">
        <v>4711.6</v>
      </c>
      <c r="J51" s="79" t="s">
        <v>2835</v>
      </c>
      <c r="K51" s="79" t="s">
        <v>3021</v>
      </c>
      <c r="L51" s="79" t="s">
        <v>2826</v>
      </c>
      <c r="M51" s="79" t="s">
        <v>3022</v>
      </c>
    </row>
    <row r="52" ht="300" spans="1:13">
      <c r="A52" s="79" t="s">
        <v>3023</v>
      </c>
      <c r="B52" s="79" t="s">
        <v>3024</v>
      </c>
      <c r="C52" s="79" t="s">
        <v>3025</v>
      </c>
      <c r="D52" s="79" t="s">
        <v>3026</v>
      </c>
      <c r="E52" s="79" t="s">
        <v>3025</v>
      </c>
      <c r="F52" s="80">
        <v>2464.4</v>
      </c>
      <c r="G52" s="80">
        <v>1</v>
      </c>
      <c r="H52" s="80">
        <v>2464.4</v>
      </c>
      <c r="I52" s="80">
        <v>2464.4</v>
      </c>
      <c r="J52" s="79" t="s">
        <v>3027</v>
      </c>
      <c r="K52" s="79" t="s">
        <v>3028</v>
      </c>
      <c r="L52" s="79" t="s">
        <v>2826</v>
      </c>
      <c r="M52" s="79" t="s">
        <v>3029</v>
      </c>
    </row>
    <row r="53" ht="300" spans="1:13">
      <c r="A53" s="79" t="s">
        <v>3030</v>
      </c>
      <c r="B53" s="79" t="s">
        <v>3031</v>
      </c>
      <c r="C53" s="79" t="s">
        <v>3032</v>
      </c>
      <c r="D53" s="79" t="s">
        <v>3033</v>
      </c>
      <c r="E53" s="79" t="s">
        <v>3032</v>
      </c>
      <c r="F53" s="80">
        <v>34.25</v>
      </c>
      <c r="G53" s="80">
        <v>1</v>
      </c>
      <c r="H53" s="80">
        <v>34.25</v>
      </c>
      <c r="I53" s="80">
        <v>127.22</v>
      </c>
      <c r="J53" s="79" t="s">
        <v>2835</v>
      </c>
      <c r="K53" s="79" t="s">
        <v>3034</v>
      </c>
      <c r="L53" s="79" t="s">
        <v>2826</v>
      </c>
      <c r="M53" s="79" t="s">
        <v>3035</v>
      </c>
    </row>
    <row r="54" ht="300" spans="1:13">
      <c r="A54" s="79" t="s">
        <v>3036</v>
      </c>
      <c r="B54" s="79" t="s">
        <v>2946</v>
      </c>
      <c r="C54" s="79" t="s">
        <v>2947</v>
      </c>
      <c r="D54" s="79" t="s">
        <v>2948</v>
      </c>
      <c r="E54" s="79" t="s">
        <v>2949</v>
      </c>
      <c r="F54" s="80">
        <v>20</v>
      </c>
      <c r="G54" s="80">
        <v>5</v>
      </c>
      <c r="H54" s="80">
        <v>100</v>
      </c>
      <c r="I54" s="80">
        <v>520.32</v>
      </c>
      <c r="J54" s="79" t="s">
        <v>2868</v>
      </c>
      <c r="K54" s="79" t="s">
        <v>3034</v>
      </c>
      <c r="L54" s="79" t="s">
        <v>2826</v>
      </c>
      <c r="M54" s="79" t="s">
        <v>3037</v>
      </c>
    </row>
    <row r="55" ht="300" spans="1:13">
      <c r="A55" s="79" t="s">
        <v>3036</v>
      </c>
      <c r="B55" s="79" t="s">
        <v>3038</v>
      </c>
      <c r="C55" s="79" t="s">
        <v>3039</v>
      </c>
      <c r="D55" s="79" t="s">
        <v>3040</v>
      </c>
      <c r="E55" s="79" t="s">
        <v>3041</v>
      </c>
      <c r="F55" s="80">
        <v>21.8</v>
      </c>
      <c r="G55" s="80">
        <v>5</v>
      </c>
      <c r="H55" s="80">
        <v>109</v>
      </c>
      <c r="I55" s="80">
        <v>520.32</v>
      </c>
      <c r="J55" s="79" t="s">
        <v>2868</v>
      </c>
      <c r="K55" s="79" t="s">
        <v>3034</v>
      </c>
      <c r="L55" s="79" t="s">
        <v>2826</v>
      </c>
      <c r="M55" s="79" t="s">
        <v>3042</v>
      </c>
    </row>
    <row r="56" ht="300" spans="1:13">
      <c r="A56" s="79" t="s">
        <v>3036</v>
      </c>
      <c r="B56" s="79" t="s">
        <v>3043</v>
      </c>
      <c r="C56" s="79" t="s">
        <v>3044</v>
      </c>
      <c r="D56" s="79" t="s">
        <v>2917</v>
      </c>
      <c r="E56" s="79" t="s">
        <v>3045</v>
      </c>
      <c r="F56" s="80">
        <v>35</v>
      </c>
      <c r="G56" s="80">
        <v>4</v>
      </c>
      <c r="H56" s="80">
        <v>140</v>
      </c>
      <c r="I56" s="80">
        <v>520.32</v>
      </c>
      <c r="J56" s="79" t="s">
        <v>2868</v>
      </c>
      <c r="K56" s="79" t="s">
        <v>3034</v>
      </c>
      <c r="L56" s="79" t="s">
        <v>2826</v>
      </c>
      <c r="M56" s="79" t="s">
        <v>3046</v>
      </c>
    </row>
    <row r="57" ht="300" spans="1:13">
      <c r="A57" s="79" t="s">
        <v>3036</v>
      </c>
      <c r="B57" s="79" t="s">
        <v>2886</v>
      </c>
      <c r="C57" s="79" t="s">
        <v>2887</v>
      </c>
      <c r="D57" s="79" t="s">
        <v>2883</v>
      </c>
      <c r="E57" s="79" t="s">
        <v>2888</v>
      </c>
      <c r="F57" s="80">
        <v>13.23</v>
      </c>
      <c r="G57" s="80">
        <v>4</v>
      </c>
      <c r="H57" s="80">
        <v>52.92</v>
      </c>
      <c r="I57" s="80">
        <v>520.32</v>
      </c>
      <c r="J57" s="79" t="s">
        <v>2868</v>
      </c>
      <c r="K57" s="79" t="s">
        <v>3034</v>
      </c>
      <c r="L57" s="79" t="s">
        <v>2826</v>
      </c>
      <c r="M57" s="79" t="s">
        <v>3047</v>
      </c>
    </row>
    <row r="58" ht="300" spans="1:13">
      <c r="A58" s="79" t="s">
        <v>3030</v>
      </c>
      <c r="B58" s="79" t="s">
        <v>3048</v>
      </c>
      <c r="C58" s="79" t="s">
        <v>3049</v>
      </c>
      <c r="D58" s="79" t="s">
        <v>3050</v>
      </c>
      <c r="E58" s="79" t="s">
        <v>3049</v>
      </c>
      <c r="F58" s="80">
        <v>29.61</v>
      </c>
      <c r="G58" s="80">
        <v>2</v>
      </c>
      <c r="H58" s="80">
        <v>59.22</v>
      </c>
      <c r="I58" s="80">
        <v>127.22</v>
      </c>
      <c r="J58" s="79" t="s">
        <v>2835</v>
      </c>
      <c r="K58" s="79" t="s">
        <v>3034</v>
      </c>
      <c r="L58" s="79" t="s">
        <v>2826</v>
      </c>
      <c r="M58" s="79" t="s">
        <v>3051</v>
      </c>
    </row>
    <row r="59" ht="300" spans="1:13">
      <c r="A59" s="79" t="s">
        <v>3036</v>
      </c>
      <c r="B59" s="79" t="s">
        <v>2951</v>
      </c>
      <c r="C59" s="79" t="s">
        <v>2952</v>
      </c>
      <c r="D59" s="79" t="s">
        <v>2953</v>
      </c>
      <c r="E59" s="79" t="s">
        <v>2954</v>
      </c>
      <c r="F59" s="80">
        <v>3.1</v>
      </c>
      <c r="G59" s="80">
        <v>4</v>
      </c>
      <c r="H59" s="80">
        <v>12.4</v>
      </c>
      <c r="I59" s="80">
        <v>520.32</v>
      </c>
      <c r="J59" s="79" t="s">
        <v>2868</v>
      </c>
      <c r="K59" s="79" t="s">
        <v>3034</v>
      </c>
      <c r="L59" s="79" t="s">
        <v>2826</v>
      </c>
      <c r="M59" s="79" t="s">
        <v>3052</v>
      </c>
    </row>
    <row r="60" ht="300" spans="1:13">
      <c r="A60" s="79" t="s">
        <v>3036</v>
      </c>
      <c r="B60" s="79" t="s">
        <v>2994</v>
      </c>
      <c r="C60" s="79" t="s">
        <v>2995</v>
      </c>
      <c r="D60" s="79" t="s">
        <v>2958</v>
      </c>
      <c r="E60" s="79" t="s">
        <v>1770</v>
      </c>
      <c r="F60" s="80">
        <v>5.3</v>
      </c>
      <c r="G60" s="80">
        <v>20</v>
      </c>
      <c r="H60" s="80">
        <v>106</v>
      </c>
      <c r="I60" s="80">
        <v>520.32</v>
      </c>
      <c r="J60" s="79" t="s">
        <v>2868</v>
      </c>
      <c r="K60" s="79" t="s">
        <v>3034</v>
      </c>
      <c r="L60" s="79" t="s">
        <v>2826</v>
      </c>
      <c r="M60" s="79" t="s">
        <v>3053</v>
      </c>
    </row>
    <row r="61" ht="300" spans="1:13">
      <c r="A61" s="79" t="s">
        <v>3030</v>
      </c>
      <c r="B61" s="79" t="s">
        <v>3054</v>
      </c>
      <c r="C61" s="79" t="s">
        <v>3055</v>
      </c>
      <c r="D61" s="79" t="s">
        <v>3056</v>
      </c>
      <c r="E61" s="79" t="s">
        <v>3055</v>
      </c>
      <c r="F61" s="80">
        <v>1.35</v>
      </c>
      <c r="G61" s="80">
        <v>25</v>
      </c>
      <c r="H61" s="80">
        <v>33.75</v>
      </c>
      <c r="I61" s="80">
        <v>127.22</v>
      </c>
      <c r="J61" s="79" t="s">
        <v>2835</v>
      </c>
      <c r="K61" s="79" t="s">
        <v>3034</v>
      </c>
      <c r="L61" s="79" t="s">
        <v>2826</v>
      </c>
      <c r="M61" s="79" t="s">
        <v>3057</v>
      </c>
    </row>
    <row r="62" ht="300" spans="1:13">
      <c r="A62" s="79" t="s">
        <v>3058</v>
      </c>
      <c r="B62" s="79" t="s">
        <v>2907</v>
      </c>
      <c r="C62" s="79" t="s">
        <v>2908</v>
      </c>
      <c r="D62" s="79" t="s">
        <v>2909</v>
      </c>
      <c r="E62" s="79" t="s">
        <v>2910</v>
      </c>
      <c r="F62" s="80">
        <v>0.21</v>
      </c>
      <c r="G62" s="80">
        <v>4000</v>
      </c>
      <c r="H62" s="80">
        <v>840</v>
      </c>
      <c r="I62" s="80">
        <v>840</v>
      </c>
      <c r="J62" s="79" t="s">
        <v>2911</v>
      </c>
      <c r="K62" s="79" t="s">
        <v>3059</v>
      </c>
      <c r="L62" s="79" t="s">
        <v>2826</v>
      </c>
      <c r="M62" s="79" t="s">
        <v>3060</v>
      </c>
    </row>
    <row r="63" ht="315" spans="1:13">
      <c r="A63" s="79" t="s">
        <v>3061</v>
      </c>
      <c r="B63" s="79" t="s">
        <v>3062</v>
      </c>
      <c r="C63" s="79" t="s">
        <v>3063</v>
      </c>
      <c r="D63" s="79" t="s">
        <v>3064</v>
      </c>
      <c r="E63" s="79" t="s">
        <v>136</v>
      </c>
      <c r="F63" s="80">
        <v>168</v>
      </c>
      <c r="G63" s="80">
        <v>10</v>
      </c>
      <c r="H63" s="80">
        <v>1680</v>
      </c>
      <c r="I63" s="80">
        <v>38364</v>
      </c>
      <c r="J63" s="79" t="s">
        <v>3065</v>
      </c>
      <c r="K63" s="79" t="s">
        <v>3066</v>
      </c>
      <c r="L63" s="79" t="s">
        <v>2826</v>
      </c>
      <c r="M63" s="79" t="s">
        <v>3067</v>
      </c>
    </row>
    <row r="64" ht="409.5" spans="1:13">
      <c r="A64" s="79" t="s">
        <v>3061</v>
      </c>
      <c r="B64" s="79" t="s">
        <v>3068</v>
      </c>
      <c r="C64" s="79" t="s">
        <v>3069</v>
      </c>
      <c r="D64" s="79" t="s">
        <v>3064</v>
      </c>
      <c r="E64" s="79" t="s">
        <v>136</v>
      </c>
      <c r="F64" s="80">
        <v>185</v>
      </c>
      <c r="G64" s="80">
        <v>12</v>
      </c>
      <c r="H64" s="80">
        <v>2220</v>
      </c>
      <c r="I64" s="80">
        <v>38364</v>
      </c>
      <c r="J64" s="79" t="s">
        <v>3065</v>
      </c>
      <c r="K64" s="79" t="s">
        <v>3066</v>
      </c>
      <c r="L64" s="79" t="s">
        <v>2826</v>
      </c>
      <c r="M64" s="79" t="s">
        <v>3070</v>
      </c>
    </row>
    <row r="65" ht="390" spans="1:13">
      <c r="A65" s="79" t="s">
        <v>3061</v>
      </c>
      <c r="B65" s="79" t="s">
        <v>3071</v>
      </c>
      <c r="C65" s="79" t="s">
        <v>3072</v>
      </c>
      <c r="D65" s="79" t="s">
        <v>3064</v>
      </c>
      <c r="E65" s="79" t="s">
        <v>136</v>
      </c>
      <c r="F65" s="80">
        <v>718</v>
      </c>
      <c r="G65" s="80">
        <v>48</v>
      </c>
      <c r="H65" s="80">
        <v>34464</v>
      </c>
      <c r="I65" s="80">
        <v>38364</v>
      </c>
      <c r="J65" s="79" t="s">
        <v>3065</v>
      </c>
      <c r="K65" s="79" t="s">
        <v>3066</v>
      </c>
      <c r="L65" s="79" t="s">
        <v>2826</v>
      </c>
      <c r="M65" s="79" t="s">
        <v>3073</v>
      </c>
    </row>
    <row r="66" ht="300" spans="1:13">
      <c r="A66" s="79" t="s">
        <v>3074</v>
      </c>
      <c r="B66" s="79" t="s">
        <v>2886</v>
      </c>
      <c r="C66" s="79" t="s">
        <v>2887</v>
      </c>
      <c r="D66" s="79" t="s">
        <v>2883</v>
      </c>
      <c r="E66" s="79" t="s">
        <v>2888</v>
      </c>
      <c r="F66" s="80">
        <v>13.23</v>
      </c>
      <c r="G66" s="80">
        <v>4</v>
      </c>
      <c r="H66" s="80">
        <v>52.92</v>
      </c>
      <c r="I66" s="80">
        <v>6471.87</v>
      </c>
      <c r="J66" s="79" t="s">
        <v>2868</v>
      </c>
      <c r="K66" s="79" t="s">
        <v>3075</v>
      </c>
      <c r="L66" s="79" t="s">
        <v>2826</v>
      </c>
      <c r="M66" s="79" t="s">
        <v>3076</v>
      </c>
    </row>
    <row r="67" ht="300" spans="1:13">
      <c r="A67" s="79" t="s">
        <v>3074</v>
      </c>
      <c r="B67" s="79" t="s">
        <v>3077</v>
      </c>
      <c r="C67" s="79" t="s">
        <v>3078</v>
      </c>
      <c r="D67" s="79" t="s">
        <v>3008</v>
      </c>
      <c r="E67" s="79" t="s">
        <v>3079</v>
      </c>
      <c r="F67" s="80">
        <v>1.49</v>
      </c>
      <c r="G67" s="80">
        <v>20</v>
      </c>
      <c r="H67" s="80">
        <v>29.8</v>
      </c>
      <c r="I67" s="80">
        <v>6471.87</v>
      </c>
      <c r="J67" s="79" t="s">
        <v>2868</v>
      </c>
      <c r="K67" s="79" t="s">
        <v>3075</v>
      </c>
      <c r="L67" s="79" t="s">
        <v>2826</v>
      </c>
      <c r="M67" s="79" t="s">
        <v>3080</v>
      </c>
    </row>
    <row r="68" ht="300" spans="1:13">
      <c r="A68" s="79" t="s">
        <v>3074</v>
      </c>
      <c r="B68" s="79" t="s">
        <v>3081</v>
      </c>
      <c r="C68" s="79" t="s">
        <v>3082</v>
      </c>
      <c r="D68" s="79" t="s">
        <v>2948</v>
      </c>
      <c r="E68" s="79" t="s">
        <v>3083</v>
      </c>
      <c r="F68" s="80">
        <v>15.97</v>
      </c>
      <c r="G68" s="80">
        <v>5</v>
      </c>
      <c r="H68" s="80">
        <v>79.85</v>
      </c>
      <c r="I68" s="80">
        <v>6471.87</v>
      </c>
      <c r="J68" s="79" t="s">
        <v>2868</v>
      </c>
      <c r="K68" s="79" t="s">
        <v>3075</v>
      </c>
      <c r="L68" s="79" t="s">
        <v>2826</v>
      </c>
      <c r="M68" s="79" t="s">
        <v>3084</v>
      </c>
    </row>
    <row r="69" ht="300" spans="1:13">
      <c r="A69" s="79" t="s">
        <v>3085</v>
      </c>
      <c r="B69" s="79" t="s">
        <v>3086</v>
      </c>
      <c r="C69" s="79" t="s">
        <v>3087</v>
      </c>
      <c r="D69" s="79" t="s">
        <v>3088</v>
      </c>
      <c r="E69" s="79" t="s">
        <v>3087</v>
      </c>
      <c r="F69" s="80">
        <v>3.86</v>
      </c>
      <c r="G69" s="80">
        <v>4</v>
      </c>
      <c r="H69" s="80">
        <v>15.44</v>
      </c>
      <c r="I69" s="80">
        <v>671.96</v>
      </c>
      <c r="J69" s="79" t="s">
        <v>2835</v>
      </c>
      <c r="K69" s="79" t="s">
        <v>3075</v>
      </c>
      <c r="L69" s="79" t="s">
        <v>2826</v>
      </c>
      <c r="M69" s="79" t="s">
        <v>3089</v>
      </c>
    </row>
    <row r="70" ht="300" spans="1:13">
      <c r="A70" s="79" t="s">
        <v>3074</v>
      </c>
      <c r="B70" s="79" t="s">
        <v>2994</v>
      </c>
      <c r="C70" s="79" t="s">
        <v>2995</v>
      </c>
      <c r="D70" s="79" t="s">
        <v>2958</v>
      </c>
      <c r="E70" s="79" t="s">
        <v>1770</v>
      </c>
      <c r="F70" s="80">
        <v>5.3</v>
      </c>
      <c r="G70" s="80">
        <v>20</v>
      </c>
      <c r="H70" s="80">
        <v>106</v>
      </c>
      <c r="I70" s="80">
        <v>6471.87</v>
      </c>
      <c r="J70" s="79" t="s">
        <v>2868</v>
      </c>
      <c r="K70" s="79" t="s">
        <v>3075</v>
      </c>
      <c r="L70" s="79" t="s">
        <v>2826</v>
      </c>
      <c r="M70" s="79" t="s">
        <v>3090</v>
      </c>
    </row>
    <row r="71" ht="300" spans="1:13">
      <c r="A71" s="79" t="s">
        <v>3074</v>
      </c>
      <c r="B71" s="79" t="s">
        <v>3091</v>
      </c>
      <c r="C71" s="79" t="s">
        <v>3092</v>
      </c>
      <c r="D71" s="79" t="s">
        <v>2867</v>
      </c>
      <c r="E71" s="79" t="s">
        <v>1742</v>
      </c>
      <c r="F71" s="80">
        <v>32</v>
      </c>
      <c r="G71" s="80">
        <v>6</v>
      </c>
      <c r="H71" s="80">
        <v>192</v>
      </c>
      <c r="I71" s="80">
        <v>6471.87</v>
      </c>
      <c r="J71" s="79" t="s">
        <v>2868</v>
      </c>
      <c r="K71" s="79" t="s">
        <v>3075</v>
      </c>
      <c r="L71" s="79" t="s">
        <v>2826</v>
      </c>
      <c r="M71" s="79" t="s">
        <v>3093</v>
      </c>
    </row>
    <row r="72" ht="300" spans="1:13">
      <c r="A72" s="79" t="s">
        <v>3074</v>
      </c>
      <c r="B72" s="79" t="s">
        <v>3094</v>
      </c>
      <c r="C72" s="79" t="s">
        <v>3095</v>
      </c>
      <c r="D72" s="79" t="s">
        <v>2867</v>
      </c>
      <c r="E72" s="79" t="s">
        <v>1742</v>
      </c>
      <c r="F72" s="80">
        <v>22</v>
      </c>
      <c r="G72" s="80">
        <v>2</v>
      </c>
      <c r="H72" s="80">
        <v>44</v>
      </c>
      <c r="I72" s="80">
        <v>6471.87</v>
      </c>
      <c r="J72" s="79" t="s">
        <v>2868</v>
      </c>
      <c r="K72" s="79" t="s">
        <v>3075</v>
      </c>
      <c r="L72" s="79" t="s">
        <v>2826</v>
      </c>
      <c r="M72" s="79" t="s">
        <v>3096</v>
      </c>
    </row>
    <row r="73" ht="300" spans="1:13">
      <c r="A73" s="79" t="s">
        <v>3085</v>
      </c>
      <c r="B73" s="79" t="s">
        <v>3097</v>
      </c>
      <c r="C73" s="79" t="s">
        <v>3098</v>
      </c>
      <c r="D73" s="79" t="s">
        <v>3088</v>
      </c>
      <c r="E73" s="79" t="s">
        <v>3098</v>
      </c>
      <c r="F73" s="80">
        <v>25.11</v>
      </c>
      <c r="G73" s="80">
        <v>2</v>
      </c>
      <c r="H73" s="80">
        <v>50.22</v>
      </c>
      <c r="I73" s="80">
        <v>671.96</v>
      </c>
      <c r="J73" s="79" t="s">
        <v>2835</v>
      </c>
      <c r="K73" s="79" t="s">
        <v>3075</v>
      </c>
      <c r="L73" s="79" t="s">
        <v>2826</v>
      </c>
      <c r="M73" s="79" t="s">
        <v>3099</v>
      </c>
    </row>
    <row r="74" ht="300" spans="1:13">
      <c r="A74" s="79" t="s">
        <v>3085</v>
      </c>
      <c r="B74" s="79" t="s">
        <v>3100</v>
      </c>
      <c r="C74" s="79" t="s">
        <v>3101</v>
      </c>
      <c r="D74" s="79" t="s">
        <v>3088</v>
      </c>
      <c r="E74" s="79" t="s">
        <v>3101</v>
      </c>
      <c r="F74" s="80">
        <v>5.13</v>
      </c>
      <c r="G74" s="80">
        <v>20</v>
      </c>
      <c r="H74" s="80">
        <v>102.6</v>
      </c>
      <c r="I74" s="80">
        <v>671.96</v>
      </c>
      <c r="J74" s="79" t="s">
        <v>2835</v>
      </c>
      <c r="K74" s="79" t="s">
        <v>3075</v>
      </c>
      <c r="L74" s="79" t="s">
        <v>2826</v>
      </c>
      <c r="M74" s="79" t="s">
        <v>3102</v>
      </c>
    </row>
    <row r="75" ht="300" spans="1:13">
      <c r="A75" s="79" t="s">
        <v>3074</v>
      </c>
      <c r="B75" s="79" t="s">
        <v>3103</v>
      </c>
      <c r="C75" s="79" t="s">
        <v>3104</v>
      </c>
      <c r="D75" s="79" t="s">
        <v>2873</v>
      </c>
      <c r="E75" s="79" t="s">
        <v>3105</v>
      </c>
      <c r="F75" s="80">
        <v>19.8</v>
      </c>
      <c r="G75" s="80">
        <v>1</v>
      </c>
      <c r="H75" s="80">
        <v>19.8</v>
      </c>
      <c r="I75" s="80">
        <v>6471.87</v>
      </c>
      <c r="J75" s="79" t="s">
        <v>2868</v>
      </c>
      <c r="K75" s="79" t="s">
        <v>3075</v>
      </c>
      <c r="L75" s="79" t="s">
        <v>2826</v>
      </c>
      <c r="M75" s="79" t="s">
        <v>3106</v>
      </c>
    </row>
    <row r="76" ht="300" spans="1:13">
      <c r="A76" s="79" t="s">
        <v>3074</v>
      </c>
      <c r="B76" s="79" t="s">
        <v>3107</v>
      </c>
      <c r="C76" s="79" t="s">
        <v>3108</v>
      </c>
      <c r="D76" s="79" t="s">
        <v>2867</v>
      </c>
      <c r="E76" s="79" t="s">
        <v>1742</v>
      </c>
      <c r="F76" s="80">
        <v>32</v>
      </c>
      <c r="G76" s="80">
        <v>4</v>
      </c>
      <c r="H76" s="80">
        <v>128</v>
      </c>
      <c r="I76" s="80">
        <v>6471.87</v>
      </c>
      <c r="J76" s="79" t="s">
        <v>2868</v>
      </c>
      <c r="K76" s="79" t="s">
        <v>3075</v>
      </c>
      <c r="L76" s="79" t="s">
        <v>2826</v>
      </c>
      <c r="M76" s="79" t="s">
        <v>3109</v>
      </c>
    </row>
    <row r="77" ht="300" spans="1:13">
      <c r="A77" s="79" t="s">
        <v>3074</v>
      </c>
      <c r="B77" s="79" t="s">
        <v>3110</v>
      </c>
      <c r="C77" s="79" t="s">
        <v>3111</v>
      </c>
      <c r="D77" s="79" t="s">
        <v>2883</v>
      </c>
      <c r="E77" s="79" t="s">
        <v>2975</v>
      </c>
      <c r="F77" s="80">
        <v>45</v>
      </c>
      <c r="G77" s="80">
        <v>4</v>
      </c>
      <c r="H77" s="80">
        <v>180</v>
      </c>
      <c r="I77" s="80">
        <v>6471.87</v>
      </c>
      <c r="J77" s="79" t="s">
        <v>2868</v>
      </c>
      <c r="K77" s="79" t="s">
        <v>3075</v>
      </c>
      <c r="L77" s="79" t="s">
        <v>2826</v>
      </c>
      <c r="M77" s="79" t="s">
        <v>3112</v>
      </c>
    </row>
    <row r="78" ht="300" spans="1:13">
      <c r="A78" s="79" t="s">
        <v>3085</v>
      </c>
      <c r="B78" s="79" t="s">
        <v>3113</v>
      </c>
      <c r="C78" s="79" t="s">
        <v>3114</v>
      </c>
      <c r="D78" s="79" t="s">
        <v>3088</v>
      </c>
      <c r="E78" s="79" t="s">
        <v>3114</v>
      </c>
      <c r="F78" s="80">
        <v>5.13</v>
      </c>
      <c r="G78" s="80">
        <v>20</v>
      </c>
      <c r="H78" s="80">
        <v>102.6</v>
      </c>
      <c r="I78" s="80">
        <v>671.96</v>
      </c>
      <c r="J78" s="79" t="s">
        <v>2835</v>
      </c>
      <c r="K78" s="79" t="s">
        <v>3075</v>
      </c>
      <c r="L78" s="79" t="s">
        <v>2826</v>
      </c>
      <c r="M78" s="79" t="s">
        <v>3115</v>
      </c>
    </row>
    <row r="79" ht="300" spans="1:13">
      <c r="A79" s="79" t="s">
        <v>3074</v>
      </c>
      <c r="B79" s="79" t="s">
        <v>2915</v>
      </c>
      <c r="C79" s="79" t="s">
        <v>2916</v>
      </c>
      <c r="D79" s="79" t="s">
        <v>2917</v>
      </c>
      <c r="E79" s="79" t="s">
        <v>2918</v>
      </c>
      <c r="F79" s="80">
        <v>6.9</v>
      </c>
      <c r="G79" s="80">
        <v>20</v>
      </c>
      <c r="H79" s="80">
        <v>138</v>
      </c>
      <c r="I79" s="80">
        <v>6471.87</v>
      </c>
      <c r="J79" s="79" t="s">
        <v>2868</v>
      </c>
      <c r="K79" s="79" t="s">
        <v>3075</v>
      </c>
      <c r="L79" s="79" t="s">
        <v>2826</v>
      </c>
      <c r="M79" s="79" t="s">
        <v>3116</v>
      </c>
    </row>
    <row r="80" ht="300" spans="1:13">
      <c r="A80" s="79" t="s">
        <v>3085</v>
      </c>
      <c r="B80" s="79" t="s">
        <v>3117</v>
      </c>
      <c r="C80" s="79" t="s">
        <v>3118</v>
      </c>
      <c r="D80" s="79" t="s">
        <v>3119</v>
      </c>
      <c r="E80" s="79" t="s">
        <v>3118</v>
      </c>
      <c r="F80" s="80">
        <v>200.55</v>
      </c>
      <c r="G80" s="80">
        <v>2</v>
      </c>
      <c r="H80" s="80">
        <v>401.1</v>
      </c>
      <c r="I80" s="80">
        <v>671.96</v>
      </c>
      <c r="J80" s="79" t="s">
        <v>2835</v>
      </c>
      <c r="K80" s="79" t="s">
        <v>3075</v>
      </c>
      <c r="L80" s="79" t="s">
        <v>2826</v>
      </c>
      <c r="M80" s="79" t="s">
        <v>3120</v>
      </c>
    </row>
    <row r="81" ht="300" spans="1:13">
      <c r="A81" s="79" t="s">
        <v>3074</v>
      </c>
      <c r="B81" s="79" t="s">
        <v>3121</v>
      </c>
      <c r="C81" s="79" t="s">
        <v>3122</v>
      </c>
      <c r="D81" s="79" t="s">
        <v>2953</v>
      </c>
      <c r="E81" s="79" t="s">
        <v>2954</v>
      </c>
      <c r="F81" s="80">
        <v>4.5</v>
      </c>
      <c r="G81" s="80">
        <v>4</v>
      </c>
      <c r="H81" s="80">
        <v>18</v>
      </c>
      <c r="I81" s="80">
        <v>6471.87</v>
      </c>
      <c r="J81" s="79" t="s">
        <v>2868</v>
      </c>
      <c r="K81" s="79" t="s">
        <v>3075</v>
      </c>
      <c r="L81" s="79" t="s">
        <v>2826</v>
      </c>
      <c r="M81" s="79" t="s">
        <v>3123</v>
      </c>
    </row>
    <row r="82" ht="300" spans="1:13">
      <c r="A82" s="79" t="s">
        <v>3074</v>
      </c>
      <c r="B82" s="79" t="s">
        <v>2926</v>
      </c>
      <c r="C82" s="79" t="s">
        <v>2927</v>
      </c>
      <c r="D82" s="79" t="s">
        <v>2873</v>
      </c>
      <c r="E82" s="79" t="s">
        <v>2928</v>
      </c>
      <c r="F82" s="80">
        <v>17.1</v>
      </c>
      <c r="G82" s="80">
        <v>300</v>
      </c>
      <c r="H82" s="80">
        <v>5130</v>
      </c>
      <c r="I82" s="80">
        <v>6471.87</v>
      </c>
      <c r="J82" s="79" t="s">
        <v>2868</v>
      </c>
      <c r="K82" s="79" t="s">
        <v>3075</v>
      </c>
      <c r="L82" s="79" t="s">
        <v>2826</v>
      </c>
      <c r="M82" s="79" t="s">
        <v>3124</v>
      </c>
    </row>
    <row r="83" ht="300" spans="1:13">
      <c r="A83" s="79" t="s">
        <v>3074</v>
      </c>
      <c r="B83" s="79" t="s">
        <v>3125</v>
      </c>
      <c r="C83" s="79" t="s">
        <v>3126</v>
      </c>
      <c r="D83" s="79" t="s">
        <v>2878</v>
      </c>
      <c r="E83" s="79" t="s">
        <v>2879</v>
      </c>
      <c r="F83" s="80">
        <v>5.2</v>
      </c>
      <c r="G83" s="80">
        <v>6</v>
      </c>
      <c r="H83" s="80">
        <v>31.2</v>
      </c>
      <c r="I83" s="80">
        <v>6471.87</v>
      </c>
      <c r="J83" s="79" t="s">
        <v>2868</v>
      </c>
      <c r="K83" s="79" t="s">
        <v>3075</v>
      </c>
      <c r="L83" s="79" t="s">
        <v>2826</v>
      </c>
      <c r="M83" s="79" t="s">
        <v>3127</v>
      </c>
    </row>
    <row r="84" ht="300" spans="1:13">
      <c r="A84" s="79" t="s">
        <v>3074</v>
      </c>
      <c r="B84" s="79" t="s">
        <v>3128</v>
      </c>
      <c r="C84" s="79" t="s">
        <v>3129</v>
      </c>
      <c r="D84" s="79" t="s">
        <v>2883</v>
      </c>
      <c r="E84" s="79" t="s">
        <v>3130</v>
      </c>
      <c r="F84" s="80">
        <v>22</v>
      </c>
      <c r="G84" s="80">
        <v>10</v>
      </c>
      <c r="H84" s="80">
        <v>220</v>
      </c>
      <c r="I84" s="80">
        <v>6471.87</v>
      </c>
      <c r="J84" s="79" t="s">
        <v>2868</v>
      </c>
      <c r="K84" s="79" t="s">
        <v>3075</v>
      </c>
      <c r="L84" s="79" t="s">
        <v>2826</v>
      </c>
      <c r="M84" s="79" t="s">
        <v>3131</v>
      </c>
    </row>
    <row r="85" ht="300" spans="1:13">
      <c r="A85" s="79" t="s">
        <v>3074</v>
      </c>
      <c r="B85" s="79" t="s">
        <v>3132</v>
      </c>
      <c r="C85" s="79" t="s">
        <v>3133</v>
      </c>
      <c r="D85" s="79" t="s">
        <v>2873</v>
      </c>
      <c r="E85" s="79" t="s">
        <v>3134</v>
      </c>
      <c r="F85" s="80">
        <v>3.4</v>
      </c>
      <c r="G85" s="80">
        <v>10</v>
      </c>
      <c r="H85" s="80">
        <v>34</v>
      </c>
      <c r="I85" s="80">
        <v>6471.87</v>
      </c>
      <c r="J85" s="79" t="s">
        <v>2868</v>
      </c>
      <c r="K85" s="79" t="s">
        <v>3075</v>
      </c>
      <c r="L85" s="79" t="s">
        <v>2826</v>
      </c>
      <c r="M85" s="79" t="s">
        <v>3135</v>
      </c>
    </row>
    <row r="86" ht="300" spans="1:13">
      <c r="A86" s="79" t="s">
        <v>3074</v>
      </c>
      <c r="B86" s="79" t="s">
        <v>3136</v>
      </c>
      <c r="C86" s="79" t="s">
        <v>3137</v>
      </c>
      <c r="D86" s="79" t="s">
        <v>2873</v>
      </c>
      <c r="E86" s="79" t="s">
        <v>3138</v>
      </c>
      <c r="F86" s="80">
        <v>10.5</v>
      </c>
      <c r="G86" s="80">
        <v>5</v>
      </c>
      <c r="H86" s="80">
        <v>52.5</v>
      </c>
      <c r="I86" s="80">
        <v>6471.87</v>
      </c>
      <c r="J86" s="79" t="s">
        <v>2868</v>
      </c>
      <c r="K86" s="79" t="s">
        <v>3075</v>
      </c>
      <c r="L86" s="79" t="s">
        <v>2826</v>
      </c>
      <c r="M86" s="79" t="s">
        <v>3139</v>
      </c>
    </row>
    <row r="87" ht="315" spans="1:13">
      <c r="A87" s="79" t="s">
        <v>3074</v>
      </c>
      <c r="B87" s="79" t="s">
        <v>3140</v>
      </c>
      <c r="C87" s="79" t="s">
        <v>3141</v>
      </c>
      <c r="D87" s="79" t="s">
        <v>3142</v>
      </c>
      <c r="E87" s="79" t="s">
        <v>3143</v>
      </c>
      <c r="F87" s="80">
        <v>3.95</v>
      </c>
      <c r="G87" s="80">
        <v>4</v>
      </c>
      <c r="H87" s="80">
        <v>15.8</v>
      </c>
      <c r="I87" s="80">
        <v>6471.87</v>
      </c>
      <c r="J87" s="79" t="s">
        <v>2868</v>
      </c>
      <c r="K87" s="79" t="s">
        <v>3075</v>
      </c>
      <c r="L87" s="79" t="s">
        <v>2826</v>
      </c>
      <c r="M87" s="79" t="s">
        <v>3144</v>
      </c>
    </row>
    <row r="88" ht="300" spans="1:13">
      <c r="A88" s="79" t="s">
        <v>3145</v>
      </c>
      <c r="B88" s="79" t="s">
        <v>2820</v>
      </c>
      <c r="C88" s="79" t="s">
        <v>2821</v>
      </c>
      <c r="D88" s="79" t="s">
        <v>2822</v>
      </c>
      <c r="E88" s="79" t="s">
        <v>2823</v>
      </c>
      <c r="F88" s="80">
        <v>6471</v>
      </c>
      <c r="G88" s="80">
        <v>1</v>
      </c>
      <c r="H88" s="80">
        <v>6471</v>
      </c>
      <c r="I88" s="80">
        <v>6471</v>
      </c>
      <c r="J88" s="79" t="s">
        <v>3146</v>
      </c>
      <c r="K88" s="79" t="s">
        <v>3147</v>
      </c>
      <c r="L88" s="79" t="s">
        <v>3148</v>
      </c>
      <c r="M88" s="79" t="s">
        <v>3149</v>
      </c>
    </row>
    <row r="89" ht="300" spans="1:13">
      <c r="A89" s="79" t="s">
        <v>3150</v>
      </c>
      <c r="B89" s="79" t="s">
        <v>3151</v>
      </c>
      <c r="C89" s="79" t="s">
        <v>3152</v>
      </c>
      <c r="D89" s="79" t="s">
        <v>3153</v>
      </c>
      <c r="E89" s="79" t="s">
        <v>3152</v>
      </c>
      <c r="F89" s="80">
        <v>45.29</v>
      </c>
      <c r="G89" s="80">
        <v>1</v>
      </c>
      <c r="H89" s="80">
        <v>45.29</v>
      </c>
      <c r="I89" s="80">
        <v>674.65</v>
      </c>
      <c r="J89" s="79" t="s">
        <v>2835</v>
      </c>
      <c r="K89" s="79" t="s">
        <v>3154</v>
      </c>
      <c r="L89" s="79" t="s">
        <v>3148</v>
      </c>
      <c r="M89" s="79" t="s">
        <v>3155</v>
      </c>
    </row>
    <row r="90" ht="300" spans="1:13">
      <c r="A90" s="79" t="s">
        <v>3150</v>
      </c>
      <c r="B90" s="79" t="s">
        <v>3156</v>
      </c>
      <c r="C90" s="79" t="s">
        <v>3157</v>
      </c>
      <c r="D90" s="79" t="s">
        <v>3158</v>
      </c>
      <c r="E90" s="79" t="s">
        <v>3157</v>
      </c>
      <c r="F90" s="80">
        <v>21.39</v>
      </c>
      <c r="G90" s="80">
        <v>1</v>
      </c>
      <c r="H90" s="80">
        <v>21.39</v>
      </c>
      <c r="I90" s="80">
        <v>674.65</v>
      </c>
      <c r="J90" s="79" t="s">
        <v>2835</v>
      </c>
      <c r="K90" s="79" t="s">
        <v>3154</v>
      </c>
      <c r="L90" s="79" t="s">
        <v>3148</v>
      </c>
      <c r="M90" s="79" t="s">
        <v>3159</v>
      </c>
    </row>
    <row r="91" ht="300" spans="1:13">
      <c r="A91" s="79" t="s">
        <v>3160</v>
      </c>
      <c r="B91" s="79" t="s">
        <v>2926</v>
      </c>
      <c r="C91" s="79" t="s">
        <v>2927</v>
      </c>
      <c r="D91" s="79" t="s">
        <v>2873</v>
      </c>
      <c r="E91" s="79" t="s">
        <v>2928</v>
      </c>
      <c r="F91" s="80">
        <v>17.1</v>
      </c>
      <c r="G91" s="80">
        <v>300</v>
      </c>
      <c r="H91" s="80">
        <v>5130</v>
      </c>
      <c r="I91" s="80">
        <v>5746.68</v>
      </c>
      <c r="J91" s="79" t="s">
        <v>2868</v>
      </c>
      <c r="K91" s="79" t="s">
        <v>3154</v>
      </c>
      <c r="L91" s="79" t="s">
        <v>3148</v>
      </c>
      <c r="M91" s="79" t="s">
        <v>3161</v>
      </c>
    </row>
    <row r="92" ht="300" spans="1:13">
      <c r="A92" s="79" t="s">
        <v>3150</v>
      </c>
      <c r="B92" s="79" t="s">
        <v>3162</v>
      </c>
      <c r="C92" s="79" t="s">
        <v>3163</v>
      </c>
      <c r="D92" s="79" t="s">
        <v>3164</v>
      </c>
      <c r="E92" s="79" t="s">
        <v>3163</v>
      </c>
      <c r="F92" s="80">
        <v>19</v>
      </c>
      <c r="G92" s="80">
        <v>20</v>
      </c>
      <c r="H92" s="80">
        <v>380</v>
      </c>
      <c r="I92" s="80">
        <v>674.65</v>
      </c>
      <c r="J92" s="79" t="s">
        <v>2835</v>
      </c>
      <c r="K92" s="79" t="s">
        <v>3154</v>
      </c>
      <c r="L92" s="79" t="s">
        <v>3148</v>
      </c>
      <c r="M92" s="79" t="s">
        <v>3165</v>
      </c>
    </row>
    <row r="93" ht="300" spans="1:13">
      <c r="A93" s="79" t="s">
        <v>3160</v>
      </c>
      <c r="B93" s="79" t="s">
        <v>3166</v>
      </c>
      <c r="C93" s="79" t="s">
        <v>3167</v>
      </c>
      <c r="D93" s="79" t="s">
        <v>2892</v>
      </c>
      <c r="E93" s="79" t="s">
        <v>2893</v>
      </c>
      <c r="F93" s="80">
        <v>8.96</v>
      </c>
      <c r="G93" s="80">
        <v>8</v>
      </c>
      <c r="H93" s="80">
        <v>71.68</v>
      </c>
      <c r="I93" s="80">
        <v>5746.68</v>
      </c>
      <c r="J93" s="79" t="s">
        <v>2868</v>
      </c>
      <c r="K93" s="79" t="s">
        <v>3154</v>
      </c>
      <c r="L93" s="79" t="s">
        <v>3148</v>
      </c>
      <c r="M93" s="79" t="s">
        <v>3168</v>
      </c>
    </row>
    <row r="94" ht="300" spans="1:13">
      <c r="A94" s="79" t="s">
        <v>3160</v>
      </c>
      <c r="B94" s="79" t="s">
        <v>2921</v>
      </c>
      <c r="C94" s="79" t="s">
        <v>2922</v>
      </c>
      <c r="D94" s="79" t="s">
        <v>2923</v>
      </c>
      <c r="E94" s="79" t="s">
        <v>2924</v>
      </c>
      <c r="F94" s="80">
        <v>12.5</v>
      </c>
      <c r="G94" s="80">
        <v>40</v>
      </c>
      <c r="H94" s="80">
        <v>500</v>
      </c>
      <c r="I94" s="80">
        <v>5746.68</v>
      </c>
      <c r="J94" s="79" t="s">
        <v>2868</v>
      </c>
      <c r="K94" s="79" t="s">
        <v>3154</v>
      </c>
      <c r="L94" s="79" t="s">
        <v>3148</v>
      </c>
      <c r="M94" s="79" t="s">
        <v>3169</v>
      </c>
    </row>
    <row r="95" ht="300" spans="1:13">
      <c r="A95" s="79" t="s">
        <v>3160</v>
      </c>
      <c r="B95" s="79" t="s">
        <v>3121</v>
      </c>
      <c r="C95" s="79" t="s">
        <v>3122</v>
      </c>
      <c r="D95" s="79" t="s">
        <v>2953</v>
      </c>
      <c r="E95" s="79" t="s">
        <v>2954</v>
      </c>
      <c r="F95" s="80">
        <v>4.5</v>
      </c>
      <c r="G95" s="80">
        <v>10</v>
      </c>
      <c r="H95" s="80">
        <v>45</v>
      </c>
      <c r="I95" s="80">
        <v>5746.68</v>
      </c>
      <c r="J95" s="79" t="s">
        <v>2868</v>
      </c>
      <c r="K95" s="79" t="s">
        <v>3154</v>
      </c>
      <c r="L95" s="79" t="s">
        <v>3148</v>
      </c>
      <c r="M95" s="79" t="s">
        <v>3170</v>
      </c>
    </row>
    <row r="96" ht="300" spans="1:13">
      <c r="A96" s="79" t="s">
        <v>3150</v>
      </c>
      <c r="B96" s="79" t="s">
        <v>3171</v>
      </c>
      <c r="C96" s="79" t="s">
        <v>3172</v>
      </c>
      <c r="D96" s="79" t="s">
        <v>3173</v>
      </c>
      <c r="E96" s="79" t="s">
        <v>3172</v>
      </c>
      <c r="F96" s="80">
        <v>21.42</v>
      </c>
      <c r="G96" s="80">
        <v>1</v>
      </c>
      <c r="H96" s="80">
        <v>21.42</v>
      </c>
      <c r="I96" s="80">
        <v>674.65</v>
      </c>
      <c r="J96" s="79" t="s">
        <v>2835</v>
      </c>
      <c r="K96" s="79" t="s">
        <v>3154</v>
      </c>
      <c r="L96" s="79" t="s">
        <v>3148</v>
      </c>
      <c r="M96" s="79" t="s">
        <v>3174</v>
      </c>
    </row>
    <row r="97" ht="300" spans="1:13">
      <c r="A97" s="79" t="s">
        <v>3150</v>
      </c>
      <c r="B97" s="79" t="s">
        <v>3175</v>
      </c>
      <c r="C97" s="79" t="s">
        <v>3176</v>
      </c>
      <c r="D97" s="79" t="s">
        <v>3177</v>
      </c>
      <c r="E97" s="79" t="s">
        <v>3176</v>
      </c>
      <c r="F97" s="80">
        <v>41.31</v>
      </c>
      <c r="G97" s="80">
        <v>5</v>
      </c>
      <c r="H97" s="80">
        <v>206.55</v>
      </c>
      <c r="I97" s="80">
        <v>674.65</v>
      </c>
      <c r="J97" s="79" t="s">
        <v>2835</v>
      </c>
      <c r="K97" s="79" t="s">
        <v>3154</v>
      </c>
      <c r="L97" s="79" t="s">
        <v>3148</v>
      </c>
      <c r="M97" s="79" t="s">
        <v>3178</v>
      </c>
    </row>
    <row r="98" ht="300" spans="1:13">
      <c r="A98" s="79" t="s">
        <v>3179</v>
      </c>
      <c r="B98" s="79" t="s">
        <v>2907</v>
      </c>
      <c r="C98" s="79" t="s">
        <v>2908</v>
      </c>
      <c r="D98" s="79" t="s">
        <v>2909</v>
      </c>
      <c r="E98" s="79" t="s">
        <v>2910</v>
      </c>
      <c r="F98" s="80">
        <v>0.22</v>
      </c>
      <c r="G98" s="80">
        <v>4000</v>
      </c>
      <c r="H98" s="80">
        <v>880</v>
      </c>
      <c r="I98" s="80">
        <v>880</v>
      </c>
      <c r="J98" s="79" t="s">
        <v>2911</v>
      </c>
      <c r="K98" s="79" t="s">
        <v>3154</v>
      </c>
      <c r="L98" s="79" t="s">
        <v>3148</v>
      </c>
      <c r="M98" s="79" t="s">
        <v>3180</v>
      </c>
    </row>
    <row r="99" ht="315" spans="1:13">
      <c r="A99" s="79" t="s">
        <v>3181</v>
      </c>
      <c r="B99" s="79" t="s">
        <v>3062</v>
      </c>
      <c r="C99" s="79" t="s">
        <v>3063</v>
      </c>
      <c r="D99" s="79" t="s">
        <v>3064</v>
      </c>
      <c r="E99" s="79" t="s">
        <v>136</v>
      </c>
      <c r="F99" s="80">
        <v>168</v>
      </c>
      <c r="G99" s="80">
        <v>3</v>
      </c>
      <c r="H99" s="80">
        <v>504</v>
      </c>
      <c r="I99" s="80">
        <v>504</v>
      </c>
      <c r="J99" s="79" t="s">
        <v>3065</v>
      </c>
      <c r="K99" s="79" t="s">
        <v>3182</v>
      </c>
      <c r="L99" s="79" t="s">
        <v>3148</v>
      </c>
      <c r="M99" s="79" t="s">
        <v>3183</v>
      </c>
    </row>
    <row r="100" ht="300" spans="1:13">
      <c r="A100" s="79" t="s">
        <v>3184</v>
      </c>
      <c r="B100" s="79" t="s">
        <v>2926</v>
      </c>
      <c r="C100" s="79" t="s">
        <v>2927</v>
      </c>
      <c r="D100" s="79" t="s">
        <v>2873</v>
      </c>
      <c r="E100" s="79" t="s">
        <v>2928</v>
      </c>
      <c r="F100" s="80">
        <v>17.1</v>
      </c>
      <c r="G100" s="80">
        <v>50</v>
      </c>
      <c r="H100" s="80">
        <v>855</v>
      </c>
      <c r="I100" s="80">
        <v>953.8</v>
      </c>
      <c r="J100" s="79" t="s">
        <v>2868</v>
      </c>
      <c r="K100" s="79" t="s">
        <v>3185</v>
      </c>
      <c r="L100" s="79" t="s">
        <v>3148</v>
      </c>
      <c r="M100" s="79" t="s">
        <v>3186</v>
      </c>
    </row>
    <row r="101" ht="300" spans="1:13">
      <c r="A101" s="79" t="s">
        <v>3187</v>
      </c>
      <c r="B101" s="79" t="s">
        <v>3188</v>
      </c>
      <c r="C101" s="79" t="s">
        <v>3189</v>
      </c>
      <c r="D101" s="79" t="s">
        <v>3190</v>
      </c>
      <c r="E101" s="79" t="s">
        <v>3189</v>
      </c>
      <c r="F101" s="80">
        <v>145</v>
      </c>
      <c r="G101" s="80">
        <v>1</v>
      </c>
      <c r="H101" s="80">
        <v>145</v>
      </c>
      <c r="I101" s="80">
        <v>241.3</v>
      </c>
      <c r="J101" s="79" t="s">
        <v>2835</v>
      </c>
      <c r="K101" s="79" t="s">
        <v>3185</v>
      </c>
      <c r="L101" s="79" t="s">
        <v>3148</v>
      </c>
      <c r="M101" s="79" t="s">
        <v>3191</v>
      </c>
    </row>
    <row r="102" ht="300" spans="1:13">
      <c r="A102" s="79" t="s">
        <v>3187</v>
      </c>
      <c r="B102" s="79" t="s">
        <v>3192</v>
      </c>
      <c r="C102" s="79" t="s">
        <v>3193</v>
      </c>
      <c r="D102" s="79" t="s">
        <v>3194</v>
      </c>
      <c r="E102" s="79" t="s">
        <v>3193</v>
      </c>
      <c r="F102" s="80">
        <v>96.3</v>
      </c>
      <c r="G102" s="80">
        <v>1</v>
      </c>
      <c r="H102" s="80">
        <v>96.3</v>
      </c>
      <c r="I102" s="80">
        <v>241.3</v>
      </c>
      <c r="J102" s="79" t="s">
        <v>2835</v>
      </c>
      <c r="K102" s="79" t="s">
        <v>3185</v>
      </c>
      <c r="L102" s="79" t="s">
        <v>3148</v>
      </c>
      <c r="M102" s="79" t="s">
        <v>3195</v>
      </c>
    </row>
    <row r="103" ht="300" spans="1:13">
      <c r="A103" s="79" t="s">
        <v>3184</v>
      </c>
      <c r="B103" s="79" t="s">
        <v>3077</v>
      </c>
      <c r="C103" s="79" t="s">
        <v>3078</v>
      </c>
      <c r="D103" s="79" t="s">
        <v>3008</v>
      </c>
      <c r="E103" s="79" t="s">
        <v>3079</v>
      </c>
      <c r="F103" s="80">
        <v>1.49</v>
      </c>
      <c r="G103" s="80">
        <v>20</v>
      </c>
      <c r="H103" s="80">
        <v>29.8</v>
      </c>
      <c r="I103" s="80">
        <v>953.8</v>
      </c>
      <c r="J103" s="79" t="s">
        <v>2868</v>
      </c>
      <c r="K103" s="79" t="s">
        <v>3185</v>
      </c>
      <c r="L103" s="79" t="s">
        <v>3148</v>
      </c>
      <c r="M103" s="79" t="s">
        <v>3196</v>
      </c>
    </row>
    <row r="104" ht="300" spans="1:13">
      <c r="A104" s="79" t="s">
        <v>3184</v>
      </c>
      <c r="B104" s="79" t="s">
        <v>3197</v>
      </c>
      <c r="C104" s="79" t="s">
        <v>3198</v>
      </c>
      <c r="D104" s="79" t="s">
        <v>2873</v>
      </c>
      <c r="E104" s="79" t="s">
        <v>3134</v>
      </c>
      <c r="F104" s="80">
        <v>6.75</v>
      </c>
      <c r="G104" s="80">
        <v>4</v>
      </c>
      <c r="H104" s="80">
        <v>27</v>
      </c>
      <c r="I104" s="80">
        <v>953.8</v>
      </c>
      <c r="J104" s="79" t="s">
        <v>2868</v>
      </c>
      <c r="K104" s="79" t="s">
        <v>3185</v>
      </c>
      <c r="L104" s="79" t="s">
        <v>3148</v>
      </c>
      <c r="M104" s="79" t="s">
        <v>3199</v>
      </c>
    </row>
    <row r="105" ht="300" spans="1:13">
      <c r="A105" s="79" t="s">
        <v>3184</v>
      </c>
      <c r="B105" s="79" t="s">
        <v>3136</v>
      </c>
      <c r="C105" s="79" t="s">
        <v>3137</v>
      </c>
      <c r="D105" s="79" t="s">
        <v>2873</v>
      </c>
      <c r="E105" s="79" t="s">
        <v>3138</v>
      </c>
      <c r="F105" s="80">
        <v>10.5</v>
      </c>
      <c r="G105" s="80">
        <v>4</v>
      </c>
      <c r="H105" s="80">
        <v>42</v>
      </c>
      <c r="I105" s="80">
        <v>953.8</v>
      </c>
      <c r="J105" s="79" t="s">
        <v>2868</v>
      </c>
      <c r="K105" s="79" t="s">
        <v>3185</v>
      </c>
      <c r="L105" s="79" t="s">
        <v>3148</v>
      </c>
      <c r="M105" s="79" t="s">
        <v>3200</v>
      </c>
    </row>
    <row r="106" ht="300" spans="1:13">
      <c r="A106" s="79" t="s">
        <v>3201</v>
      </c>
      <c r="B106" s="79" t="s">
        <v>2921</v>
      </c>
      <c r="C106" s="79" t="s">
        <v>2922</v>
      </c>
      <c r="D106" s="79" t="s">
        <v>2923</v>
      </c>
      <c r="E106" s="79" t="s">
        <v>2924</v>
      </c>
      <c r="F106" s="80">
        <v>12.5</v>
      </c>
      <c r="G106" s="80">
        <v>40</v>
      </c>
      <c r="H106" s="80">
        <v>500</v>
      </c>
      <c r="I106" s="80">
        <v>5428.75</v>
      </c>
      <c r="J106" s="79" t="s">
        <v>2868</v>
      </c>
      <c r="K106" s="79" t="s">
        <v>3202</v>
      </c>
      <c r="L106" s="79" t="s">
        <v>3148</v>
      </c>
      <c r="M106" s="79" t="s">
        <v>3203</v>
      </c>
    </row>
    <row r="107" ht="300" spans="1:13">
      <c r="A107" s="79" t="s">
        <v>3201</v>
      </c>
      <c r="B107" s="79" t="s">
        <v>3204</v>
      </c>
      <c r="C107" s="79" t="s">
        <v>3205</v>
      </c>
      <c r="D107" s="79" t="s">
        <v>2958</v>
      </c>
      <c r="E107" s="79" t="s">
        <v>1770</v>
      </c>
      <c r="F107" s="80">
        <v>12.74</v>
      </c>
      <c r="G107" s="80">
        <v>30</v>
      </c>
      <c r="H107" s="80">
        <v>382.2</v>
      </c>
      <c r="I107" s="80">
        <v>5428.75</v>
      </c>
      <c r="J107" s="79" t="s">
        <v>2868</v>
      </c>
      <c r="K107" s="79" t="s">
        <v>3202</v>
      </c>
      <c r="L107" s="79" t="s">
        <v>3148</v>
      </c>
      <c r="M107" s="79" t="s">
        <v>3206</v>
      </c>
    </row>
    <row r="108" ht="300" spans="1:13">
      <c r="A108" s="79" t="s">
        <v>3201</v>
      </c>
      <c r="B108" s="79" t="s">
        <v>3207</v>
      </c>
      <c r="C108" s="79" t="s">
        <v>3208</v>
      </c>
      <c r="D108" s="79" t="s">
        <v>2958</v>
      </c>
      <c r="E108" s="79" t="s">
        <v>1770</v>
      </c>
      <c r="F108" s="80">
        <v>5.5</v>
      </c>
      <c r="G108" s="80">
        <v>50</v>
      </c>
      <c r="H108" s="80">
        <v>275</v>
      </c>
      <c r="I108" s="80">
        <v>5428.75</v>
      </c>
      <c r="J108" s="79" t="s">
        <v>2868</v>
      </c>
      <c r="K108" s="79" t="s">
        <v>3202</v>
      </c>
      <c r="L108" s="79" t="s">
        <v>3148</v>
      </c>
      <c r="M108" s="79" t="s">
        <v>3209</v>
      </c>
    </row>
    <row r="109" ht="300" spans="1:13">
      <c r="A109" s="79" t="s">
        <v>3210</v>
      </c>
      <c r="B109" s="79" t="s">
        <v>3100</v>
      </c>
      <c r="C109" s="79" t="s">
        <v>3101</v>
      </c>
      <c r="D109" s="79" t="s">
        <v>3088</v>
      </c>
      <c r="E109" s="79" t="s">
        <v>3101</v>
      </c>
      <c r="F109" s="80">
        <v>7.83</v>
      </c>
      <c r="G109" s="80">
        <v>6</v>
      </c>
      <c r="H109" s="80">
        <v>46.98</v>
      </c>
      <c r="I109" s="80">
        <v>1473.9</v>
      </c>
      <c r="J109" s="79" t="s">
        <v>2835</v>
      </c>
      <c r="K109" s="79" t="s">
        <v>3202</v>
      </c>
      <c r="L109" s="79" t="s">
        <v>3148</v>
      </c>
      <c r="M109" s="79" t="s">
        <v>3211</v>
      </c>
    </row>
    <row r="110" ht="300" spans="1:13">
      <c r="A110" s="79" t="s">
        <v>3201</v>
      </c>
      <c r="B110" s="79" t="s">
        <v>3132</v>
      </c>
      <c r="C110" s="79" t="s">
        <v>3133</v>
      </c>
      <c r="D110" s="79" t="s">
        <v>2873</v>
      </c>
      <c r="E110" s="79" t="s">
        <v>3134</v>
      </c>
      <c r="F110" s="80">
        <v>3.4</v>
      </c>
      <c r="G110" s="80">
        <v>6</v>
      </c>
      <c r="H110" s="80">
        <v>20.4</v>
      </c>
      <c r="I110" s="80">
        <v>5428.75</v>
      </c>
      <c r="J110" s="79" t="s">
        <v>2868</v>
      </c>
      <c r="K110" s="79" t="s">
        <v>3202</v>
      </c>
      <c r="L110" s="79" t="s">
        <v>3148</v>
      </c>
      <c r="M110" s="79" t="s">
        <v>3212</v>
      </c>
    </row>
    <row r="111" ht="300" spans="1:13">
      <c r="A111" s="79" t="s">
        <v>3201</v>
      </c>
      <c r="B111" s="79" t="s">
        <v>3213</v>
      </c>
      <c r="C111" s="79" t="s">
        <v>3214</v>
      </c>
      <c r="D111" s="79" t="s">
        <v>2883</v>
      </c>
      <c r="E111" s="79" t="s">
        <v>3215</v>
      </c>
      <c r="F111" s="80">
        <v>24</v>
      </c>
      <c r="G111" s="80">
        <v>4</v>
      </c>
      <c r="H111" s="80">
        <v>96</v>
      </c>
      <c r="I111" s="80">
        <v>5428.75</v>
      </c>
      <c r="J111" s="79" t="s">
        <v>2868</v>
      </c>
      <c r="K111" s="79" t="s">
        <v>3202</v>
      </c>
      <c r="L111" s="79" t="s">
        <v>3148</v>
      </c>
      <c r="M111" s="79" t="s">
        <v>3216</v>
      </c>
    </row>
    <row r="112" ht="300" spans="1:13">
      <c r="A112" s="79" t="s">
        <v>3201</v>
      </c>
      <c r="B112" s="79" t="s">
        <v>3217</v>
      </c>
      <c r="C112" s="79" t="s">
        <v>3218</v>
      </c>
      <c r="D112" s="79" t="s">
        <v>2970</v>
      </c>
      <c r="E112" s="79" t="s">
        <v>1861</v>
      </c>
      <c r="F112" s="80">
        <v>71</v>
      </c>
      <c r="G112" s="80">
        <v>2</v>
      </c>
      <c r="H112" s="80">
        <v>142</v>
      </c>
      <c r="I112" s="80">
        <v>5428.75</v>
      </c>
      <c r="J112" s="79" t="s">
        <v>2868</v>
      </c>
      <c r="K112" s="79" t="s">
        <v>3202</v>
      </c>
      <c r="L112" s="79" t="s">
        <v>3148</v>
      </c>
      <c r="M112" s="79" t="s">
        <v>3219</v>
      </c>
    </row>
    <row r="113" ht="300" spans="1:13">
      <c r="A113" s="79" t="s">
        <v>3201</v>
      </c>
      <c r="B113" s="79" t="s">
        <v>3220</v>
      </c>
      <c r="C113" s="79" t="s">
        <v>3221</v>
      </c>
      <c r="D113" s="79" t="s">
        <v>3222</v>
      </c>
      <c r="E113" s="79" t="s">
        <v>1853</v>
      </c>
      <c r="F113" s="80">
        <v>27.3</v>
      </c>
      <c r="G113" s="80">
        <v>20</v>
      </c>
      <c r="H113" s="80">
        <v>546</v>
      </c>
      <c r="I113" s="80">
        <v>5428.75</v>
      </c>
      <c r="J113" s="79" t="s">
        <v>2868</v>
      </c>
      <c r="K113" s="79" t="s">
        <v>3202</v>
      </c>
      <c r="L113" s="79" t="s">
        <v>3148</v>
      </c>
      <c r="M113" s="79" t="s">
        <v>3223</v>
      </c>
    </row>
    <row r="114" ht="300" spans="1:13">
      <c r="A114" s="79" t="s">
        <v>3201</v>
      </c>
      <c r="B114" s="79" t="s">
        <v>2946</v>
      </c>
      <c r="C114" s="79" t="s">
        <v>2947</v>
      </c>
      <c r="D114" s="79" t="s">
        <v>2948</v>
      </c>
      <c r="E114" s="79" t="s">
        <v>2949</v>
      </c>
      <c r="F114" s="80">
        <v>20</v>
      </c>
      <c r="G114" s="80">
        <v>7</v>
      </c>
      <c r="H114" s="80">
        <v>140</v>
      </c>
      <c r="I114" s="80">
        <v>5428.75</v>
      </c>
      <c r="J114" s="79" t="s">
        <v>2868</v>
      </c>
      <c r="K114" s="79" t="s">
        <v>3202</v>
      </c>
      <c r="L114" s="79" t="s">
        <v>3148</v>
      </c>
      <c r="M114" s="79" t="s">
        <v>3224</v>
      </c>
    </row>
    <row r="115" ht="300" spans="1:13">
      <c r="A115" s="79" t="s">
        <v>3201</v>
      </c>
      <c r="B115" s="79" t="s">
        <v>3107</v>
      </c>
      <c r="C115" s="79" t="s">
        <v>3108</v>
      </c>
      <c r="D115" s="79" t="s">
        <v>2867</v>
      </c>
      <c r="E115" s="79" t="s">
        <v>1742</v>
      </c>
      <c r="F115" s="80">
        <v>32</v>
      </c>
      <c r="G115" s="80">
        <v>5</v>
      </c>
      <c r="H115" s="80">
        <v>160</v>
      </c>
      <c r="I115" s="80">
        <v>5428.75</v>
      </c>
      <c r="J115" s="79" t="s">
        <v>2868</v>
      </c>
      <c r="K115" s="79" t="s">
        <v>3202</v>
      </c>
      <c r="L115" s="79" t="s">
        <v>3148</v>
      </c>
      <c r="M115" s="79" t="s">
        <v>3225</v>
      </c>
    </row>
    <row r="116" ht="300" spans="1:13">
      <c r="A116" s="79" t="s">
        <v>3201</v>
      </c>
      <c r="B116" s="79" t="s">
        <v>3226</v>
      </c>
      <c r="C116" s="79" t="s">
        <v>3227</v>
      </c>
      <c r="D116" s="79" t="s">
        <v>3228</v>
      </c>
      <c r="E116" s="79" t="s">
        <v>3229</v>
      </c>
      <c r="F116" s="80">
        <v>19.8</v>
      </c>
      <c r="G116" s="80">
        <v>2</v>
      </c>
      <c r="H116" s="80">
        <v>39.6</v>
      </c>
      <c r="I116" s="80">
        <v>5428.75</v>
      </c>
      <c r="J116" s="79" t="s">
        <v>2868</v>
      </c>
      <c r="K116" s="79" t="s">
        <v>3202</v>
      </c>
      <c r="L116" s="79" t="s">
        <v>3148</v>
      </c>
      <c r="M116" s="79" t="s">
        <v>3230</v>
      </c>
    </row>
    <row r="117" ht="300" spans="1:13">
      <c r="A117" s="79" t="s">
        <v>3210</v>
      </c>
      <c r="B117" s="79" t="s">
        <v>3231</v>
      </c>
      <c r="C117" s="79" t="s">
        <v>3232</v>
      </c>
      <c r="D117" s="79" t="s">
        <v>3233</v>
      </c>
      <c r="E117" s="79" t="s">
        <v>3232</v>
      </c>
      <c r="F117" s="80">
        <v>114</v>
      </c>
      <c r="G117" s="80">
        <v>12</v>
      </c>
      <c r="H117" s="80">
        <v>1368</v>
      </c>
      <c r="I117" s="80">
        <v>1473.9</v>
      </c>
      <c r="J117" s="79" t="s">
        <v>2835</v>
      </c>
      <c r="K117" s="79" t="s">
        <v>3202</v>
      </c>
      <c r="L117" s="79" t="s">
        <v>3148</v>
      </c>
      <c r="M117" s="79" t="s">
        <v>3234</v>
      </c>
    </row>
    <row r="118" ht="300" spans="1:13">
      <c r="A118" s="79" t="s">
        <v>3201</v>
      </c>
      <c r="B118" s="79" t="s">
        <v>3235</v>
      </c>
      <c r="C118" s="79" t="s">
        <v>3236</v>
      </c>
      <c r="D118" s="79" t="s">
        <v>3040</v>
      </c>
      <c r="E118" s="79" t="s">
        <v>3237</v>
      </c>
      <c r="F118" s="80">
        <v>20.7</v>
      </c>
      <c r="G118" s="80">
        <v>2</v>
      </c>
      <c r="H118" s="80">
        <v>41.4</v>
      </c>
      <c r="I118" s="80">
        <v>5428.75</v>
      </c>
      <c r="J118" s="79" t="s">
        <v>2868</v>
      </c>
      <c r="K118" s="79" t="s">
        <v>3202</v>
      </c>
      <c r="L118" s="79" t="s">
        <v>3148</v>
      </c>
      <c r="M118" s="79" t="s">
        <v>3238</v>
      </c>
    </row>
    <row r="119" ht="300" spans="1:13">
      <c r="A119" s="79" t="s">
        <v>3201</v>
      </c>
      <c r="B119" s="79" t="s">
        <v>3239</v>
      </c>
      <c r="C119" s="79" t="s">
        <v>3240</v>
      </c>
      <c r="D119" s="79" t="s">
        <v>2873</v>
      </c>
      <c r="E119" s="79" t="s">
        <v>2874</v>
      </c>
      <c r="F119" s="80">
        <v>5.88</v>
      </c>
      <c r="G119" s="80">
        <v>15</v>
      </c>
      <c r="H119" s="80">
        <v>88.2</v>
      </c>
      <c r="I119" s="80">
        <v>5428.75</v>
      </c>
      <c r="J119" s="79" t="s">
        <v>2868</v>
      </c>
      <c r="K119" s="79" t="s">
        <v>3202</v>
      </c>
      <c r="L119" s="79" t="s">
        <v>3148</v>
      </c>
      <c r="M119" s="79" t="s">
        <v>3241</v>
      </c>
    </row>
    <row r="120" ht="300" spans="1:13">
      <c r="A120" s="79" t="s">
        <v>3201</v>
      </c>
      <c r="B120" s="79" t="s">
        <v>3242</v>
      </c>
      <c r="C120" s="79" t="s">
        <v>3243</v>
      </c>
      <c r="D120" s="79" t="s">
        <v>3008</v>
      </c>
      <c r="E120" s="79" t="s">
        <v>3079</v>
      </c>
      <c r="F120" s="80">
        <v>10.8</v>
      </c>
      <c r="G120" s="80">
        <v>5</v>
      </c>
      <c r="H120" s="80">
        <v>54</v>
      </c>
      <c r="I120" s="80">
        <v>5428.75</v>
      </c>
      <c r="J120" s="79" t="s">
        <v>2868</v>
      </c>
      <c r="K120" s="79" t="s">
        <v>3202</v>
      </c>
      <c r="L120" s="79" t="s">
        <v>3148</v>
      </c>
      <c r="M120" s="79" t="s">
        <v>3244</v>
      </c>
    </row>
    <row r="121" ht="300" spans="1:13">
      <c r="A121" s="79" t="s">
        <v>3201</v>
      </c>
      <c r="B121" s="79" t="s">
        <v>2956</v>
      </c>
      <c r="C121" s="79" t="s">
        <v>2957</v>
      </c>
      <c r="D121" s="79" t="s">
        <v>2958</v>
      </c>
      <c r="E121" s="79" t="s">
        <v>1770</v>
      </c>
      <c r="F121" s="80">
        <v>17.7</v>
      </c>
      <c r="G121" s="80">
        <v>80</v>
      </c>
      <c r="H121" s="80">
        <v>1416</v>
      </c>
      <c r="I121" s="80">
        <v>5428.75</v>
      </c>
      <c r="J121" s="79" t="s">
        <v>2868</v>
      </c>
      <c r="K121" s="79" t="s">
        <v>3202</v>
      </c>
      <c r="L121" s="79" t="s">
        <v>3148</v>
      </c>
      <c r="M121" s="79" t="s">
        <v>3245</v>
      </c>
    </row>
    <row r="122" ht="300" spans="1:13">
      <c r="A122" s="79" t="s">
        <v>3201</v>
      </c>
      <c r="B122" s="79" t="s">
        <v>3246</v>
      </c>
      <c r="C122" s="79" t="s">
        <v>3247</v>
      </c>
      <c r="D122" s="79" t="s">
        <v>2883</v>
      </c>
      <c r="E122" s="79" t="s">
        <v>3248</v>
      </c>
      <c r="F122" s="80">
        <v>21</v>
      </c>
      <c r="G122" s="80">
        <v>8</v>
      </c>
      <c r="H122" s="80">
        <v>168</v>
      </c>
      <c r="I122" s="80">
        <v>5428.75</v>
      </c>
      <c r="J122" s="79" t="s">
        <v>2868</v>
      </c>
      <c r="K122" s="79" t="s">
        <v>3202</v>
      </c>
      <c r="L122" s="79" t="s">
        <v>3148</v>
      </c>
      <c r="M122" s="79" t="s">
        <v>3249</v>
      </c>
    </row>
    <row r="123" ht="300" spans="1:13">
      <c r="A123" s="79" t="s">
        <v>3201</v>
      </c>
      <c r="B123" s="79" t="s">
        <v>2886</v>
      </c>
      <c r="C123" s="79" t="s">
        <v>2887</v>
      </c>
      <c r="D123" s="79" t="s">
        <v>2883</v>
      </c>
      <c r="E123" s="79" t="s">
        <v>2888</v>
      </c>
      <c r="F123" s="80">
        <v>13.23</v>
      </c>
      <c r="G123" s="80">
        <v>10</v>
      </c>
      <c r="H123" s="80">
        <v>132.3</v>
      </c>
      <c r="I123" s="80">
        <v>5428.75</v>
      </c>
      <c r="J123" s="79" t="s">
        <v>2868</v>
      </c>
      <c r="K123" s="79" t="s">
        <v>3202</v>
      </c>
      <c r="L123" s="79" t="s">
        <v>3148</v>
      </c>
      <c r="M123" s="79" t="s">
        <v>3250</v>
      </c>
    </row>
    <row r="124" ht="300" spans="1:13">
      <c r="A124" s="79" t="s">
        <v>3201</v>
      </c>
      <c r="B124" s="79" t="s">
        <v>2942</v>
      </c>
      <c r="C124" s="79" t="s">
        <v>2943</v>
      </c>
      <c r="D124" s="79" t="s">
        <v>2873</v>
      </c>
      <c r="E124" s="79" t="s">
        <v>2944</v>
      </c>
      <c r="F124" s="80">
        <v>31</v>
      </c>
      <c r="G124" s="80">
        <v>1</v>
      </c>
      <c r="H124" s="80">
        <v>31</v>
      </c>
      <c r="I124" s="80">
        <v>5428.75</v>
      </c>
      <c r="J124" s="79" t="s">
        <v>2868</v>
      </c>
      <c r="K124" s="79" t="s">
        <v>3202</v>
      </c>
      <c r="L124" s="79" t="s">
        <v>3148</v>
      </c>
      <c r="M124" s="79" t="s">
        <v>3251</v>
      </c>
    </row>
    <row r="125" ht="300" spans="1:13">
      <c r="A125" s="79" t="s">
        <v>3201</v>
      </c>
      <c r="B125" s="79" t="s">
        <v>3125</v>
      </c>
      <c r="C125" s="79" t="s">
        <v>3126</v>
      </c>
      <c r="D125" s="79" t="s">
        <v>2878</v>
      </c>
      <c r="E125" s="79" t="s">
        <v>2879</v>
      </c>
      <c r="F125" s="80">
        <v>5.2</v>
      </c>
      <c r="G125" s="80">
        <v>5</v>
      </c>
      <c r="H125" s="80">
        <v>26</v>
      </c>
      <c r="I125" s="80">
        <v>5428.75</v>
      </c>
      <c r="J125" s="79" t="s">
        <v>2868</v>
      </c>
      <c r="K125" s="79" t="s">
        <v>3202</v>
      </c>
      <c r="L125" s="79" t="s">
        <v>3148</v>
      </c>
      <c r="M125" s="79" t="s">
        <v>3252</v>
      </c>
    </row>
    <row r="126" ht="300" spans="1:13">
      <c r="A126" s="79" t="s">
        <v>3201</v>
      </c>
      <c r="B126" s="79" t="s">
        <v>3110</v>
      </c>
      <c r="C126" s="79" t="s">
        <v>3111</v>
      </c>
      <c r="D126" s="79" t="s">
        <v>2883</v>
      </c>
      <c r="E126" s="79" t="s">
        <v>2975</v>
      </c>
      <c r="F126" s="80">
        <v>45</v>
      </c>
      <c r="G126" s="80">
        <v>5</v>
      </c>
      <c r="H126" s="80">
        <v>225</v>
      </c>
      <c r="I126" s="80">
        <v>5428.75</v>
      </c>
      <c r="J126" s="79" t="s">
        <v>2868</v>
      </c>
      <c r="K126" s="79" t="s">
        <v>3202</v>
      </c>
      <c r="L126" s="79" t="s">
        <v>3148</v>
      </c>
      <c r="M126" s="79" t="s">
        <v>3253</v>
      </c>
    </row>
    <row r="127" ht="300" spans="1:13">
      <c r="A127" s="79" t="s">
        <v>3201</v>
      </c>
      <c r="B127" s="79" t="s">
        <v>3081</v>
      </c>
      <c r="C127" s="79" t="s">
        <v>3082</v>
      </c>
      <c r="D127" s="79" t="s">
        <v>2948</v>
      </c>
      <c r="E127" s="79" t="s">
        <v>3083</v>
      </c>
      <c r="F127" s="80">
        <v>15.97</v>
      </c>
      <c r="G127" s="80">
        <v>5</v>
      </c>
      <c r="H127" s="80">
        <v>79.85</v>
      </c>
      <c r="I127" s="80">
        <v>5428.75</v>
      </c>
      <c r="J127" s="79" t="s">
        <v>2868</v>
      </c>
      <c r="K127" s="79" t="s">
        <v>3202</v>
      </c>
      <c r="L127" s="79" t="s">
        <v>3148</v>
      </c>
      <c r="M127" s="79" t="s">
        <v>3254</v>
      </c>
    </row>
    <row r="128" ht="300" spans="1:13">
      <c r="A128" s="79" t="s">
        <v>3201</v>
      </c>
      <c r="B128" s="79" t="s">
        <v>3255</v>
      </c>
      <c r="C128" s="79" t="s">
        <v>3256</v>
      </c>
      <c r="D128" s="79" t="s">
        <v>2883</v>
      </c>
      <c r="E128" s="79" t="s">
        <v>3257</v>
      </c>
      <c r="F128" s="80">
        <v>7.72</v>
      </c>
      <c r="G128" s="80">
        <v>40</v>
      </c>
      <c r="H128" s="80">
        <v>308.8</v>
      </c>
      <c r="I128" s="80">
        <v>5428.75</v>
      </c>
      <c r="J128" s="79" t="s">
        <v>2868</v>
      </c>
      <c r="K128" s="79" t="s">
        <v>3202</v>
      </c>
      <c r="L128" s="79" t="s">
        <v>3148</v>
      </c>
      <c r="M128" s="79" t="s">
        <v>3258</v>
      </c>
    </row>
    <row r="129" ht="300" spans="1:13">
      <c r="A129" s="79" t="s">
        <v>3201</v>
      </c>
      <c r="B129" s="79" t="s">
        <v>3259</v>
      </c>
      <c r="C129" s="79" t="s">
        <v>3260</v>
      </c>
      <c r="D129" s="79" t="s">
        <v>2883</v>
      </c>
      <c r="E129" s="79" t="s">
        <v>3257</v>
      </c>
      <c r="F129" s="80">
        <v>15.7</v>
      </c>
      <c r="G129" s="80">
        <v>30</v>
      </c>
      <c r="H129" s="80">
        <v>471</v>
      </c>
      <c r="I129" s="80">
        <v>5428.75</v>
      </c>
      <c r="J129" s="79" t="s">
        <v>2868</v>
      </c>
      <c r="K129" s="79" t="s">
        <v>3202</v>
      </c>
      <c r="L129" s="79" t="s">
        <v>3148</v>
      </c>
      <c r="M129" s="79" t="s">
        <v>3261</v>
      </c>
    </row>
    <row r="130" ht="300" spans="1:13">
      <c r="A130" s="79" t="s">
        <v>3201</v>
      </c>
      <c r="B130" s="79" t="s">
        <v>3002</v>
      </c>
      <c r="C130" s="79" t="s">
        <v>3003</v>
      </c>
      <c r="D130" s="79" t="s">
        <v>2883</v>
      </c>
      <c r="E130" s="79" t="s">
        <v>3004</v>
      </c>
      <c r="F130" s="80">
        <v>21.5</v>
      </c>
      <c r="G130" s="80">
        <v>4</v>
      </c>
      <c r="H130" s="80">
        <v>86</v>
      </c>
      <c r="I130" s="80">
        <v>5428.75</v>
      </c>
      <c r="J130" s="79" t="s">
        <v>2868</v>
      </c>
      <c r="K130" s="79" t="s">
        <v>3202</v>
      </c>
      <c r="L130" s="79" t="s">
        <v>3148</v>
      </c>
      <c r="M130" s="79" t="s">
        <v>3262</v>
      </c>
    </row>
    <row r="131" ht="300" spans="1:13">
      <c r="A131" s="79" t="s">
        <v>3210</v>
      </c>
      <c r="B131" s="79" t="s">
        <v>3263</v>
      </c>
      <c r="C131" s="79" t="s">
        <v>3264</v>
      </c>
      <c r="D131" s="79" t="s">
        <v>3088</v>
      </c>
      <c r="E131" s="79" t="s">
        <v>3264</v>
      </c>
      <c r="F131" s="80">
        <v>4.91</v>
      </c>
      <c r="G131" s="80">
        <v>12</v>
      </c>
      <c r="H131" s="80">
        <v>58.92</v>
      </c>
      <c r="I131" s="80">
        <v>1473.9</v>
      </c>
      <c r="J131" s="79" t="s">
        <v>2835</v>
      </c>
      <c r="K131" s="79" t="s">
        <v>3202</v>
      </c>
      <c r="L131" s="79" t="s">
        <v>3148</v>
      </c>
      <c r="M131" s="79" t="s">
        <v>3265</v>
      </c>
    </row>
    <row r="132" ht="300" spans="1:13">
      <c r="A132" s="79" t="s">
        <v>3266</v>
      </c>
      <c r="B132" s="79" t="s">
        <v>2820</v>
      </c>
      <c r="C132" s="79" t="s">
        <v>2821</v>
      </c>
      <c r="D132" s="79" t="s">
        <v>2822</v>
      </c>
      <c r="E132" s="79" t="s">
        <v>2823</v>
      </c>
      <c r="F132" s="80">
        <v>767</v>
      </c>
      <c r="G132" s="80">
        <v>1</v>
      </c>
      <c r="H132" s="80">
        <v>767</v>
      </c>
      <c r="I132" s="80">
        <v>1534</v>
      </c>
      <c r="J132" s="79" t="s">
        <v>3267</v>
      </c>
      <c r="K132" s="79" t="s">
        <v>3268</v>
      </c>
      <c r="L132" s="79" t="s">
        <v>3148</v>
      </c>
      <c r="M132" s="79" t="s">
        <v>3269</v>
      </c>
    </row>
    <row r="133" ht="300" spans="1:13">
      <c r="A133" s="79" t="s">
        <v>3266</v>
      </c>
      <c r="B133" s="79" t="s">
        <v>2820</v>
      </c>
      <c r="C133" s="79" t="s">
        <v>2821</v>
      </c>
      <c r="D133" s="79" t="s">
        <v>2822</v>
      </c>
      <c r="E133" s="79" t="s">
        <v>2823</v>
      </c>
      <c r="F133" s="80">
        <v>767</v>
      </c>
      <c r="G133" s="80">
        <v>1</v>
      </c>
      <c r="H133" s="80">
        <v>767</v>
      </c>
      <c r="I133" s="80">
        <v>1534</v>
      </c>
      <c r="J133" s="79" t="s">
        <v>3267</v>
      </c>
      <c r="K133" s="79" t="s">
        <v>3268</v>
      </c>
      <c r="L133" s="79" t="s">
        <v>3148</v>
      </c>
      <c r="M133" s="79" t="s">
        <v>3270</v>
      </c>
    </row>
    <row r="134" ht="300" spans="1:13">
      <c r="A134" s="79" t="s">
        <v>3271</v>
      </c>
      <c r="B134" s="79" t="s">
        <v>3272</v>
      </c>
      <c r="C134" s="79" t="s">
        <v>3273</v>
      </c>
      <c r="D134" s="79" t="s">
        <v>3274</v>
      </c>
      <c r="E134" s="79" t="s">
        <v>3275</v>
      </c>
      <c r="F134" s="80">
        <v>88.14</v>
      </c>
      <c r="G134" s="80">
        <v>4</v>
      </c>
      <c r="H134" s="80">
        <v>352.56</v>
      </c>
      <c r="I134" s="80">
        <v>9690.88</v>
      </c>
      <c r="J134" s="79" t="s">
        <v>3276</v>
      </c>
      <c r="K134" s="79" t="s">
        <v>3277</v>
      </c>
      <c r="L134" s="79" t="s">
        <v>3148</v>
      </c>
      <c r="M134" s="79" t="s">
        <v>3278</v>
      </c>
    </row>
    <row r="135" ht="300" spans="1:13">
      <c r="A135" s="79" t="s">
        <v>3271</v>
      </c>
      <c r="B135" s="79" t="s">
        <v>3279</v>
      </c>
      <c r="C135" s="79" t="s">
        <v>3280</v>
      </c>
      <c r="D135" s="79" t="s">
        <v>3274</v>
      </c>
      <c r="E135" s="79" t="s">
        <v>3281</v>
      </c>
      <c r="F135" s="80">
        <v>24.86</v>
      </c>
      <c r="G135" s="80">
        <v>2</v>
      </c>
      <c r="H135" s="80">
        <v>49.72</v>
      </c>
      <c r="I135" s="80">
        <v>9690.88</v>
      </c>
      <c r="J135" s="79" t="s">
        <v>3276</v>
      </c>
      <c r="K135" s="79" t="s">
        <v>3277</v>
      </c>
      <c r="L135" s="79" t="s">
        <v>3148</v>
      </c>
      <c r="M135" s="79" t="s">
        <v>3282</v>
      </c>
    </row>
    <row r="136" ht="300" spans="1:13">
      <c r="A136" s="79" t="s">
        <v>3271</v>
      </c>
      <c r="B136" s="79" t="s">
        <v>3283</v>
      </c>
      <c r="C136" s="79" t="s">
        <v>3284</v>
      </c>
      <c r="D136" s="79" t="s">
        <v>3274</v>
      </c>
      <c r="E136" s="79" t="s">
        <v>3285</v>
      </c>
      <c r="F136" s="80">
        <v>418.1</v>
      </c>
      <c r="G136" s="80">
        <v>1</v>
      </c>
      <c r="H136" s="80">
        <v>418.1</v>
      </c>
      <c r="I136" s="80">
        <v>9690.88</v>
      </c>
      <c r="J136" s="79" t="s">
        <v>3276</v>
      </c>
      <c r="K136" s="79" t="s">
        <v>3277</v>
      </c>
      <c r="L136" s="79" t="s">
        <v>3148</v>
      </c>
      <c r="M136" s="79" t="s">
        <v>3286</v>
      </c>
    </row>
    <row r="137" ht="300" spans="1:13">
      <c r="A137" s="79" t="s">
        <v>3271</v>
      </c>
      <c r="B137" s="79" t="s">
        <v>3287</v>
      </c>
      <c r="C137" s="79" t="s">
        <v>3288</v>
      </c>
      <c r="D137" s="79" t="s">
        <v>3274</v>
      </c>
      <c r="E137" s="79" t="s">
        <v>3289</v>
      </c>
      <c r="F137" s="80">
        <v>146.9</v>
      </c>
      <c r="G137" s="80">
        <v>4</v>
      </c>
      <c r="H137" s="80">
        <v>587.6</v>
      </c>
      <c r="I137" s="80">
        <v>9690.88</v>
      </c>
      <c r="J137" s="79" t="s">
        <v>3276</v>
      </c>
      <c r="K137" s="79" t="s">
        <v>3277</v>
      </c>
      <c r="L137" s="79" t="s">
        <v>3148</v>
      </c>
      <c r="M137" s="79" t="s">
        <v>3290</v>
      </c>
    </row>
    <row r="138" ht="300" spans="1:13">
      <c r="A138" s="79" t="s">
        <v>3271</v>
      </c>
      <c r="B138" s="79" t="s">
        <v>3291</v>
      </c>
      <c r="C138" s="79" t="s">
        <v>3292</v>
      </c>
      <c r="D138" s="79" t="s">
        <v>3274</v>
      </c>
      <c r="E138" s="79" t="s">
        <v>3275</v>
      </c>
      <c r="F138" s="80">
        <v>88.14</v>
      </c>
      <c r="G138" s="80">
        <v>16</v>
      </c>
      <c r="H138" s="80">
        <v>1410.24</v>
      </c>
      <c r="I138" s="80">
        <v>9690.88</v>
      </c>
      <c r="J138" s="79" t="s">
        <v>3276</v>
      </c>
      <c r="K138" s="79" t="s">
        <v>3277</v>
      </c>
      <c r="L138" s="79" t="s">
        <v>3148</v>
      </c>
      <c r="M138" s="79" t="s">
        <v>3293</v>
      </c>
    </row>
    <row r="139" ht="300" spans="1:13">
      <c r="A139" s="79" t="s">
        <v>3271</v>
      </c>
      <c r="B139" s="79" t="s">
        <v>3294</v>
      </c>
      <c r="C139" s="79" t="s">
        <v>3295</v>
      </c>
      <c r="D139" s="79" t="s">
        <v>3274</v>
      </c>
      <c r="E139" s="79" t="s">
        <v>3296</v>
      </c>
      <c r="F139" s="80">
        <v>90.4</v>
      </c>
      <c r="G139" s="80">
        <v>8</v>
      </c>
      <c r="H139" s="80">
        <v>723.2</v>
      </c>
      <c r="I139" s="80">
        <v>9690.88</v>
      </c>
      <c r="J139" s="79" t="s">
        <v>3276</v>
      </c>
      <c r="K139" s="79" t="s">
        <v>3277</v>
      </c>
      <c r="L139" s="79" t="s">
        <v>3148</v>
      </c>
      <c r="M139" s="79" t="s">
        <v>3297</v>
      </c>
    </row>
    <row r="140" ht="300" spans="1:13">
      <c r="A140" s="79" t="s">
        <v>3271</v>
      </c>
      <c r="B140" s="79" t="s">
        <v>3298</v>
      </c>
      <c r="C140" s="79" t="s">
        <v>3299</v>
      </c>
      <c r="D140" s="79" t="s">
        <v>3274</v>
      </c>
      <c r="E140" s="79" t="s">
        <v>3285</v>
      </c>
      <c r="F140" s="80">
        <v>418.1</v>
      </c>
      <c r="G140" s="80">
        <v>5</v>
      </c>
      <c r="H140" s="80">
        <v>2090.5</v>
      </c>
      <c r="I140" s="80">
        <v>9690.88</v>
      </c>
      <c r="J140" s="79" t="s">
        <v>3276</v>
      </c>
      <c r="K140" s="79" t="s">
        <v>3277</v>
      </c>
      <c r="L140" s="79" t="s">
        <v>3148</v>
      </c>
      <c r="M140" s="79" t="s">
        <v>3300</v>
      </c>
    </row>
    <row r="141" ht="300" spans="1:13">
      <c r="A141" s="79" t="s">
        <v>3271</v>
      </c>
      <c r="B141" s="79" t="s">
        <v>3301</v>
      </c>
      <c r="C141" s="79" t="s">
        <v>3302</v>
      </c>
      <c r="D141" s="79" t="s">
        <v>3274</v>
      </c>
      <c r="E141" s="79" t="s">
        <v>3303</v>
      </c>
      <c r="F141" s="80">
        <v>429.4</v>
      </c>
      <c r="G141" s="80">
        <v>2</v>
      </c>
      <c r="H141" s="80">
        <v>858.8</v>
      </c>
      <c r="I141" s="80">
        <v>9690.88</v>
      </c>
      <c r="J141" s="79" t="s">
        <v>3276</v>
      </c>
      <c r="K141" s="79" t="s">
        <v>3277</v>
      </c>
      <c r="L141" s="79" t="s">
        <v>3148</v>
      </c>
      <c r="M141" s="79" t="s">
        <v>3304</v>
      </c>
    </row>
    <row r="142" ht="300" spans="1:13">
      <c r="A142" s="79" t="s">
        <v>3271</v>
      </c>
      <c r="B142" s="79" t="s">
        <v>3305</v>
      </c>
      <c r="C142" s="79" t="s">
        <v>3306</v>
      </c>
      <c r="D142" s="79" t="s">
        <v>3274</v>
      </c>
      <c r="E142" s="79" t="s">
        <v>3307</v>
      </c>
      <c r="F142" s="80">
        <v>141.25</v>
      </c>
      <c r="G142" s="80">
        <v>5</v>
      </c>
      <c r="H142" s="80">
        <v>706.25</v>
      </c>
      <c r="I142" s="80">
        <v>9690.88</v>
      </c>
      <c r="J142" s="79" t="s">
        <v>3276</v>
      </c>
      <c r="K142" s="79" t="s">
        <v>3277</v>
      </c>
      <c r="L142" s="79" t="s">
        <v>3148</v>
      </c>
      <c r="M142" s="79" t="s">
        <v>3308</v>
      </c>
    </row>
    <row r="143" ht="300" spans="1:13">
      <c r="A143" s="79" t="s">
        <v>3271</v>
      </c>
      <c r="B143" s="79" t="s">
        <v>3309</v>
      </c>
      <c r="C143" s="79" t="s">
        <v>3310</v>
      </c>
      <c r="D143" s="79" t="s">
        <v>3274</v>
      </c>
      <c r="E143" s="79" t="s">
        <v>3275</v>
      </c>
      <c r="F143" s="80">
        <v>88.14</v>
      </c>
      <c r="G143" s="80">
        <v>4</v>
      </c>
      <c r="H143" s="80">
        <v>352.56</v>
      </c>
      <c r="I143" s="80">
        <v>9690.88</v>
      </c>
      <c r="J143" s="79" t="s">
        <v>3276</v>
      </c>
      <c r="K143" s="79" t="s">
        <v>3277</v>
      </c>
      <c r="L143" s="79" t="s">
        <v>3148</v>
      </c>
      <c r="M143" s="79" t="s">
        <v>3311</v>
      </c>
    </row>
    <row r="144" ht="300" spans="1:13">
      <c r="A144" s="79" t="s">
        <v>3271</v>
      </c>
      <c r="B144" s="79" t="s">
        <v>3312</v>
      </c>
      <c r="C144" s="79" t="s">
        <v>3313</v>
      </c>
      <c r="D144" s="79" t="s">
        <v>3274</v>
      </c>
      <c r="E144" s="79" t="s">
        <v>3314</v>
      </c>
      <c r="F144" s="80">
        <v>129.95</v>
      </c>
      <c r="G144" s="80">
        <v>2</v>
      </c>
      <c r="H144" s="80">
        <v>259.9</v>
      </c>
      <c r="I144" s="80">
        <v>9690.88</v>
      </c>
      <c r="J144" s="79" t="s">
        <v>3276</v>
      </c>
      <c r="K144" s="79" t="s">
        <v>3277</v>
      </c>
      <c r="L144" s="79" t="s">
        <v>3148</v>
      </c>
      <c r="M144" s="79" t="s">
        <v>3315</v>
      </c>
    </row>
    <row r="145" ht="300" spans="1:13">
      <c r="A145" s="79" t="s">
        <v>3271</v>
      </c>
      <c r="B145" s="79" t="s">
        <v>3316</v>
      </c>
      <c r="C145" s="79" t="s">
        <v>3317</v>
      </c>
      <c r="D145" s="79" t="s">
        <v>3274</v>
      </c>
      <c r="E145" s="79" t="s">
        <v>3318</v>
      </c>
      <c r="F145" s="80">
        <v>22.6</v>
      </c>
      <c r="G145" s="80">
        <v>6</v>
      </c>
      <c r="H145" s="80">
        <v>135.6</v>
      </c>
      <c r="I145" s="80">
        <v>9690.88</v>
      </c>
      <c r="J145" s="79" t="s">
        <v>3276</v>
      </c>
      <c r="K145" s="79" t="s">
        <v>3277</v>
      </c>
      <c r="L145" s="79" t="s">
        <v>3148</v>
      </c>
      <c r="M145" s="79" t="s">
        <v>3319</v>
      </c>
    </row>
    <row r="146" ht="300" spans="1:13">
      <c r="A146" s="79" t="s">
        <v>3271</v>
      </c>
      <c r="B146" s="79" t="s">
        <v>3320</v>
      </c>
      <c r="C146" s="79" t="s">
        <v>3321</v>
      </c>
      <c r="D146" s="79" t="s">
        <v>3274</v>
      </c>
      <c r="E146" s="79" t="s">
        <v>3322</v>
      </c>
      <c r="F146" s="80">
        <v>152.55</v>
      </c>
      <c r="G146" s="80">
        <v>2</v>
      </c>
      <c r="H146" s="80">
        <v>305.1</v>
      </c>
      <c r="I146" s="80">
        <v>9690.88</v>
      </c>
      <c r="J146" s="79" t="s">
        <v>3276</v>
      </c>
      <c r="K146" s="79" t="s">
        <v>3277</v>
      </c>
      <c r="L146" s="79" t="s">
        <v>3148</v>
      </c>
      <c r="M146" s="79" t="s">
        <v>3323</v>
      </c>
    </row>
    <row r="147" ht="300" spans="1:13">
      <c r="A147" s="79" t="s">
        <v>3271</v>
      </c>
      <c r="B147" s="79" t="s">
        <v>3324</v>
      </c>
      <c r="C147" s="79" t="s">
        <v>3325</v>
      </c>
      <c r="D147" s="79" t="s">
        <v>3274</v>
      </c>
      <c r="E147" s="79" t="s">
        <v>3314</v>
      </c>
      <c r="F147" s="80">
        <v>129.95</v>
      </c>
      <c r="G147" s="80">
        <v>10</v>
      </c>
      <c r="H147" s="80">
        <v>1299.5</v>
      </c>
      <c r="I147" s="80">
        <v>9690.88</v>
      </c>
      <c r="J147" s="79" t="s">
        <v>3276</v>
      </c>
      <c r="K147" s="79" t="s">
        <v>3277</v>
      </c>
      <c r="L147" s="79" t="s">
        <v>3148</v>
      </c>
      <c r="M147" s="79" t="s">
        <v>3326</v>
      </c>
    </row>
    <row r="148" ht="300" spans="1:13">
      <c r="A148" s="79" t="s">
        <v>3271</v>
      </c>
      <c r="B148" s="79" t="s">
        <v>3327</v>
      </c>
      <c r="C148" s="79" t="s">
        <v>3328</v>
      </c>
      <c r="D148" s="79" t="s">
        <v>3274</v>
      </c>
      <c r="E148" s="79" t="s">
        <v>3307</v>
      </c>
      <c r="F148" s="80">
        <v>141.25</v>
      </c>
      <c r="G148" s="80">
        <v>1</v>
      </c>
      <c r="H148" s="80">
        <v>141.25</v>
      </c>
      <c r="I148" s="80">
        <v>9690.88</v>
      </c>
      <c r="J148" s="79" t="s">
        <v>3276</v>
      </c>
      <c r="K148" s="79" t="s">
        <v>3277</v>
      </c>
      <c r="L148" s="79" t="s">
        <v>3148</v>
      </c>
      <c r="M148" s="79" t="s">
        <v>3329</v>
      </c>
    </row>
    <row r="149" ht="300" spans="1:13">
      <c r="A149" s="79" t="s">
        <v>3330</v>
      </c>
      <c r="B149" s="79" t="s">
        <v>3331</v>
      </c>
      <c r="C149" s="79" t="s">
        <v>3332</v>
      </c>
      <c r="D149" s="79" t="s">
        <v>3333</v>
      </c>
      <c r="E149" s="79" t="s">
        <v>3332</v>
      </c>
      <c r="F149" s="80">
        <v>716.17</v>
      </c>
      <c r="G149" s="80">
        <v>1</v>
      </c>
      <c r="H149" s="80">
        <v>716.17</v>
      </c>
      <c r="I149" s="80">
        <v>6820.01</v>
      </c>
      <c r="J149" s="79" t="s">
        <v>2835</v>
      </c>
      <c r="K149" s="79" t="s">
        <v>3334</v>
      </c>
      <c r="L149" s="79" t="s">
        <v>3148</v>
      </c>
      <c r="M149" s="79" t="s">
        <v>3335</v>
      </c>
    </row>
    <row r="150" ht="300" spans="1:13">
      <c r="A150" s="79" t="s">
        <v>3336</v>
      </c>
      <c r="B150" s="79" t="s">
        <v>3337</v>
      </c>
      <c r="C150" s="79" t="s">
        <v>3338</v>
      </c>
      <c r="D150" s="79" t="s">
        <v>3040</v>
      </c>
      <c r="E150" s="79" t="s">
        <v>3237</v>
      </c>
      <c r="F150" s="80">
        <v>21.3</v>
      </c>
      <c r="G150" s="80">
        <v>2</v>
      </c>
      <c r="H150" s="80">
        <v>42.6</v>
      </c>
      <c r="I150" s="80">
        <v>1023.3</v>
      </c>
      <c r="J150" s="79" t="s">
        <v>2868</v>
      </c>
      <c r="K150" s="79" t="s">
        <v>3334</v>
      </c>
      <c r="L150" s="79" t="s">
        <v>3148</v>
      </c>
      <c r="M150" s="79" t="s">
        <v>3339</v>
      </c>
    </row>
    <row r="151" ht="300" spans="1:13">
      <c r="A151" s="79" t="s">
        <v>3336</v>
      </c>
      <c r="B151" s="79" t="s">
        <v>3077</v>
      </c>
      <c r="C151" s="79" t="s">
        <v>3078</v>
      </c>
      <c r="D151" s="79" t="s">
        <v>3008</v>
      </c>
      <c r="E151" s="79" t="s">
        <v>3079</v>
      </c>
      <c r="F151" s="80">
        <v>1.49</v>
      </c>
      <c r="G151" s="80">
        <v>10</v>
      </c>
      <c r="H151" s="80">
        <v>14.9</v>
      </c>
      <c r="I151" s="80">
        <v>1023.3</v>
      </c>
      <c r="J151" s="79" t="s">
        <v>2868</v>
      </c>
      <c r="K151" s="79" t="s">
        <v>3334</v>
      </c>
      <c r="L151" s="79" t="s">
        <v>3148</v>
      </c>
      <c r="M151" s="79" t="s">
        <v>3340</v>
      </c>
    </row>
    <row r="152" ht="300" spans="1:13">
      <c r="A152" s="79" t="s">
        <v>3336</v>
      </c>
      <c r="B152" s="79" t="s">
        <v>2921</v>
      </c>
      <c r="C152" s="79" t="s">
        <v>2922</v>
      </c>
      <c r="D152" s="79" t="s">
        <v>2923</v>
      </c>
      <c r="E152" s="79" t="s">
        <v>2924</v>
      </c>
      <c r="F152" s="80">
        <v>12.5</v>
      </c>
      <c r="G152" s="80">
        <v>20</v>
      </c>
      <c r="H152" s="80">
        <v>250</v>
      </c>
      <c r="I152" s="80">
        <v>1023.3</v>
      </c>
      <c r="J152" s="79" t="s">
        <v>2868</v>
      </c>
      <c r="K152" s="79" t="s">
        <v>3334</v>
      </c>
      <c r="L152" s="79" t="s">
        <v>3148</v>
      </c>
      <c r="M152" s="79" t="s">
        <v>3341</v>
      </c>
    </row>
    <row r="153" ht="300" spans="1:13">
      <c r="A153" s="79" t="s">
        <v>3330</v>
      </c>
      <c r="B153" s="79" t="s">
        <v>2838</v>
      </c>
      <c r="C153" s="79" t="s">
        <v>2839</v>
      </c>
      <c r="D153" s="79" t="s">
        <v>2840</v>
      </c>
      <c r="E153" s="79" t="s">
        <v>2839</v>
      </c>
      <c r="F153" s="80">
        <v>118</v>
      </c>
      <c r="G153" s="80">
        <v>50</v>
      </c>
      <c r="H153" s="80">
        <v>5900</v>
      </c>
      <c r="I153" s="80">
        <v>6820.01</v>
      </c>
      <c r="J153" s="79" t="s">
        <v>2835</v>
      </c>
      <c r="K153" s="79" t="s">
        <v>3334</v>
      </c>
      <c r="L153" s="79" t="s">
        <v>3148</v>
      </c>
      <c r="M153" s="79" t="s">
        <v>3342</v>
      </c>
    </row>
    <row r="154" ht="300" spans="1:13">
      <c r="A154" s="79" t="s">
        <v>3330</v>
      </c>
      <c r="B154" s="79" t="s">
        <v>3343</v>
      </c>
      <c r="C154" s="79" t="s">
        <v>3344</v>
      </c>
      <c r="D154" s="79" t="s">
        <v>3233</v>
      </c>
      <c r="E154" s="79" t="s">
        <v>3344</v>
      </c>
      <c r="F154" s="80">
        <v>25.48</v>
      </c>
      <c r="G154" s="80">
        <v>8</v>
      </c>
      <c r="H154" s="80">
        <v>203.84</v>
      </c>
      <c r="I154" s="80">
        <v>6820.01</v>
      </c>
      <c r="J154" s="79" t="s">
        <v>2835</v>
      </c>
      <c r="K154" s="79" t="s">
        <v>3334</v>
      </c>
      <c r="L154" s="79" t="s">
        <v>3148</v>
      </c>
      <c r="M154" s="79" t="s">
        <v>3345</v>
      </c>
    </row>
    <row r="155" ht="300" spans="1:13">
      <c r="A155" s="79" t="s">
        <v>3336</v>
      </c>
      <c r="B155" s="79" t="s">
        <v>3346</v>
      </c>
      <c r="C155" s="79" t="s">
        <v>3347</v>
      </c>
      <c r="D155" s="79" t="s">
        <v>3040</v>
      </c>
      <c r="E155" s="79" t="s">
        <v>3348</v>
      </c>
      <c r="F155" s="80">
        <v>55.8</v>
      </c>
      <c r="G155" s="80">
        <v>1</v>
      </c>
      <c r="H155" s="80">
        <v>55.8</v>
      </c>
      <c r="I155" s="80">
        <v>1023.3</v>
      </c>
      <c r="J155" s="79" t="s">
        <v>2868</v>
      </c>
      <c r="K155" s="79" t="s">
        <v>3334</v>
      </c>
      <c r="L155" s="79" t="s">
        <v>3148</v>
      </c>
      <c r="M155" s="79" t="s">
        <v>3349</v>
      </c>
    </row>
    <row r="156" ht="300" spans="1:13">
      <c r="A156" s="79" t="s">
        <v>3336</v>
      </c>
      <c r="B156" s="79" t="s">
        <v>3220</v>
      </c>
      <c r="C156" s="79" t="s">
        <v>3221</v>
      </c>
      <c r="D156" s="79" t="s">
        <v>3222</v>
      </c>
      <c r="E156" s="79" t="s">
        <v>1853</v>
      </c>
      <c r="F156" s="80">
        <v>27.3</v>
      </c>
      <c r="G156" s="80">
        <v>10</v>
      </c>
      <c r="H156" s="80">
        <v>273</v>
      </c>
      <c r="I156" s="80">
        <v>1023.3</v>
      </c>
      <c r="J156" s="79" t="s">
        <v>2868</v>
      </c>
      <c r="K156" s="79" t="s">
        <v>3334</v>
      </c>
      <c r="L156" s="79" t="s">
        <v>3148</v>
      </c>
      <c r="M156" s="79" t="s">
        <v>3350</v>
      </c>
    </row>
    <row r="157" ht="300" spans="1:13">
      <c r="A157" s="79" t="s">
        <v>3336</v>
      </c>
      <c r="B157" s="79" t="s">
        <v>3128</v>
      </c>
      <c r="C157" s="79" t="s">
        <v>3129</v>
      </c>
      <c r="D157" s="79" t="s">
        <v>2883</v>
      </c>
      <c r="E157" s="79" t="s">
        <v>3130</v>
      </c>
      <c r="F157" s="80">
        <v>22</v>
      </c>
      <c r="G157" s="80">
        <v>10</v>
      </c>
      <c r="H157" s="80">
        <v>220</v>
      </c>
      <c r="I157" s="80">
        <v>1023.3</v>
      </c>
      <c r="J157" s="79" t="s">
        <v>2868</v>
      </c>
      <c r="K157" s="79" t="s">
        <v>3334</v>
      </c>
      <c r="L157" s="79" t="s">
        <v>3148</v>
      </c>
      <c r="M157" s="79" t="s">
        <v>3351</v>
      </c>
    </row>
    <row r="158" ht="300" spans="1:13">
      <c r="A158" s="79" t="s">
        <v>3336</v>
      </c>
      <c r="B158" s="79" t="s">
        <v>3132</v>
      </c>
      <c r="C158" s="79" t="s">
        <v>3133</v>
      </c>
      <c r="D158" s="79" t="s">
        <v>2873</v>
      </c>
      <c r="E158" s="79" t="s">
        <v>3134</v>
      </c>
      <c r="F158" s="80">
        <v>3.4</v>
      </c>
      <c r="G158" s="80">
        <v>2</v>
      </c>
      <c r="H158" s="80">
        <v>6.8</v>
      </c>
      <c r="I158" s="80">
        <v>1023.3</v>
      </c>
      <c r="J158" s="79" t="s">
        <v>2868</v>
      </c>
      <c r="K158" s="79" t="s">
        <v>3334</v>
      </c>
      <c r="L158" s="79" t="s">
        <v>3148</v>
      </c>
      <c r="M158" s="79" t="s">
        <v>3352</v>
      </c>
    </row>
    <row r="159" ht="300" spans="1:13">
      <c r="A159" s="79" t="s">
        <v>3336</v>
      </c>
      <c r="B159" s="79" t="s">
        <v>3353</v>
      </c>
      <c r="C159" s="79" t="s">
        <v>3354</v>
      </c>
      <c r="D159" s="79" t="s">
        <v>3040</v>
      </c>
      <c r="E159" s="79" t="s">
        <v>3348</v>
      </c>
      <c r="F159" s="80">
        <v>160.2</v>
      </c>
      <c r="G159" s="80">
        <v>1</v>
      </c>
      <c r="H159" s="80">
        <v>160.2</v>
      </c>
      <c r="I159" s="80">
        <v>1023.3</v>
      </c>
      <c r="J159" s="79" t="s">
        <v>2868</v>
      </c>
      <c r="K159" s="79" t="s">
        <v>3334</v>
      </c>
      <c r="L159" s="79" t="s">
        <v>3148</v>
      </c>
      <c r="M159" s="79" t="s">
        <v>3355</v>
      </c>
    </row>
    <row r="160" ht="300" spans="1:13">
      <c r="A160" s="79" t="s">
        <v>3356</v>
      </c>
      <c r="B160" s="79" t="s">
        <v>3038</v>
      </c>
      <c r="C160" s="79" t="s">
        <v>3039</v>
      </c>
      <c r="D160" s="79" t="s">
        <v>3040</v>
      </c>
      <c r="E160" s="79" t="s">
        <v>3041</v>
      </c>
      <c r="F160" s="80">
        <v>21.8</v>
      </c>
      <c r="G160" s="80">
        <v>5</v>
      </c>
      <c r="H160" s="80">
        <v>109</v>
      </c>
      <c r="I160" s="80">
        <v>1387.56</v>
      </c>
      <c r="J160" s="79" t="s">
        <v>2868</v>
      </c>
      <c r="K160" s="79" t="s">
        <v>3357</v>
      </c>
      <c r="L160" s="79" t="s">
        <v>3148</v>
      </c>
      <c r="M160" s="79" t="s">
        <v>3358</v>
      </c>
    </row>
    <row r="161" ht="300" spans="1:13">
      <c r="A161" s="79" t="s">
        <v>3356</v>
      </c>
      <c r="B161" s="79" t="s">
        <v>3359</v>
      </c>
      <c r="C161" s="79" t="s">
        <v>3360</v>
      </c>
      <c r="D161" s="79" t="s">
        <v>2883</v>
      </c>
      <c r="E161" s="79" t="s">
        <v>3361</v>
      </c>
      <c r="F161" s="80">
        <v>10</v>
      </c>
      <c r="G161" s="80">
        <v>5</v>
      </c>
      <c r="H161" s="80">
        <v>50</v>
      </c>
      <c r="I161" s="80">
        <v>1387.56</v>
      </c>
      <c r="J161" s="79" t="s">
        <v>2868</v>
      </c>
      <c r="K161" s="79" t="s">
        <v>3357</v>
      </c>
      <c r="L161" s="79" t="s">
        <v>3148</v>
      </c>
      <c r="M161" s="79" t="s">
        <v>3362</v>
      </c>
    </row>
    <row r="162" ht="300" spans="1:13">
      <c r="A162" s="79" t="s">
        <v>3363</v>
      </c>
      <c r="B162" s="79" t="s">
        <v>3364</v>
      </c>
      <c r="C162" s="79" t="s">
        <v>3365</v>
      </c>
      <c r="D162" s="79" t="s">
        <v>3366</v>
      </c>
      <c r="E162" s="79" t="s">
        <v>3367</v>
      </c>
      <c r="F162" s="80">
        <v>16.8</v>
      </c>
      <c r="G162" s="80">
        <v>10</v>
      </c>
      <c r="H162" s="80">
        <v>168</v>
      </c>
      <c r="I162" s="80">
        <v>168</v>
      </c>
      <c r="J162" s="79" t="s">
        <v>3368</v>
      </c>
      <c r="K162" s="79" t="s">
        <v>3357</v>
      </c>
      <c r="L162" s="79" t="s">
        <v>3148</v>
      </c>
      <c r="M162" s="79" t="s">
        <v>3369</v>
      </c>
    </row>
    <row r="163" ht="300" spans="1:13">
      <c r="A163" s="79" t="s">
        <v>3356</v>
      </c>
      <c r="B163" s="79" t="s">
        <v>3370</v>
      </c>
      <c r="C163" s="79" t="s">
        <v>3371</v>
      </c>
      <c r="D163" s="79" t="s">
        <v>2883</v>
      </c>
      <c r="E163" s="79" t="s">
        <v>3372</v>
      </c>
      <c r="F163" s="80">
        <v>10.8</v>
      </c>
      <c r="G163" s="80">
        <v>2</v>
      </c>
      <c r="H163" s="80">
        <v>21.6</v>
      </c>
      <c r="I163" s="80">
        <v>1387.56</v>
      </c>
      <c r="J163" s="79" t="s">
        <v>2868</v>
      </c>
      <c r="K163" s="79" t="s">
        <v>3357</v>
      </c>
      <c r="L163" s="79" t="s">
        <v>3148</v>
      </c>
      <c r="M163" s="79" t="s">
        <v>3373</v>
      </c>
    </row>
    <row r="164" ht="300" spans="1:13">
      <c r="A164" s="79" t="s">
        <v>3374</v>
      </c>
      <c r="B164" s="79" t="s">
        <v>3343</v>
      </c>
      <c r="C164" s="79" t="s">
        <v>3344</v>
      </c>
      <c r="D164" s="79" t="s">
        <v>3233</v>
      </c>
      <c r="E164" s="79" t="s">
        <v>3344</v>
      </c>
      <c r="F164" s="80">
        <v>25.48</v>
      </c>
      <c r="G164" s="80">
        <v>5</v>
      </c>
      <c r="H164" s="80">
        <v>127.4</v>
      </c>
      <c r="I164" s="80">
        <v>251.02</v>
      </c>
      <c r="J164" s="79" t="s">
        <v>2835</v>
      </c>
      <c r="K164" s="79" t="s">
        <v>3357</v>
      </c>
      <c r="L164" s="79" t="s">
        <v>3148</v>
      </c>
      <c r="M164" s="79" t="s">
        <v>3375</v>
      </c>
    </row>
    <row r="165" ht="300" spans="1:13">
      <c r="A165" s="79" t="s">
        <v>3376</v>
      </c>
      <c r="B165" s="79" t="s">
        <v>3377</v>
      </c>
      <c r="C165" s="79" t="s">
        <v>3378</v>
      </c>
      <c r="D165" s="79" t="s">
        <v>3158</v>
      </c>
      <c r="E165" s="79" t="s">
        <v>3379</v>
      </c>
      <c r="F165" s="80">
        <v>35</v>
      </c>
      <c r="G165" s="80">
        <v>6</v>
      </c>
      <c r="H165" s="80">
        <v>210</v>
      </c>
      <c r="I165" s="80">
        <v>210</v>
      </c>
      <c r="J165" s="79" t="s">
        <v>3380</v>
      </c>
      <c r="K165" s="79" t="s">
        <v>3357</v>
      </c>
      <c r="L165" s="79" t="s">
        <v>3148</v>
      </c>
      <c r="M165" s="79" t="s">
        <v>3381</v>
      </c>
    </row>
    <row r="166" ht="300" spans="1:13">
      <c r="A166" s="79" t="s">
        <v>3356</v>
      </c>
      <c r="B166" s="79" t="s">
        <v>3094</v>
      </c>
      <c r="C166" s="79" t="s">
        <v>3095</v>
      </c>
      <c r="D166" s="79" t="s">
        <v>2867</v>
      </c>
      <c r="E166" s="79" t="s">
        <v>1742</v>
      </c>
      <c r="F166" s="80">
        <v>22</v>
      </c>
      <c r="G166" s="80">
        <v>1</v>
      </c>
      <c r="H166" s="80">
        <v>22</v>
      </c>
      <c r="I166" s="80">
        <v>1387.56</v>
      </c>
      <c r="J166" s="79" t="s">
        <v>2868</v>
      </c>
      <c r="K166" s="79" t="s">
        <v>3357</v>
      </c>
      <c r="L166" s="79" t="s">
        <v>3148</v>
      </c>
      <c r="M166" s="79" t="s">
        <v>3382</v>
      </c>
    </row>
    <row r="167" ht="300" spans="1:13">
      <c r="A167" s="79" t="s">
        <v>3356</v>
      </c>
      <c r="B167" s="79" t="s">
        <v>3383</v>
      </c>
      <c r="C167" s="79" t="s">
        <v>3384</v>
      </c>
      <c r="D167" s="79" t="s">
        <v>2867</v>
      </c>
      <c r="E167" s="79" t="s">
        <v>1742</v>
      </c>
      <c r="F167" s="80">
        <v>32</v>
      </c>
      <c r="G167" s="80">
        <v>5</v>
      </c>
      <c r="H167" s="80">
        <v>160</v>
      </c>
      <c r="I167" s="80">
        <v>1387.56</v>
      </c>
      <c r="J167" s="79" t="s">
        <v>2868</v>
      </c>
      <c r="K167" s="79" t="s">
        <v>3357</v>
      </c>
      <c r="L167" s="79" t="s">
        <v>3148</v>
      </c>
      <c r="M167" s="79" t="s">
        <v>3385</v>
      </c>
    </row>
    <row r="168" ht="300" spans="1:13">
      <c r="A168" s="79" t="s">
        <v>3356</v>
      </c>
      <c r="B168" s="79" t="s">
        <v>3220</v>
      </c>
      <c r="C168" s="79" t="s">
        <v>3221</v>
      </c>
      <c r="D168" s="79" t="s">
        <v>3222</v>
      </c>
      <c r="E168" s="79" t="s">
        <v>1853</v>
      </c>
      <c r="F168" s="80">
        <v>27.3</v>
      </c>
      <c r="G168" s="80">
        <v>10</v>
      </c>
      <c r="H168" s="80">
        <v>273</v>
      </c>
      <c r="I168" s="80">
        <v>1387.56</v>
      </c>
      <c r="J168" s="79" t="s">
        <v>2868</v>
      </c>
      <c r="K168" s="79" t="s">
        <v>3357</v>
      </c>
      <c r="L168" s="79" t="s">
        <v>3148</v>
      </c>
      <c r="M168" s="79" t="s">
        <v>3386</v>
      </c>
    </row>
    <row r="169" ht="300" spans="1:13">
      <c r="A169" s="79" t="s">
        <v>3374</v>
      </c>
      <c r="B169" s="79" t="s">
        <v>3387</v>
      </c>
      <c r="C169" s="79" t="s">
        <v>3388</v>
      </c>
      <c r="D169" s="79" t="s">
        <v>3389</v>
      </c>
      <c r="E169" s="79" t="s">
        <v>3388</v>
      </c>
      <c r="F169" s="80">
        <v>74.52</v>
      </c>
      <c r="G169" s="80">
        <v>1</v>
      </c>
      <c r="H169" s="80">
        <v>74.52</v>
      </c>
      <c r="I169" s="80">
        <v>251.02</v>
      </c>
      <c r="J169" s="79" t="s">
        <v>2835</v>
      </c>
      <c r="K169" s="79" t="s">
        <v>3357</v>
      </c>
      <c r="L169" s="79" t="s">
        <v>3148</v>
      </c>
      <c r="M169" s="79" t="s">
        <v>3390</v>
      </c>
    </row>
    <row r="170" ht="300" spans="1:13">
      <c r="A170" s="79" t="s">
        <v>3374</v>
      </c>
      <c r="B170" s="79" t="s">
        <v>3391</v>
      </c>
      <c r="C170" s="79" t="s">
        <v>3392</v>
      </c>
      <c r="D170" s="79" t="s">
        <v>3088</v>
      </c>
      <c r="E170" s="79" t="s">
        <v>3392</v>
      </c>
      <c r="F170" s="80">
        <v>4.91</v>
      </c>
      <c r="G170" s="80">
        <v>10</v>
      </c>
      <c r="H170" s="80">
        <v>49.1</v>
      </c>
      <c r="I170" s="80">
        <v>251.02</v>
      </c>
      <c r="J170" s="79" t="s">
        <v>2835</v>
      </c>
      <c r="K170" s="79" t="s">
        <v>3357</v>
      </c>
      <c r="L170" s="79" t="s">
        <v>3148</v>
      </c>
      <c r="M170" s="79" t="s">
        <v>3393</v>
      </c>
    </row>
    <row r="171" ht="300" spans="1:13">
      <c r="A171" s="79" t="s">
        <v>3356</v>
      </c>
      <c r="B171" s="79" t="s">
        <v>3394</v>
      </c>
      <c r="C171" s="79" t="s">
        <v>3395</v>
      </c>
      <c r="D171" s="79" t="s">
        <v>2883</v>
      </c>
      <c r="E171" s="79" t="s">
        <v>3396</v>
      </c>
      <c r="F171" s="80">
        <v>16.37</v>
      </c>
      <c r="G171" s="80">
        <v>12</v>
      </c>
      <c r="H171" s="80">
        <v>196.44</v>
      </c>
      <c r="I171" s="80">
        <v>1387.56</v>
      </c>
      <c r="J171" s="79" t="s">
        <v>2868</v>
      </c>
      <c r="K171" s="79" t="s">
        <v>3357</v>
      </c>
      <c r="L171" s="79" t="s">
        <v>3148</v>
      </c>
      <c r="M171" s="79" t="s">
        <v>3397</v>
      </c>
    </row>
    <row r="172" ht="300" spans="1:13">
      <c r="A172" s="79" t="s">
        <v>3356</v>
      </c>
      <c r="B172" s="79" t="s">
        <v>3398</v>
      </c>
      <c r="C172" s="79" t="s">
        <v>3399</v>
      </c>
      <c r="D172" s="79" t="s">
        <v>3400</v>
      </c>
      <c r="E172" s="79" t="s">
        <v>3401</v>
      </c>
      <c r="F172" s="80">
        <v>18.71</v>
      </c>
      <c r="G172" s="80">
        <v>2</v>
      </c>
      <c r="H172" s="80">
        <v>37.42</v>
      </c>
      <c r="I172" s="80">
        <v>1387.56</v>
      </c>
      <c r="J172" s="79" t="s">
        <v>2868</v>
      </c>
      <c r="K172" s="79" t="s">
        <v>3357</v>
      </c>
      <c r="L172" s="79" t="s">
        <v>3148</v>
      </c>
      <c r="M172" s="79" t="s">
        <v>3402</v>
      </c>
    </row>
    <row r="173" ht="300" spans="1:13">
      <c r="A173" s="79" t="s">
        <v>3356</v>
      </c>
      <c r="B173" s="79" t="s">
        <v>3259</v>
      </c>
      <c r="C173" s="79" t="s">
        <v>3260</v>
      </c>
      <c r="D173" s="79" t="s">
        <v>2883</v>
      </c>
      <c r="E173" s="79" t="s">
        <v>3257</v>
      </c>
      <c r="F173" s="80">
        <v>15.7</v>
      </c>
      <c r="G173" s="80">
        <v>33</v>
      </c>
      <c r="H173" s="80">
        <v>518.1</v>
      </c>
      <c r="I173" s="80">
        <v>1387.56</v>
      </c>
      <c r="J173" s="79" t="s">
        <v>2868</v>
      </c>
      <c r="K173" s="79" t="s">
        <v>3357</v>
      </c>
      <c r="L173" s="79" t="s">
        <v>3148</v>
      </c>
      <c r="M173" s="79" t="s">
        <v>3403</v>
      </c>
    </row>
    <row r="174" ht="300" spans="1:13">
      <c r="A174" s="79" t="s">
        <v>3404</v>
      </c>
      <c r="B174" s="79" t="s">
        <v>2937</v>
      </c>
      <c r="C174" s="79" t="s">
        <v>2938</v>
      </c>
      <c r="D174" s="79" t="s">
        <v>2939</v>
      </c>
      <c r="E174" s="79" t="s">
        <v>2940</v>
      </c>
      <c r="F174" s="80">
        <v>30.6</v>
      </c>
      <c r="G174" s="80">
        <v>5</v>
      </c>
      <c r="H174" s="80">
        <v>153</v>
      </c>
      <c r="I174" s="80">
        <v>4341.08</v>
      </c>
      <c r="J174" s="79" t="s">
        <v>2868</v>
      </c>
      <c r="K174" s="79" t="s">
        <v>3405</v>
      </c>
      <c r="L174" s="79" t="s">
        <v>3148</v>
      </c>
      <c r="M174" s="79" t="s">
        <v>3406</v>
      </c>
    </row>
    <row r="175" ht="300" spans="1:13">
      <c r="A175" s="79" t="s">
        <v>3404</v>
      </c>
      <c r="B175" s="79" t="s">
        <v>3239</v>
      </c>
      <c r="C175" s="79" t="s">
        <v>3240</v>
      </c>
      <c r="D175" s="79" t="s">
        <v>2873</v>
      </c>
      <c r="E175" s="79" t="s">
        <v>2874</v>
      </c>
      <c r="F175" s="80">
        <v>5.88</v>
      </c>
      <c r="G175" s="80">
        <v>15</v>
      </c>
      <c r="H175" s="80">
        <v>88.2</v>
      </c>
      <c r="I175" s="80">
        <v>4341.08</v>
      </c>
      <c r="J175" s="79" t="s">
        <v>2868</v>
      </c>
      <c r="K175" s="79" t="s">
        <v>3405</v>
      </c>
      <c r="L175" s="79" t="s">
        <v>3148</v>
      </c>
      <c r="M175" s="79" t="s">
        <v>3407</v>
      </c>
    </row>
    <row r="176" ht="300" spans="1:13">
      <c r="A176" s="79" t="s">
        <v>3404</v>
      </c>
      <c r="B176" s="79" t="s">
        <v>3408</v>
      </c>
      <c r="C176" s="79" t="s">
        <v>3409</v>
      </c>
      <c r="D176" s="79" t="s">
        <v>2883</v>
      </c>
      <c r="E176" s="79" t="s">
        <v>3248</v>
      </c>
      <c r="F176" s="80">
        <v>77.61</v>
      </c>
      <c r="G176" s="80">
        <v>6</v>
      </c>
      <c r="H176" s="80">
        <v>465.66</v>
      </c>
      <c r="I176" s="80">
        <v>4341.08</v>
      </c>
      <c r="J176" s="79" t="s">
        <v>2868</v>
      </c>
      <c r="K176" s="79" t="s">
        <v>3405</v>
      </c>
      <c r="L176" s="79" t="s">
        <v>3148</v>
      </c>
      <c r="M176" s="79" t="s">
        <v>3410</v>
      </c>
    </row>
    <row r="177" ht="300" spans="1:13">
      <c r="A177" s="79" t="s">
        <v>3404</v>
      </c>
      <c r="B177" s="79" t="s">
        <v>3411</v>
      </c>
      <c r="C177" s="79" t="s">
        <v>3412</v>
      </c>
      <c r="D177" s="79" t="s">
        <v>2883</v>
      </c>
      <c r="E177" s="79" t="s">
        <v>3413</v>
      </c>
      <c r="F177" s="80">
        <v>10.95</v>
      </c>
      <c r="G177" s="80">
        <v>3</v>
      </c>
      <c r="H177" s="80">
        <v>32.85</v>
      </c>
      <c r="I177" s="80">
        <v>4341.08</v>
      </c>
      <c r="J177" s="79" t="s">
        <v>2868</v>
      </c>
      <c r="K177" s="79" t="s">
        <v>3405</v>
      </c>
      <c r="L177" s="79" t="s">
        <v>3148</v>
      </c>
      <c r="M177" s="79" t="s">
        <v>3414</v>
      </c>
    </row>
    <row r="178" ht="300" spans="1:13">
      <c r="A178" s="79" t="s">
        <v>3404</v>
      </c>
      <c r="B178" s="79" t="s">
        <v>2886</v>
      </c>
      <c r="C178" s="79" t="s">
        <v>2887</v>
      </c>
      <c r="D178" s="79" t="s">
        <v>2883</v>
      </c>
      <c r="E178" s="79" t="s">
        <v>2888</v>
      </c>
      <c r="F178" s="80">
        <v>13.23</v>
      </c>
      <c r="G178" s="80">
        <v>10</v>
      </c>
      <c r="H178" s="80">
        <v>132.3</v>
      </c>
      <c r="I178" s="80">
        <v>4341.08</v>
      </c>
      <c r="J178" s="79" t="s">
        <v>2868</v>
      </c>
      <c r="K178" s="79" t="s">
        <v>3405</v>
      </c>
      <c r="L178" s="79" t="s">
        <v>3148</v>
      </c>
      <c r="M178" s="79" t="s">
        <v>3415</v>
      </c>
    </row>
    <row r="179" ht="300" spans="1:13">
      <c r="A179" s="79" t="s">
        <v>3404</v>
      </c>
      <c r="B179" s="79" t="s">
        <v>3077</v>
      </c>
      <c r="C179" s="79" t="s">
        <v>3078</v>
      </c>
      <c r="D179" s="79" t="s">
        <v>3008</v>
      </c>
      <c r="E179" s="79" t="s">
        <v>3079</v>
      </c>
      <c r="F179" s="80">
        <v>1.49</v>
      </c>
      <c r="G179" s="80">
        <v>10</v>
      </c>
      <c r="H179" s="80">
        <v>14.9</v>
      </c>
      <c r="I179" s="80">
        <v>4341.08</v>
      </c>
      <c r="J179" s="79" t="s">
        <v>2868</v>
      </c>
      <c r="K179" s="79" t="s">
        <v>3405</v>
      </c>
      <c r="L179" s="79" t="s">
        <v>3148</v>
      </c>
      <c r="M179" s="79" t="s">
        <v>3416</v>
      </c>
    </row>
    <row r="180" ht="300" spans="1:13">
      <c r="A180" s="79" t="s">
        <v>3404</v>
      </c>
      <c r="B180" s="79" t="s">
        <v>3417</v>
      </c>
      <c r="C180" s="79" t="s">
        <v>3418</v>
      </c>
      <c r="D180" s="79" t="s">
        <v>3228</v>
      </c>
      <c r="E180" s="79" t="s">
        <v>3419</v>
      </c>
      <c r="F180" s="80">
        <v>12.34</v>
      </c>
      <c r="G180" s="80">
        <v>2</v>
      </c>
      <c r="H180" s="80">
        <v>24.68</v>
      </c>
      <c r="I180" s="80">
        <v>4341.08</v>
      </c>
      <c r="J180" s="79" t="s">
        <v>2868</v>
      </c>
      <c r="K180" s="79" t="s">
        <v>3405</v>
      </c>
      <c r="L180" s="79" t="s">
        <v>3148</v>
      </c>
      <c r="M180" s="79" t="s">
        <v>3420</v>
      </c>
    </row>
    <row r="181" ht="300" spans="1:13">
      <c r="A181" s="79" t="s">
        <v>3404</v>
      </c>
      <c r="B181" s="79" t="s">
        <v>3421</v>
      </c>
      <c r="C181" s="79" t="s">
        <v>3422</v>
      </c>
      <c r="D181" s="79" t="s">
        <v>2883</v>
      </c>
      <c r="E181" s="79" t="s">
        <v>3423</v>
      </c>
      <c r="F181" s="80">
        <v>22.89</v>
      </c>
      <c r="G181" s="80">
        <v>4</v>
      </c>
      <c r="H181" s="80">
        <v>91.56</v>
      </c>
      <c r="I181" s="80">
        <v>4341.08</v>
      </c>
      <c r="J181" s="79" t="s">
        <v>2868</v>
      </c>
      <c r="K181" s="79" t="s">
        <v>3405</v>
      </c>
      <c r="L181" s="79" t="s">
        <v>3148</v>
      </c>
      <c r="M181" s="79" t="s">
        <v>3424</v>
      </c>
    </row>
    <row r="182" ht="300" spans="1:13">
      <c r="A182" s="79" t="s">
        <v>3404</v>
      </c>
      <c r="B182" s="79" t="s">
        <v>3255</v>
      </c>
      <c r="C182" s="79" t="s">
        <v>3256</v>
      </c>
      <c r="D182" s="79" t="s">
        <v>2883</v>
      </c>
      <c r="E182" s="79" t="s">
        <v>3257</v>
      </c>
      <c r="F182" s="80">
        <v>7.72</v>
      </c>
      <c r="G182" s="80">
        <v>50</v>
      </c>
      <c r="H182" s="80">
        <v>386</v>
      </c>
      <c r="I182" s="80">
        <v>4341.08</v>
      </c>
      <c r="J182" s="79" t="s">
        <v>2868</v>
      </c>
      <c r="K182" s="79" t="s">
        <v>3405</v>
      </c>
      <c r="L182" s="79" t="s">
        <v>3148</v>
      </c>
      <c r="M182" s="79" t="s">
        <v>3425</v>
      </c>
    </row>
    <row r="183" ht="300" spans="1:13">
      <c r="A183" s="79" t="s">
        <v>3404</v>
      </c>
      <c r="B183" s="79" t="s">
        <v>3426</v>
      </c>
      <c r="C183" s="79" t="s">
        <v>3427</v>
      </c>
      <c r="D183" s="79" t="s">
        <v>3428</v>
      </c>
      <c r="E183" s="79" t="s">
        <v>3429</v>
      </c>
      <c r="F183" s="80">
        <v>91</v>
      </c>
      <c r="G183" s="80">
        <v>1</v>
      </c>
      <c r="H183" s="80">
        <v>91</v>
      </c>
      <c r="I183" s="80">
        <v>4341.08</v>
      </c>
      <c r="J183" s="79" t="s">
        <v>2868</v>
      </c>
      <c r="K183" s="79" t="s">
        <v>3405</v>
      </c>
      <c r="L183" s="79" t="s">
        <v>3148</v>
      </c>
      <c r="M183" s="79" t="s">
        <v>3430</v>
      </c>
    </row>
    <row r="184" ht="300" spans="1:13">
      <c r="A184" s="79" t="s">
        <v>3404</v>
      </c>
      <c r="B184" s="79" t="s">
        <v>3207</v>
      </c>
      <c r="C184" s="79" t="s">
        <v>3208</v>
      </c>
      <c r="D184" s="79" t="s">
        <v>2958</v>
      </c>
      <c r="E184" s="79" t="s">
        <v>1770</v>
      </c>
      <c r="F184" s="80">
        <v>5.5</v>
      </c>
      <c r="G184" s="80">
        <v>40</v>
      </c>
      <c r="H184" s="80">
        <v>220</v>
      </c>
      <c r="I184" s="80">
        <v>4341.08</v>
      </c>
      <c r="J184" s="79" t="s">
        <v>2868</v>
      </c>
      <c r="K184" s="79" t="s">
        <v>3405</v>
      </c>
      <c r="L184" s="79" t="s">
        <v>3148</v>
      </c>
      <c r="M184" s="79" t="s">
        <v>3431</v>
      </c>
    </row>
    <row r="185" ht="300" spans="1:13">
      <c r="A185" s="79" t="s">
        <v>3404</v>
      </c>
      <c r="B185" s="79" t="s">
        <v>3107</v>
      </c>
      <c r="C185" s="79" t="s">
        <v>3108</v>
      </c>
      <c r="D185" s="79" t="s">
        <v>2867</v>
      </c>
      <c r="E185" s="79" t="s">
        <v>1742</v>
      </c>
      <c r="F185" s="80">
        <v>32</v>
      </c>
      <c r="G185" s="80">
        <v>5</v>
      </c>
      <c r="H185" s="80">
        <v>160</v>
      </c>
      <c r="I185" s="80">
        <v>4341.08</v>
      </c>
      <c r="J185" s="79" t="s">
        <v>2868</v>
      </c>
      <c r="K185" s="79" t="s">
        <v>3405</v>
      </c>
      <c r="L185" s="79" t="s">
        <v>3148</v>
      </c>
      <c r="M185" s="79" t="s">
        <v>3432</v>
      </c>
    </row>
    <row r="186" ht="300" spans="1:13">
      <c r="A186" s="79" t="s">
        <v>3404</v>
      </c>
      <c r="B186" s="79" t="s">
        <v>3433</v>
      </c>
      <c r="C186" s="79" t="s">
        <v>3434</v>
      </c>
      <c r="D186" s="79" t="s">
        <v>3435</v>
      </c>
      <c r="E186" s="79" t="s">
        <v>3436</v>
      </c>
      <c r="F186" s="80">
        <v>8.96</v>
      </c>
      <c r="G186" s="80">
        <v>5</v>
      </c>
      <c r="H186" s="80">
        <v>44.8</v>
      </c>
      <c r="I186" s="80">
        <v>4341.08</v>
      </c>
      <c r="J186" s="79" t="s">
        <v>2868</v>
      </c>
      <c r="K186" s="79" t="s">
        <v>3405</v>
      </c>
      <c r="L186" s="79" t="s">
        <v>3148</v>
      </c>
      <c r="M186" s="79" t="s">
        <v>3437</v>
      </c>
    </row>
    <row r="187" ht="300" spans="1:13">
      <c r="A187" s="79" t="s">
        <v>3404</v>
      </c>
      <c r="B187" s="79" t="s">
        <v>3125</v>
      </c>
      <c r="C187" s="79" t="s">
        <v>3126</v>
      </c>
      <c r="D187" s="79" t="s">
        <v>2878</v>
      </c>
      <c r="E187" s="79" t="s">
        <v>2879</v>
      </c>
      <c r="F187" s="80">
        <v>5.2</v>
      </c>
      <c r="G187" s="80">
        <v>5</v>
      </c>
      <c r="H187" s="80">
        <v>26</v>
      </c>
      <c r="I187" s="80">
        <v>4341.08</v>
      </c>
      <c r="J187" s="79" t="s">
        <v>2868</v>
      </c>
      <c r="K187" s="79" t="s">
        <v>3405</v>
      </c>
      <c r="L187" s="79" t="s">
        <v>3148</v>
      </c>
      <c r="M187" s="79" t="s">
        <v>3438</v>
      </c>
    </row>
    <row r="188" ht="300" spans="1:13">
      <c r="A188" s="79" t="s">
        <v>3404</v>
      </c>
      <c r="B188" s="79" t="s">
        <v>2946</v>
      </c>
      <c r="C188" s="79" t="s">
        <v>2947</v>
      </c>
      <c r="D188" s="79" t="s">
        <v>2948</v>
      </c>
      <c r="E188" s="79" t="s">
        <v>2949</v>
      </c>
      <c r="F188" s="80">
        <v>20</v>
      </c>
      <c r="G188" s="80">
        <v>5</v>
      </c>
      <c r="H188" s="80">
        <v>100</v>
      </c>
      <c r="I188" s="80">
        <v>4341.08</v>
      </c>
      <c r="J188" s="79" t="s">
        <v>2868</v>
      </c>
      <c r="K188" s="79" t="s">
        <v>3405</v>
      </c>
      <c r="L188" s="79" t="s">
        <v>3148</v>
      </c>
      <c r="M188" s="79" t="s">
        <v>3439</v>
      </c>
    </row>
    <row r="189" ht="300" spans="1:13">
      <c r="A189" s="79" t="s">
        <v>3404</v>
      </c>
      <c r="B189" s="79" t="s">
        <v>2956</v>
      </c>
      <c r="C189" s="79" t="s">
        <v>2957</v>
      </c>
      <c r="D189" s="79" t="s">
        <v>2958</v>
      </c>
      <c r="E189" s="79" t="s">
        <v>1770</v>
      </c>
      <c r="F189" s="80">
        <v>17.7</v>
      </c>
      <c r="G189" s="80">
        <v>80</v>
      </c>
      <c r="H189" s="80">
        <v>1416</v>
      </c>
      <c r="I189" s="80">
        <v>4341.08</v>
      </c>
      <c r="J189" s="79" t="s">
        <v>2868</v>
      </c>
      <c r="K189" s="79" t="s">
        <v>3405</v>
      </c>
      <c r="L189" s="79" t="s">
        <v>3148</v>
      </c>
      <c r="M189" s="79" t="s">
        <v>3440</v>
      </c>
    </row>
    <row r="190" ht="300" spans="1:13">
      <c r="A190" s="79" t="s">
        <v>3404</v>
      </c>
      <c r="B190" s="79" t="s">
        <v>2951</v>
      </c>
      <c r="C190" s="79" t="s">
        <v>2952</v>
      </c>
      <c r="D190" s="79" t="s">
        <v>2953</v>
      </c>
      <c r="E190" s="79" t="s">
        <v>2954</v>
      </c>
      <c r="F190" s="80">
        <v>3.1</v>
      </c>
      <c r="G190" s="80">
        <v>2</v>
      </c>
      <c r="H190" s="80">
        <v>6.2</v>
      </c>
      <c r="I190" s="80">
        <v>4341.08</v>
      </c>
      <c r="J190" s="79" t="s">
        <v>2868</v>
      </c>
      <c r="K190" s="79" t="s">
        <v>3405</v>
      </c>
      <c r="L190" s="79" t="s">
        <v>3148</v>
      </c>
      <c r="M190" s="79" t="s">
        <v>3441</v>
      </c>
    </row>
    <row r="191" ht="300" spans="1:13">
      <c r="A191" s="79" t="s">
        <v>3404</v>
      </c>
      <c r="B191" s="79" t="s">
        <v>3204</v>
      </c>
      <c r="C191" s="79" t="s">
        <v>3205</v>
      </c>
      <c r="D191" s="79" t="s">
        <v>2958</v>
      </c>
      <c r="E191" s="79" t="s">
        <v>1770</v>
      </c>
      <c r="F191" s="80">
        <v>12.74</v>
      </c>
      <c r="G191" s="80">
        <v>30</v>
      </c>
      <c r="H191" s="80">
        <v>382.2</v>
      </c>
      <c r="I191" s="80">
        <v>4341.08</v>
      </c>
      <c r="J191" s="79" t="s">
        <v>2868</v>
      </c>
      <c r="K191" s="79" t="s">
        <v>3405</v>
      </c>
      <c r="L191" s="79" t="s">
        <v>3148</v>
      </c>
      <c r="M191" s="79" t="s">
        <v>3442</v>
      </c>
    </row>
    <row r="192" ht="300" spans="1:13">
      <c r="A192" s="79" t="s">
        <v>3404</v>
      </c>
      <c r="B192" s="79" t="s">
        <v>3110</v>
      </c>
      <c r="C192" s="79" t="s">
        <v>3111</v>
      </c>
      <c r="D192" s="79" t="s">
        <v>2883</v>
      </c>
      <c r="E192" s="79" t="s">
        <v>2975</v>
      </c>
      <c r="F192" s="80">
        <v>45</v>
      </c>
      <c r="G192" s="80">
        <v>5</v>
      </c>
      <c r="H192" s="80">
        <v>225</v>
      </c>
      <c r="I192" s="80">
        <v>4341.08</v>
      </c>
      <c r="J192" s="79" t="s">
        <v>2868</v>
      </c>
      <c r="K192" s="79" t="s">
        <v>3405</v>
      </c>
      <c r="L192" s="79" t="s">
        <v>3148</v>
      </c>
      <c r="M192" s="79" t="s">
        <v>3443</v>
      </c>
    </row>
    <row r="193" ht="300" spans="1:13">
      <c r="A193" s="79" t="s">
        <v>3404</v>
      </c>
      <c r="B193" s="79" t="s">
        <v>3226</v>
      </c>
      <c r="C193" s="79" t="s">
        <v>3227</v>
      </c>
      <c r="D193" s="79" t="s">
        <v>3228</v>
      </c>
      <c r="E193" s="79" t="s">
        <v>3229</v>
      </c>
      <c r="F193" s="80">
        <v>19.8</v>
      </c>
      <c r="G193" s="80">
        <v>3</v>
      </c>
      <c r="H193" s="80">
        <v>59.4</v>
      </c>
      <c r="I193" s="80">
        <v>4341.08</v>
      </c>
      <c r="J193" s="79" t="s">
        <v>2868</v>
      </c>
      <c r="K193" s="79" t="s">
        <v>3405</v>
      </c>
      <c r="L193" s="79" t="s">
        <v>3148</v>
      </c>
      <c r="M193" s="79" t="s">
        <v>3444</v>
      </c>
    </row>
    <row r="194" ht="300" spans="1:13">
      <c r="A194" s="79" t="s">
        <v>3404</v>
      </c>
      <c r="B194" s="79" t="s">
        <v>3445</v>
      </c>
      <c r="C194" s="79" t="s">
        <v>3446</v>
      </c>
      <c r="D194" s="79" t="s">
        <v>3040</v>
      </c>
      <c r="E194" s="79" t="s">
        <v>3348</v>
      </c>
      <c r="F194" s="80">
        <v>24.3</v>
      </c>
      <c r="G194" s="80">
        <v>1</v>
      </c>
      <c r="H194" s="80">
        <v>24.3</v>
      </c>
      <c r="I194" s="80">
        <v>4341.08</v>
      </c>
      <c r="J194" s="79" t="s">
        <v>2868</v>
      </c>
      <c r="K194" s="79" t="s">
        <v>3405</v>
      </c>
      <c r="L194" s="79" t="s">
        <v>3148</v>
      </c>
      <c r="M194" s="79" t="s">
        <v>3447</v>
      </c>
    </row>
    <row r="195" ht="300" spans="1:13">
      <c r="A195" s="79" t="s">
        <v>3404</v>
      </c>
      <c r="B195" s="79" t="s">
        <v>3448</v>
      </c>
      <c r="C195" s="79" t="s">
        <v>3449</v>
      </c>
      <c r="D195" s="79" t="s">
        <v>2873</v>
      </c>
      <c r="E195" s="79" t="s">
        <v>3105</v>
      </c>
      <c r="F195" s="80">
        <v>4.84</v>
      </c>
      <c r="G195" s="80">
        <v>2</v>
      </c>
      <c r="H195" s="80">
        <v>9.68</v>
      </c>
      <c r="I195" s="80">
        <v>4341.08</v>
      </c>
      <c r="J195" s="79" t="s">
        <v>2868</v>
      </c>
      <c r="K195" s="79" t="s">
        <v>3405</v>
      </c>
      <c r="L195" s="79" t="s">
        <v>3148</v>
      </c>
      <c r="M195" s="79" t="s">
        <v>3450</v>
      </c>
    </row>
    <row r="196" ht="300" spans="1:13">
      <c r="A196" s="79" t="s">
        <v>3404</v>
      </c>
      <c r="B196" s="79" t="s">
        <v>3081</v>
      </c>
      <c r="C196" s="79" t="s">
        <v>3082</v>
      </c>
      <c r="D196" s="79" t="s">
        <v>2948</v>
      </c>
      <c r="E196" s="79" t="s">
        <v>3083</v>
      </c>
      <c r="F196" s="80">
        <v>15.97</v>
      </c>
      <c r="G196" s="80">
        <v>5</v>
      </c>
      <c r="H196" s="80">
        <v>79.85</v>
      </c>
      <c r="I196" s="80">
        <v>4341.08</v>
      </c>
      <c r="J196" s="79" t="s">
        <v>2868</v>
      </c>
      <c r="K196" s="79" t="s">
        <v>3405</v>
      </c>
      <c r="L196" s="79" t="s">
        <v>3148</v>
      </c>
      <c r="M196" s="79" t="s">
        <v>3451</v>
      </c>
    </row>
    <row r="197" ht="300" spans="1:13">
      <c r="A197" s="79" t="s">
        <v>3404</v>
      </c>
      <c r="B197" s="79" t="s">
        <v>3002</v>
      </c>
      <c r="C197" s="79" t="s">
        <v>3003</v>
      </c>
      <c r="D197" s="79" t="s">
        <v>2883</v>
      </c>
      <c r="E197" s="79" t="s">
        <v>3004</v>
      </c>
      <c r="F197" s="80">
        <v>21.5</v>
      </c>
      <c r="G197" s="80">
        <v>5</v>
      </c>
      <c r="H197" s="80">
        <v>107.5</v>
      </c>
      <c r="I197" s="80">
        <v>4341.08</v>
      </c>
      <c r="J197" s="79" t="s">
        <v>2868</v>
      </c>
      <c r="K197" s="79" t="s">
        <v>3405</v>
      </c>
      <c r="L197" s="79" t="s">
        <v>3148</v>
      </c>
      <c r="M197" s="79" t="s">
        <v>3452</v>
      </c>
    </row>
    <row r="198" ht="300" spans="1:13">
      <c r="A198" s="79" t="s">
        <v>3453</v>
      </c>
      <c r="B198" s="79" t="s">
        <v>2838</v>
      </c>
      <c r="C198" s="79" t="s">
        <v>2839</v>
      </c>
      <c r="D198" s="79" t="s">
        <v>2840</v>
      </c>
      <c r="E198" s="79" t="s">
        <v>2839</v>
      </c>
      <c r="F198" s="80">
        <v>118</v>
      </c>
      <c r="G198" s="80">
        <v>40</v>
      </c>
      <c r="H198" s="80">
        <v>4720</v>
      </c>
      <c r="I198" s="80">
        <v>4720</v>
      </c>
      <c r="J198" s="79" t="s">
        <v>2835</v>
      </c>
      <c r="K198" s="79" t="s">
        <v>3454</v>
      </c>
      <c r="L198" s="79" t="s">
        <v>3148</v>
      </c>
      <c r="M198" s="79" t="s">
        <v>3455</v>
      </c>
    </row>
    <row r="199" ht="300" spans="1:13">
      <c r="A199" s="79" t="s">
        <v>3456</v>
      </c>
      <c r="B199" s="79" t="s">
        <v>3457</v>
      </c>
      <c r="C199" s="79" t="s">
        <v>3458</v>
      </c>
      <c r="D199" s="79" t="s">
        <v>3459</v>
      </c>
      <c r="E199" s="79" t="s">
        <v>3460</v>
      </c>
      <c r="F199" s="80">
        <v>60</v>
      </c>
      <c r="G199" s="80">
        <v>4</v>
      </c>
      <c r="H199" s="80">
        <v>240</v>
      </c>
      <c r="I199" s="80">
        <v>240</v>
      </c>
      <c r="J199" s="79" t="s">
        <v>3461</v>
      </c>
      <c r="K199" s="79" t="s">
        <v>3462</v>
      </c>
      <c r="L199" s="79" t="s">
        <v>3148</v>
      </c>
      <c r="M199" s="79" t="s">
        <v>3463</v>
      </c>
    </row>
    <row r="200" ht="300" spans="1:13">
      <c r="A200" s="79" t="s">
        <v>3464</v>
      </c>
      <c r="B200" s="79" t="s">
        <v>3465</v>
      </c>
      <c r="C200" s="79" t="s">
        <v>3466</v>
      </c>
      <c r="D200" s="79" t="s">
        <v>3467</v>
      </c>
      <c r="E200" s="79" t="s">
        <v>3466</v>
      </c>
      <c r="F200" s="80">
        <v>13</v>
      </c>
      <c r="G200" s="80">
        <v>3</v>
      </c>
      <c r="H200" s="80">
        <v>39</v>
      </c>
      <c r="I200" s="80">
        <v>357.5</v>
      </c>
      <c r="J200" s="79" t="s">
        <v>2835</v>
      </c>
      <c r="K200" s="79" t="s">
        <v>3462</v>
      </c>
      <c r="L200" s="79" t="s">
        <v>3148</v>
      </c>
      <c r="M200" s="79" t="s">
        <v>3468</v>
      </c>
    </row>
    <row r="201" ht="300" spans="1:13">
      <c r="A201" s="79" t="s">
        <v>3464</v>
      </c>
      <c r="B201" s="79" t="s">
        <v>3469</v>
      </c>
      <c r="C201" s="79" t="s">
        <v>3470</v>
      </c>
      <c r="D201" s="79" t="s">
        <v>3471</v>
      </c>
      <c r="E201" s="79" t="s">
        <v>3470</v>
      </c>
      <c r="F201" s="80">
        <v>183.04</v>
      </c>
      <c r="G201" s="80">
        <v>1</v>
      </c>
      <c r="H201" s="80">
        <v>183.04</v>
      </c>
      <c r="I201" s="80">
        <v>357.5</v>
      </c>
      <c r="J201" s="79" t="s">
        <v>2835</v>
      </c>
      <c r="K201" s="79" t="s">
        <v>3462</v>
      </c>
      <c r="L201" s="79" t="s">
        <v>3148</v>
      </c>
      <c r="M201" s="79" t="s">
        <v>3472</v>
      </c>
    </row>
    <row r="202" ht="300" spans="1:13">
      <c r="A202" s="79" t="s">
        <v>3464</v>
      </c>
      <c r="B202" s="79" t="s">
        <v>3473</v>
      </c>
      <c r="C202" s="79" t="s">
        <v>3474</v>
      </c>
      <c r="D202" s="79" t="s">
        <v>3475</v>
      </c>
      <c r="E202" s="79" t="s">
        <v>3474</v>
      </c>
      <c r="F202" s="80">
        <v>78.26</v>
      </c>
      <c r="G202" s="80">
        <v>1</v>
      </c>
      <c r="H202" s="80">
        <v>78.26</v>
      </c>
      <c r="I202" s="80">
        <v>357.5</v>
      </c>
      <c r="J202" s="79" t="s">
        <v>2835</v>
      </c>
      <c r="K202" s="79" t="s">
        <v>3462</v>
      </c>
      <c r="L202" s="79" t="s">
        <v>3148</v>
      </c>
      <c r="M202" s="79" t="s">
        <v>3476</v>
      </c>
    </row>
    <row r="203" ht="300" spans="1:13">
      <c r="A203" s="79" t="s">
        <v>3464</v>
      </c>
      <c r="B203" s="79" t="s">
        <v>3477</v>
      </c>
      <c r="C203" s="79" t="s">
        <v>3478</v>
      </c>
      <c r="D203" s="79" t="s">
        <v>3479</v>
      </c>
      <c r="E203" s="79" t="s">
        <v>3478</v>
      </c>
      <c r="F203" s="80">
        <v>11.44</v>
      </c>
      <c r="G203" s="80">
        <v>5</v>
      </c>
      <c r="H203" s="80">
        <v>57.2</v>
      </c>
      <c r="I203" s="80">
        <v>357.5</v>
      </c>
      <c r="J203" s="79" t="s">
        <v>2835</v>
      </c>
      <c r="K203" s="79" t="s">
        <v>3462</v>
      </c>
      <c r="L203" s="79" t="s">
        <v>3148</v>
      </c>
      <c r="M203" s="79" t="s">
        <v>3480</v>
      </c>
    </row>
    <row r="204" ht="300" spans="1:13">
      <c r="A204" s="79" t="s">
        <v>3481</v>
      </c>
      <c r="B204" s="79" t="s">
        <v>2961</v>
      </c>
      <c r="C204" s="79" t="s">
        <v>2962</v>
      </c>
      <c r="D204" s="79" t="s">
        <v>2963</v>
      </c>
      <c r="E204" s="79" t="s">
        <v>2962</v>
      </c>
      <c r="F204" s="80">
        <v>38955.51</v>
      </c>
      <c r="G204" s="80">
        <v>1</v>
      </c>
      <c r="H204" s="80">
        <v>38955.51</v>
      </c>
      <c r="I204" s="80">
        <v>38955.51</v>
      </c>
      <c r="J204" s="79" t="s">
        <v>3482</v>
      </c>
      <c r="K204" s="79" t="s">
        <v>3483</v>
      </c>
      <c r="L204" s="79" t="s">
        <v>3148</v>
      </c>
      <c r="M204" s="79" t="s">
        <v>3484</v>
      </c>
    </row>
    <row r="205" ht="300" spans="1:13">
      <c r="A205" s="79" t="s">
        <v>3485</v>
      </c>
      <c r="B205" s="79" t="s">
        <v>2907</v>
      </c>
      <c r="C205" s="79" t="s">
        <v>2908</v>
      </c>
      <c r="D205" s="79" t="s">
        <v>2909</v>
      </c>
      <c r="E205" s="79" t="s">
        <v>2910</v>
      </c>
      <c r="F205" s="80">
        <v>0.22</v>
      </c>
      <c r="G205" s="80">
        <v>8000</v>
      </c>
      <c r="H205" s="80">
        <v>1760</v>
      </c>
      <c r="I205" s="80">
        <v>1760</v>
      </c>
      <c r="J205" s="79" t="s">
        <v>2911</v>
      </c>
      <c r="K205" s="79" t="s">
        <v>3486</v>
      </c>
      <c r="L205" s="79" t="s">
        <v>3148</v>
      </c>
      <c r="M205" s="79" t="s">
        <v>3487</v>
      </c>
    </row>
    <row r="206" ht="300" spans="1:13">
      <c r="A206" s="79" t="s">
        <v>3488</v>
      </c>
      <c r="B206" s="79" t="s">
        <v>2946</v>
      </c>
      <c r="C206" s="79" t="s">
        <v>2947</v>
      </c>
      <c r="D206" s="79" t="s">
        <v>2948</v>
      </c>
      <c r="E206" s="79" t="s">
        <v>2949</v>
      </c>
      <c r="F206" s="80">
        <v>20</v>
      </c>
      <c r="G206" s="80">
        <v>8</v>
      </c>
      <c r="H206" s="80">
        <v>160</v>
      </c>
      <c r="I206" s="80">
        <v>734.9</v>
      </c>
      <c r="J206" s="79" t="s">
        <v>2868</v>
      </c>
      <c r="K206" s="79" t="s">
        <v>3489</v>
      </c>
      <c r="L206" s="79" t="s">
        <v>3148</v>
      </c>
      <c r="M206" s="79" t="s">
        <v>3490</v>
      </c>
    </row>
    <row r="207" ht="300" spans="1:13">
      <c r="A207" s="79" t="s">
        <v>3488</v>
      </c>
      <c r="B207" s="79" t="s">
        <v>3002</v>
      </c>
      <c r="C207" s="79" t="s">
        <v>3003</v>
      </c>
      <c r="D207" s="79" t="s">
        <v>2883</v>
      </c>
      <c r="E207" s="79" t="s">
        <v>3004</v>
      </c>
      <c r="F207" s="80">
        <v>21.5</v>
      </c>
      <c r="G207" s="80">
        <v>2</v>
      </c>
      <c r="H207" s="80">
        <v>43</v>
      </c>
      <c r="I207" s="80">
        <v>734.9</v>
      </c>
      <c r="J207" s="79" t="s">
        <v>2868</v>
      </c>
      <c r="K207" s="79" t="s">
        <v>3489</v>
      </c>
      <c r="L207" s="79" t="s">
        <v>3148</v>
      </c>
      <c r="M207" s="79" t="s">
        <v>3491</v>
      </c>
    </row>
    <row r="208" ht="300" spans="1:13">
      <c r="A208" s="79" t="s">
        <v>3492</v>
      </c>
      <c r="B208" s="79" t="s">
        <v>3493</v>
      </c>
      <c r="C208" s="79" t="s">
        <v>3494</v>
      </c>
      <c r="D208" s="79" t="s">
        <v>2958</v>
      </c>
      <c r="E208" s="79" t="s">
        <v>1770</v>
      </c>
      <c r="F208" s="80">
        <v>9</v>
      </c>
      <c r="G208" s="80">
        <v>28</v>
      </c>
      <c r="H208" s="80">
        <v>252</v>
      </c>
      <c r="I208" s="80">
        <v>852</v>
      </c>
      <c r="J208" s="79" t="s">
        <v>2868</v>
      </c>
      <c r="K208" s="79" t="s">
        <v>3489</v>
      </c>
      <c r="L208" s="79" t="s">
        <v>3148</v>
      </c>
      <c r="M208" s="79" t="s">
        <v>3495</v>
      </c>
    </row>
    <row r="209" ht="300" spans="1:13">
      <c r="A209" s="79" t="s">
        <v>3496</v>
      </c>
      <c r="B209" s="79" t="s">
        <v>3497</v>
      </c>
      <c r="C209" s="79" t="s">
        <v>3498</v>
      </c>
      <c r="D209" s="79" t="s">
        <v>3088</v>
      </c>
      <c r="E209" s="79" t="s">
        <v>3498</v>
      </c>
      <c r="F209" s="80">
        <v>9.98</v>
      </c>
      <c r="G209" s="80">
        <v>5</v>
      </c>
      <c r="H209" s="80">
        <v>49.9</v>
      </c>
      <c r="I209" s="80">
        <v>68.1</v>
      </c>
      <c r="J209" s="79" t="s">
        <v>2835</v>
      </c>
      <c r="K209" s="79" t="s">
        <v>3489</v>
      </c>
      <c r="L209" s="79" t="s">
        <v>3148</v>
      </c>
      <c r="M209" s="79" t="s">
        <v>3499</v>
      </c>
    </row>
    <row r="210" ht="300" spans="1:13">
      <c r="A210" s="79" t="s">
        <v>3488</v>
      </c>
      <c r="B210" s="79" t="s">
        <v>3255</v>
      </c>
      <c r="C210" s="79" t="s">
        <v>3256</v>
      </c>
      <c r="D210" s="79" t="s">
        <v>2883</v>
      </c>
      <c r="E210" s="79" t="s">
        <v>3257</v>
      </c>
      <c r="F210" s="80">
        <v>7.72</v>
      </c>
      <c r="G210" s="80">
        <v>30</v>
      </c>
      <c r="H210" s="80">
        <v>231.6</v>
      </c>
      <c r="I210" s="80">
        <v>734.9</v>
      </c>
      <c r="J210" s="79" t="s">
        <v>2868</v>
      </c>
      <c r="K210" s="79" t="s">
        <v>3489</v>
      </c>
      <c r="L210" s="79" t="s">
        <v>3148</v>
      </c>
      <c r="M210" s="79" t="s">
        <v>3500</v>
      </c>
    </row>
    <row r="211" ht="300" spans="1:13">
      <c r="A211" s="79" t="s">
        <v>3488</v>
      </c>
      <c r="B211" s="79" t="s">
        <v>3125</v>
      </c>
      <c r="C211" s="79" t="s">
        <v>3126</v>
      </c>
      <c r="D211" s="79" t="s">
        <v>2878</v>
      </c>
      <c r="E211" s="79" t="s">
        <v>2879</v>
      </c>
      <c r="F211" s="80">
        <v>5.2</v>
      </c>
      <c r="G211" s="80">
        <v>5</v>
      </c>
      <c r="H211" s="80">
        <v>26</v>
      </c>
      <c r="I211" s="80">
        <v>734.9</v>
      </c>
      <c r="J211" s="79" t="s">
        <v>2868</v>
      </c>
      <c r="K211" s="79" t="s">
        <v>3489</v>
      </c>
      <c r="L211" s="79" t="s">
        <v>3148</v>
      </c>
      <c r="M211" s="79" t="s">
        <v>3501</v>
      </c>
    </row>
    <row r="212" ht="300" spans="1:13">
      <c r="A212" s="79" t="s">
        <v>3492</v>
      </c>
      <c r="B212" s="79" t="s">
        <v>3502</v>
      </c>
      <c r="C212" s="79" t="s">
        <v>3503</v>
      </c>
      <c r="D212" s="79" t="s">
        <v>2958</v>
      </c>
      <c r="E212" s="79" t="s">
        <v>1770</v>
      </c>
      <c r="F212" s="80">
        <v>10</v>
      </c>
      <c r="G212" s="80">
        <v>60</v>
      </c>
      <c r="H212" s="80">
        <v>600</v>
      </c>
      <c r="I212" s="80">
        <v>852</v>
      </c>
      <c r="J212" s="79" t="s">
        <v>2868</v>
      </c>
      <c r="K212" s="79" t="s">
        <v>3489</v>
      </c>
      <c r="L212" s="79" t="s">
        <v>3148</v>
      </c>
      <c r="M212" s="79" t="s">
        <v>3504</v>
      </c>
    </row>
    <row r="213" ht="300" spans="1:13">
      <c r="A213" s="79" t="s">
        <v>3488</v>
      </c>
      <c r="B213" s="79" t="s">
        <v>3505</v>
      </c>
      <c r="C213" s="79" t="s">
        <v>3506</v>
      </c>
      <c r="D213" s="79" t="s">
        <v>2867</v>
      </c>
      <c r="E213" s="79" t="s">
        <v>1742</v>
      </c>
      <c r="F213" s="80">
        <v>47.5</v>
      </c>
      <c r="G213" s="80">
        <v>2</v>
      </c>
      <c r="H213" s="80">
        <v>95</v>
      </c>
      <c r="I213" s="80">
        <v>734.9</v>
      </c>
      <c r="J213" s="79" t="s">
        <v>2868</v>
      </c>
      <c r="K213" s="79" t="s">
        <v>3489</v>
      </c>
      <c r="L213" s="79" t="s">
        <v>3148</v>
      </c>
      <c r="M213" s="79" t="s">
        <v>3507</v>
      </c>
    </row>
    <row r="214" ht="300" spans="1:13">
      <c r="A214" s="79" t="s">
        <v>3488</v>
      </c>
      <c r="B214" s="79" t="s">
        <v>3417</v>
      </c>
      <c r="C214" s="79" t="s">
        <v>3418</v>
      </c>
      <c r="D214" s="79" t="s">
        <v>3228</v>
      </c>
      <c r="E214" s="79" t="s">
        <v>3419</v>
      </c>
      <c r="F214" s="80">
        <v>12.34</v>
      </c>
      <c r="G214" s="80">
        <v>3</v>
      </c>
      <c r="H214" s="80">
        <v>37.02</v>
      </c>
      <c r="I214" s="80">
        <v>734.9</v>
      </c>
      <c r="J214" s="79" t="s">
        <v>2868</v>
      </c>
      <c r="K214" s="79" t="s">
        <v>3489</v>
      </c>
      <c r="L214" s="79" t="s">
        <v>3148</v>
      </c>
      <c r="M214" s="79" t="s">
        <v>3508</v>
      </c>
    </row>
    <row r="215" ht="300" spans="1:13">
      <c r="A215" s="79" t="s">
        <v>3488</v>
      </c>
      <c r="B215" s="79" t="s">
        <v>3077</v>
      </c>
      <c r="C215" s="79" t="s">
        <v>3078</v>
      </c>
      <c r="D215" s="79" t="s">
        <v>3008</v>
      </c>
      <c r="E215" s="79" t="s">
        <v>3079</v>
      </c>
      <c r="F215" s="80">
        <v>1.49</v>
      </c>
      <c r="G215" s="80">
        <v>20</v>
      </c>
      <c r="H215" s="80">
        <v>29.8</v>
      </c>
      <c r="I215" s="80">
        <v>734.9</v>
      </c>
      <c r="J215" s="79" t="s">
        <v>2868</v>
      </c>
      <c r="K215" s="79" t="s">
        <v>3489</v>
      </c>
      <c r="L215" s="79" t="s">
        <v>3148</v>
      </c>
      <c r="M215" s="79" t="s">
        <v>3509</v>
      </c>
    </row>
    <row r="216" ht="300" spans="1:13">
      <c r="A216" s="79" t="s">
        <v>3496</v>
      </c>
      <c r="B216" s="79" t="s">
        <v>3510</v>
      </c>
      <c r="C216" s="79" t="s">
        <v>3511</v>
      </c>
      <c r="D216" s="79" t="s">
        <v>3088</v>
      </c>
      <c r="E216" s="79" t="s">
        <v>3511</v>
      </c>
      <c r="F216" s="80">
        <v>3.64</v>
      </c>
      <c r="G216" s="80">
        <v>5</v>
      </c>
      <c r="H216" s="80">
        <v>18.2</v>
      </c>
      <c r="I216" s="80">
        <v>68.1</v>
      </c>
      <c r="J216" s="79" t="s">
        <v>2835</v>
      </c>
      <c r="K216" s="79" t="s">
        <v>3489</v>
      </c>
      <c r="L216" s="79" t="s">
        <v>3148</v>
      </c>
      <c r="M216" s="79" t="s">
        <v>3512</v>
      </c>
    </row>
    <row r="217" ht="300" spans="1:13">
      <c r="A217" s="79" t="s">
        <v>3488</v>
      </c>
      <c r="B217" s="79" t="s">
        <v>3513</v>
      </c>
      <c r="C217" s="79" t="s">
        <v>3514</v>
      </c>
      <c r="D217" s="79" t="s">
        <v>2883</v>
      </c>
      <c r="E217" s="79" t="s">
        <v>2888</v>
      </c>
      <c r="F217" s="80">
        <v>14.06</v>
      </c>
      <c r="G217" s="80">
        <v>8</v>
      </c>
      <c r="H217" s="80">
        <v>112.48</v>
      </c>
      <c r="I217" s="80">
        <v>734.9</v>
      </c>
      <c r="J217" s="79" t="s">
        <v>2868</v>
      </c>
      <c r="K217" s="79" t="s">
        <v>3489</v>
      </c>
      <c r="L217" s="79" t="s">
        <v>3148</v>
      </c>
      <c r="M217" s="79" t="s">
        <v>3515</v>
      </c>
    </row>
    <row r="218" ht="390" spans="1:13">
      <c r="A218" s="79" t="s">
        <v>3516</v>
      </c>
      <c r="B218" s="79" t="s">
        <v>3071</v>
      </c>
      <c r="C218" s="79" t="s">
        <v>3072</v>
      </c>
      <c r="D218" s="79" t="s">
        <v>3064</v>
      </c>
      <c r="E218" s="79" t="s">
        <v>136</v>
      </c>
      <c r="F218" s="80">
        <v>718</v>
      </c>
      <c r="G218" s="80">
        <v>48</v>
      </c>
      <c r="H218" s="80">
        <v>34464</v>
      </c>
      <c r="I218" s="80">
        <v>36684</v>
      </c>
      <c r="J218" s="79" t="s">
        <v>3065</v>
      </c>
      <c r="K218" s="79" t="s">
        <v>3517</v>
      </c>
      <c r="L218" s="79" t="s">
        <v>3518</v>
      </c>
      <c r="M218" s="79" t="s">
        <v>3519</v>
      </c>
    </row>
    <row r="219" ht="409.5" spans="1:13">
      <c r="A219" s="79" t="s">
        <v>3516</v>
      </c>
      <c r="B219" s="79" t="s">
        <v>3068</v>
      </c>
      <c r="C219" s="79" t="s">
        <v>3069</v>
      </c>
      <c r="D219" s="79" t="s">
        <v>3064</v>
      </c>
      <c r="E219" s="79" t="s">
        <v>136</v>
      </c>
      <c r="F219" s="80">
        <v>185</v>
      </c>
      <c r="G219" s="80">
        <v>12</v>
      </c>
      <c r="H219" s="80">
        <v>2220</v>
      </c>
      <c r="I219" s="80">
        <v>36684</v>
      </c>
      <c r="J219" s="79" t="s">
        <v>3065</v>
      </c>
      <c r="K219" s="79" t="s">
        <v>3517</v>
      </c>
      <c r="L219" s="79" t="s">
        <v>3518</v>
      </c>
      <c r="M219" s="79" t="s">
        <v>3520</v>
      </c>
    </row>
    <row r="220" ht="120" spans="1:13">
      <c r="A220" s="79" t="s">
        <v>3521</v>
      </c>
      <c r="B220" s="79" t="s">
        <v>3522</v>
      </c>
      <c r="C220" s="79" t="s">
        <v>3523</v>
      </c>
      <c r="D220" s="79" t="s">
        <v>3524</v>
      </c>
      <c r="E220" s="79" t="s">
        <v>1675</v>
      </c>
      <c r="F220" s="80">
        <v>2051.79</v>
      </c>
      <c r="G220" s="80">
        <v>1</v>
      </c>
      <c r="H220" s="80">
        <v>2051.79</v>
      </c>
      <c r="I220" s="80">
        <v>9344.05</v>
      </c>
      <c r="J220" s="79" t="s">
        <v>3525</v>
      </c>
      <c r="K220" s="79" t="s">
        <v>3526</v>
      </c>
      <c r="L220" s="79" t="s">
        <v>3518</v>
      </c>
      <c r="M220" s="79" t="s">
        <v>3527</v>
      </c>
    </row>
    <row r="221" ht="120" spans="1:13">
      <c r="A221" s="79" t="s">
        <v>3521</v>
      </c>
      <c r="B221" s="79" t="s">
        <v>3522</v>
      </c>
      <c r="C221" s="79" t="s">
        <v>3523</v>
      </c>
      <c r="D221" s="79" t="s">
        <v>3524</v>
      </c>
      <c r="E221" s="79" t="s">
        <v>1675</v>
      </c>
      <c r="F221" s="80">
        <v>38.8</v>
      </c>
      <c r="G221" s="80">
        <v>1</v>
      </c>
      <c r="H221" s="80">
        <v>38.8</v>
      </c>
      <c r="I221" s="80">
        <v>9344.05</v>
      </c>
      <c r="J221" s="79" t="s">
        <v>3525</v>
      </c>
      <c r="K221" s="79" t="s">
        <v>3526</v>
      </c>
      <c r="L221" s="79" t="s">
        <v>3518</v>
      </c>
      <c r="M221" s="79" t="s">
        <v>3528</v>
      </c>
    </row>
    <row r="222" ht="120" spans="1:13">
      <c r="A222" s="79" t="s">
        <v>3521</v>
      </c>
      <c r="B222" s="79" t="s">
        <v>3522</v>
      </c>
      <c r="C222" s="79" t="s">
        <v>3523</v>
      </c>
      <c r="D222" s="79" t="s">
        <v>3524</v>
      </c>
      <c r="E222" s="79" t="s">
        <v>1675</v>
      </c>
      <c r="F222" s="80">
        <v>175</v>
      </c>
      <c r="G222" s="80">
        <v>1</v>
      </c>
      <c r="H222" s="80">
        <v>175</v>
      </c>
      <c r="I222" s="80">
        <v>9344.05</v>
      </c>
      <c r="J222" s="79" t="s">
        <v>3525</v>
      </c>
      <c r="K222" s="79" t="s">
        <v>3526</v>
      </c>
      <c r="L222" s="79" t="s">
        <v>3518</v>
      </c>
      <c r="M222" s="79" t="s">
        <v>3529</v>
      </c>
    </row>
    <row r="223" ht="120" spans="1:13">
      <c r="A223" s="79" t="s">
        <v>3521</v>
      </c>
      <c r="B223" s="79" t="s">
        <v>3522</v>
      </c>
      <c r="C223" s="79" t="s">
        <v>3523</v>
      </c>
      <c r="D223" s="79" t="s">
        <v>3524</v>
      </c>
      <c r="E223" s="79" t="s">
        <v>1675</v>
      </c>
      <c r="F223" s="80">
        <v>1952.7</v>
      </c>
      <c r="G223" s="80">
        <v>1</v>
      </c>
      <c r="H223" s="80">
        <v>1952.7</v>
      </c>
      <c r="I223" s="80">
        <v>9344.05</v>
      </c>
      <c r="J223" s="79" t="s">
        <v>3525</v>
      </c>
      <c r="K223" s="79" t="s">
        <v>3526</v>
      </c>
      <c r="L223" s="79" t="s">
        <v>3518</v>
      </c>
      <c r="M223" s="79" t="s">
        <v>3530</v>
      </c>
    </row>
    <row r="224" ht="120" spans="1:13">
      <c r="A224" s="79" t="s">
        <v>3521</v>
      </c>
      <c r="B224" s="79" t="s">
        <v>3522</v>
      </c>
      <c r="C224" s="79" t="s">
        <v>3523</v>
      </c>
      <c r="D224" s="79" t="s">
        <v>3524</v>
      </c>
      <c r="E224" s="79" t="s">
        <v>1675</v>
      </c>
      <c r="F224" s="80">
        <v>5125.76</v>
      </c>
      <c r="G224" s="80">
        <v>1</v>
      </c>
      <c r="H224" s="80">
        <v>5125.76</v>
      </c>
      <c r="I224" s="80">
        <v>9344.05</v>
      </c>
      <c r="J224" s="79" t="s">
        <v>3525</v>
      </c>
      <c r="K224" s="79" t="s">
        <v>3526</v>
      </c>
      <c r="L224" s="79" t="s">
        <v>3518</v>
      </c>
      <c r="M224" s="79" t="s">
        <v>3531</v>
      </c>
    </row>
    <row r="225" ht="120" spans="1:13">
      <c r="A225" s="79" t="s">
        <v>3532</v>
      </c>
      <c r="B225" s="79" t="s">
        <v>3522</v>
      </c>
      <c r="C225" s="79" t="s">
        <v>3523</v>
      </c>
      <c r="D225" s="79" t="s">
        <v>3524</v>
      </c>
      <c r="E225" s="79" t="s">
        <v>1675</v>
      </c>
      <c r="F225" s="80">
        <v>5125.76</v>
      </c>
      <c r="G225" s="80">
        <v>1</v>
      </c>
      <c r="H225" s="80">
        <v>5125.76</v>
      </c>
      <c r="I225" s="80">
        <v>9344.05</v>
      </c>
      <c r="J225" s="79" t="s">
        <v>3525</v>
      </c>
      <c r="K225" s="79" t="s">
        <v>3533</v>
      </c>
      <c r="L225" s="79" t="s">
        <v>3518</v>
      </c>
      <c r="M225" s="79" t="s">
        <v>3534</v>
      </c>
    </row>
    <row r="226" ht="120" spans="1:13">
      <c r="A226" s="79" t="s">
        <v>3532</v>
      </c>
      <c r="B226" s="79" t="s">
        <v>3522</v>
      </c>
      <c r="C226" s="79" t="s">
        <v>3523</v>
      </c>
      <c r="D226" s="79" t="s">
        <v>3524</v>
      </c>
      <c r="E226" s="79" t="s">
        <v>1675</v>
      </c>
      <c r="F226" s="80">
        <v>1785.79</v>
      </c>
      <c r="G226" s="80">
        <v>1</v>
      </c>
      <c r="H226" s="80">
        <v>1785.79</v>
      </c>
      <c r="I226" s="80">
        <v>9344.05</v>
      </c>
      <c r="J226" s="79" t="s">
        <v>3525</v>
      </c>
      <c r="K226" s="79" t="s">
        <v>3533</v>
      </c>
      <c r="L226" s="79" t="s">
        <v>3518</v>
      </c>
      <c r="M226" s="79" t="s">
        <v>3535</v>
      </c>
    </row>
    <row r="227" ht="120" spans="1:13">
      <c r="A227" s="79" t="s">
        <v>3532</v>
      </c>
      <c r="B227" s="79" t="s">
        <v>3522</v>
      </c>
      <c r="C227" s="79" t="s">
        <v>3523</v>
      </c>
      <c r="D227" s="79" t="s">
        <v>3524</v>
      </c>
      <c r="E227" s="79" t="s">
        <v>1675</v>
      </c>
      <c r="F227" s="80">
        <v>175</v>
      </c>
      <c r="G227" s="80">
        <v>1</v>
      </c>
      <c r="H227" s="80">
        <v>175</v>
      </c>
      <c r="I227" s="80">
        <v>9344.05</v>
      </c>
      <c r="J227" s="79" t="s">
        <v>3525</v>
      </c>
      <c r="K227" s="79" t="s">
        <v>3533</v>
      </c>
      <c r="L227" s="79" t="s">
        <v>3518</v>
      </c>
      <c r="M227" s="79" t="s">
        <v>3536</v>
      </c>
    </row>
    <row r="228" ht="120" spans="1:13">
      <c r="A228" s="79" t="s">
        <v>3532</v>
      </c>
      <c r="B228" s="79" t="s">
        <v>3522</v>
      </c>
      <c r="C228" s="79" t="s">
        <v>3523</v>
      </c>
      <c r="D228" s="79" t="s">
        <v>3524</v>
      </c>
      <c r="E228" s="79" t="s">
        <v>1675</v>
      </c>
      <c r="F228" s="80">
        <v>1952.7</v>
      </c>
      <c r="G228" s="80">
        <v>1</v>
      </c>
      <c r="H228" s="80">
        <v>1952.7</v>
      </c>
      <c r="I228" s="80">
        <v>9344.05</v>
      </c>
      <c r="J228" s="79" t="s">
        <v>3525</v>
      </c>
      <c r="K228" s="79" t="s">
        <v>3533</v>
      </c>
      <c r="L228" s="79" t="s">
        <v>3518</v>
      </c>
      <c r="M228" s="79" t="s">
        <v>3537</v>
      </c>
    </row>
    <row r="229" ht="120" spans="1:13">
      <c r="A229" s="79" t="s">
        <v>3532</v>
      </c>
      <c r="B229" s="79" t="s">
        <v>3522</v>
      </c>
      <c r="C229" s="79" t="s">
        <v>3523</v>
      </c>
      <c r="D229" s="79" t="s">
        <v>3524</v>
      </c>
      <c r="E229" s="79" t="s">
        <v>1675</v>
      </c>
      <c r="F229" s="80">
        <v>304.8</v>
      </c>
      <c r="G229" s="80">
        <v>1</v>
      </c>
      <c r="H229" s="80">
        <v>304.8</v>
      </c>
      <c r="I229" s="80">
        <v>9344.05</v>
      </c>
      <c r="J229" s="79" t="s">
        <v>3525</v>
      </c>
      <c r="K229" s="79" t="s">
        <v>3533</v>
      </c>
      <c r="L229" s="79" t="s">
        <v>3518</v>
      </c>
      <c r="M229" s="79" t="s">
        <v>3538</v>
      </c>
    </row>
    <row r="230" ht="120" spans="1:13">
      <c r="A230" s="79" t="s">
        <v>3539</v>
      </c>
      <c r="B230" s="79" t="s">
        <v>3024</v>
      </c>
      <c r="C230" s="79" t="s">
        <v>3025</v>
      </c>
      <c r="D230" s="79" t="s">
        <v>3026</v>
      </c>
      <c r="E230" s="79" t="s">
        <v>3025</v>
      </c>
      <c r="F230" s="80">
        <v>3737</v>
      </c>
      <c r="G230" s="80">
        <v>1</v>
      </c>
      <c r="H230" s="80">
        <v>3737</v>
      </c>
      <c r="I230" s="80">
        <v>3737</v>
      </c>
      <c r="J230" s="79" t="s">
        <v>3027</v>
      </c>
      <c r="K230" s="79" t="s">
        <v>3540</v>
      </c>
      <c r="L230" s="79" t="s">
        <v>3518</v>
      </c>
      <c r="M230" s="79" t="s">
        <v>3541</v>
      </c>
    </row>
    <row r="231" ht="120" spans="1:13">
      <c r="A231" s="79" t="s">
        <v>3542</v>
      </c>
      <c r="B231" s="79" t="s">
        <v>3024</v>
      </c>
      <c r="C231" s="79" t="s">
        <v>3025</v>
      </c>
      <c r="D231" s="79" t="s">
        <v>3026</v>
      </c>
      <c r="E231" s="79" t="s">
        <v>3025</v>
      </c>
      <c r="F231" s="80">
        <v>2750</v>
      </c>
      <c r="G231" s="80">
        <v>1</v>
      </c>
      <c r="H231" s="80">
        <v>2750</v>
      </c>
      <c r="I231" s="80">
        <v>2750</v>
      </c>
      <c r="J231" s="79" t="s">
        <v>3027</v>
      </c>
      <c r="K231" s="79" t="s">
        <v>3543</v>
      </c>
      <c r="L231" s="79" t="s">
        <v>3518</v>
      </c>
      <c r="M231" s="79" t="s">
        <v>3544</v>
      </c>
    </row>
    <row r="232" ht="120" spans="1:13">
      <c r="A232" s="79" t="s">
        <v>3545</v>
      </c>
      <c r="B232" s="79" t="s">
        <v>2858</v>
      </c>
      <c r="C232" s="79" t="s">
        <v>2859</v>
      </c>
      <c r="D232" s="79" t="s">
        <v>2860</v>
      </c>
      <c r="E232" s="79" t="s">
        <v>2859</v>
      </c>
      <c r="F232" s="80">
        <v>71734.44</v>
      </c>
      <c r="G232" s="80">
        <v>1</v>
      </c>
      <c r="H232" s="80">
        <v>71734.44</v>
      </c>
      <c r="I232" s="80">
        <v>71734.44</v>
      </c>
      <c r="J232" s="79" t="s">
        <v>2861</v>
      </c>
      <c r="K232" s="79" t="s">
        <v>3546</v>
      </c>
      <c r="L232" s="79" t="s">
        <v>3518</v>
      </c>
      <c r="M232" s="79" t="s">
        <v>3547</v>
      </c>
    </row>
    <row r="233" ht="120" spans="1:13">
      <c r="A233" s="79" t="s">
        <v>3548</v>
      </c>
      <c r="B233" s="79" t="s">
        <v>3549</v>
      </c>
      <c r="C233" s="79" t="s">
        <v>3550</v>
      </c>
      <c r="D233" s="79" t="s">
        <v>3040</v>
      </c>
      <c r="E233" s="79" t="s">
        <v>3551</v>
      </c>
      <c r="F233" s="80">
        <v>23.4</v>
      </c>
      <c r="G233" s="80">
        <v>3</v>
      </c>
      <c r="H233" s="80">
        <v>70.2</v>
      </c>
      <c r="I233" s="80">
        <v>750.66</v>
      </c>
      <c r="J233" s="79" t="s">
        <v>2868</v>
      </c>
      <c r="K233" s="79" t="s">
        <v>3552</v>
      </c>
      <c r="L233" s="79" t="s">
        <v>3518</v>
      </c>
      <c r="M233" s="79" t="s">
        <v>3553</v>
      </c>
    </row>
    <row r="234" ht="120" spans="1:13">
      <c r="A234" s="79" t="s">
        <v>3548</v>
      </c>
      <c r="B234" s="79" t="s">
        <v>3513</v>
      </c>
      <c r="C234" s="79" t="s">
        <v>3514</v>
      </c>
      <c r="D234" s="79" t="s">
        <v>2883</v>
      </c>
      <c r="E234" s="79" t="s">
        <v>2888</v>
      </c>
      <c r="F234" s="80">
        <v>14.06</v>
      </c>
      <c r="G234" s="80">
        <v>10</v>
      </c>
      <c r="H234" s="80">
        <v>140.6</v>
      </c>
      <c r="I234" s="80">
        <v>750.66</v>
      </c>
      <c r="J234" s="79" t="s">
        <v>2868</v>
      </c>
      <c r="K234" s="79" t="s">
        <v>3552</v>
      </c>
      <c r="L234" s="79" t="s">
        <v>3518</v>
      </c>
      <c r="M234" s="79" t="s">
        <v>3554</v>
      </c>
    </row>
    <row r="235" ht="135" spans="1:13">
      <c r="A235" s="79" t="s">
        <v>3548</v>
      </c>
      <c r="B235" s="79" t="s">
        <v>3002</v>
      </c>
      <c r="C235" s="79" t="s">
        <v>3003</v>
      </c>
      <c r="D235" s="79" t="s">
        <v>2883</v>
      </c>
      <c r="E235" s="79" t="s">
        <v>3004</v>
      </c>
      <c r="F235" s="80">
        <v>21.5</v>
      </c>
      <c r="G235" s="80">
        <v>4</v>
      </c>
      <c r="H235" s="80">
        <v>86</v>
      </c>
      <c r="I235" s="80">
        <v>750.66</v>
      </c>
      <c r="J235" s="79" t="s">
        <v>2868</v>
      </c>
      <c r="K235" s="79" t="s">
        <v>3552</v>
      </c>
      <c r="L235" s="79" t="s">
        <v>3518</v>
      </c>
      <c r="M235" s="79" t="s">
        <v>3555</v>
      </c>
    </row>
    <row r="236" ht="120" spans="1:13">
      <c r="A236" s="79" t="s">
        <v>3548</v>
      </c>
      <c r="B236" s="79" t="s">
        <v>3556</v>
      </c>
      <c r="C236" s="79" t="s">
        <v>3557</v>
      </c>
      <c r="D236" s="79" t="s">
        <v>2883</v>
      </c>
      <c r="E236" s="79" t="s">
        <v>2884</v>
      </c>
      <c r="F236" s="80">
        <v>9</v>
      </c>
      <c r="G236" s="80">
        <v>4</v>
      </c>
      <c r="H236" s="80">
        <v>36</v>
      </c>
      <c r="I236" s="80">
        <v>750.66</v>
      </c>
      <c r="J236" s="79" t="s">
        <v>2868</v>
      </c>
      <c r="K236" s="79" t="s">
        <v>3552</v>
      </c>
      <c r="L236" s="79" t="s">
        <v>3518</v>
      </c>
      <c r="M236" s="79" t="s">
        <v>3558</v>
      </c>
    </row>
    <row r="237" ht="120" spans="1:13">
      <c r="A237" s="79" t="s">
        <v>3559</v>
      </c>
      <c r="B237" s="79" t="s">
        <v>2838</v>
      </c>
      <c r="C237" s="79" t="s">
        <v>2839</v>
      </c>
      <c r="D237" s="79" t="s">
        <v>2840</v>
      </c>
      <c r="E237" s="79" t="s">
        <v>2839</v>
      </c>
      <c r="F237" s="80">
        <v>118</v>
      </c>
      <c r="G237" s="80">
        <v>20</v>
      </c>
      <c r="H237" s="80">
        <v>2360</v>
      </c>
      <c r="I237" s="80">
        <v>2428.1</v>
      </c>
      <c r="J237" s="79" t="s">
        <v>2835</v>
      </c>
      <c r="K237" s="79" t="s">
        <v>3552</v>
      </c>
      <c r="L237" s="79" t="s">
        <v>3518</v>
      </c>
      <c r="M237" s="79" t="s">
        <v>3560</v>
      </c>
    </row>
    <row r="238" ht="270" spans="1:13">
      <c r="A238" s="79" t="s">
        <v>3548</v>
      </c>
      <c r="B238" s="79" t="s">
        <v>3561</v>
      </c>
      <c r="C238" s="79" t="s">
        <v>3562</v>
      </c>
      <c r="D238" s="79" t="s">
        <v>2883</v>
      </c>
      <c r="E238" s="79" t="s">
        <v>3563</v>
      </c>
      <c r="F238" s="80">
        <v>20.79</v>
      </c>
      <c r="G238" s="80">
        <v>10</v>
      </c>
      <c r="H238" s="80">
        <v>207.9</v>
      </c>
      <c r="I238" s="80">
        <v>750.66</v>
      </c>
      <c r="J238" s="79" t="s">
        <v>2868</v>
      </c>
      <c r="K238" s="79" t="s">
        <v>3552</v>
      </c>
      <c r="L238" s="79" t="s">
        <v>3518</v>
      </c>
      <c r="M238" s="79" t="s">
        <v>3564</v>
      </c>
    </row>
    <row r="239" ht="120" spans="1:13">
      <c r="A239" s="79" t="s">
        <v>3548</v>
      </c>
      <c r="B239" s="79" t="s">
        <v>3448</v>
      </c>
      <c r="C239" s="79" t="s">
        <v>3449</v>
      </c>
      <c r="D239" s="79" t="s">
        <v>2873</v>
      </c>
      <c r="E239" s="79" t="s">
        <v>3105</v>
      </c>
      <c r="F239" s="80">
        <v>4.84</v>
      </c>
      <c r="G239" s="80">
        <v>2</v>
      </c>
      <c r="H239" s="80">
        <v>9.68</v>
      </c>
      <c r="I239" s="80">
        <v>750.66</v>
      </c>
      <c r="J239" s="79" t="s">
        <v>2868</v>
      </c>
      <c r="K239" s="79" t="s">
        <v>3552</v>
      </c>
      <c r="L239" s="79" t="s">
        <v>3518</v>
      </c>
      <c r="M239" s="79" t="s">
        <v>3565</v>
      </c>
    </row>
    <row r="240" ht="210" spans="1:13">
      <c r="A240" s="79" t="s">
        <v>3548</v>
      </c>
      <c r="B240" s="79" t="s">
        <v>3255</v>
      </c>
      <c r="C240" s="79" t="s">
        <v>3256</v>
      </c>
      <c r="D240" s="79" t="s">
        <v>2883</v>
      </c>
      <c r="E240" s="79" t="s">
        <v>3257</v>
      </c>
      <c r="F240" s="80">
        <v>7.72</v>
      </c>
      <c r="G240" s="80">
        <v>10</v>
      </c>
      <c r="H240" s="80">
        <v>77.2</v>
      </c>
      <c r="I240" s="80">
        <v>750.66</v>
      </c>
      <c r="J240" s="79" t="s">
        <v>2868</v>
      </c>
      <c r="K240" s="79" t="s">
        <v>3552</v>
      </c>
      <c r="L240" s="79" t="s">
        <v>3518</v>
      </c>
      <c r="M240" s="79" t="s">
        <v>3566</v>
      </c>
    </row>
    <row r="241" ht="180" spans="1:13">
      <c r="A241" s="79" t="s">
        <v>3559</v>
      </c>
      <c r="B241" s="79" t="s">
        <v>3497</v>
      </c>
      <c r="C241" s="79" t="s">
        <v>3498</v>
      </c>
      <c r="D241" s="79" t="s">
        <v>3088</v>
      </c>
      <c r="E241" s="79" t="s">
        <v>3498</v>
      </c>
      <c r="F241" s="80">
        <v>9.98</v>
      </c>
      <c r="G241" s="80">
        <v>5</v>
      </c>
      <c r="H241" s="80">
        <v>49.9</v>
      </c>
      <c r="I241" s="80">
        <v>2428.1</v>
      </c>
      <c r="J241" s="79" t="s">
        <v>2835</v>
      </c>
      <c r="K241" s="79" t="s">
        <v>3552</v>
      </c>
      <c r="L241" s="79" t="s">
        <v>3518</v>
      </c>
      <c r="M241" s="79" t="s">
        <v>3567</v>
      </c>
    </row>
    <row r="242" ht="165" spans="1:13">
      <c r="A242" s="79" t="s">
        <v>3568</v>
      </c>
      <c r="B242" s="79" t="s">
        <v>3502</v>
      </c>
      <c r="C242" s="79" t="s">
        <v>3503</v>
      </c>
      <c r="D242" s="79" t="s">
        <v>2958</v>
      </c>
      <c r="E242" s="79" t="s">
        <v>1770</v>
      </c>
      <c r="F242" s="80">
        <v>10</v>
      </c>
      <c r="G242" s="80">
        <v>100</v>
      </c>
      <c r="H242" s="80">
        <v>1000</v>
      </c>
      <c r="I242" s="80">
        <v>1207</v>
      </c>
      <c r="J242" s="79" t="s">
        <v>2868</v>
      </c>
      <c r="K242" s="79" t="s">
        <v>3552</v>
      </c>
      <c r="L242" s="79" t="s">
        <v>3518</v>
      </c>
      <c r="M242" s="79" t="s">
        <v>3569</v>
      </c>
    </row>
    <row r="243" ht="135" spans="1:13">
      <c r="A243" s="79" t="s">
        <v>3559</v>
      </c>
      <c r="B243" s="79" t="s">
        <v>3510</v>
      </c>
      <c r="C243" s="79" t="s">
        <v>3511</v>
      </c>
      <c r="D243" s="79" t="s">
        <v>3088</v>
      </c>
      <c r="E243" s="79" t="s">
        <v>3511</v>
      </c>
      <c r="F243" s="80">
        <v>3.64</v>
      </c>
      <c r="G243" s="80">
        <v>5</v>
      </c>
      <c r="H243" s="80">
        <v>18.2</v>
      </c>
      <c r="I243" s="80">
        <v>2428.1</v>
      </c>
      <c r="J243" s="79" t="s">
        <v>2835</v>
      </c>
      <c r="K243" s="79" t="s">
        <v>3552</v>
      </c>
      <c r="L243" s="79" t="s">
        <v>3518</v>
      </c>
      <c r="M243" s="79" t="s">
        <v>3570</v>
      </c>
    </row>
    <row r="244" ht="210" spans="1:13">
      <c r="A244" s="79" t="s">
        <v>3568</v>
      </c>
      <c r="B244" s="79" t="s">
        <v>3493</v>
      </c>
      <c r="C244" s="79" t="s">
        <v>3494</v>
      </c>
      <c r="D244" s="79" t="s">
        <v>2958</v>
      </c>
      <c r="E244" s="79" t="s">
        <v>1770</v>
      </c>
      <c r="F244" s="80">
        <v>9</v>
      </c>
      <c r="G244" s="80">
        <v>23</v>
      </c>
      <c r="H244" s="80">
        <v>207</v>
      </c>
      <c r="I244" s="80">
        <v>1207</v>
      </c>
      <c r="J244" s="79" t="s">
        <v>2868</v>
      </c>
      <c r="K244" s="79" t="s">
        <v>3552</v>
      </c>
      <c r="L244" s="79" t="s">
        <v>3518</v>
      </c>
      <c r="M244" s="79" t="s">
        <v>3571</v>
      </c>
    </row>
    <row r="245" ht="195" spans="1:13">
      <c r="A245" s="79" t="s">
        <v>3548</v>
      </c>
      <c r="B245" s="79" t="s">
        <v>3246</v>
      </c>
      <c r="C245" s="79" t="s">
        <v>3247</v>
      </c>
      <c r="D245" s="79" t="s">
        <v>2883</v>
      </c>
      <c r="E245" s="79" t="s">
        <v>3248</v>
      </c>
      <c r="F245" s="80">
        <v>23.32</v>
      </c>
      <c r="G245" s="80">
        <v>4</v>
      </c>
      <c r="H245" s="80">
        <v>93.28</v>
      </c>
      <c r="I245" s="80">
        <v>750.66</v>
      </c>
      <c r="J245" s="79" t="s">
        <v>2868</v>
      </c>
      <c r="K245" s="79" t="s">
        <v>3552</v>
      </c>
      <c r="L245" s="79" t="s">
        <v>3518</v>
      </c>
      <c r="M245" s="79" t="s">
        <v>3572</v>
      </c>
    </row>
    <row r="246" ht="120" spans="1:13">
      <c r="A246" s="79" t="s">
        <v>3548</v>
      </c>
      <c r="B246" s="79" t="s">
        <v>3077</v>
      </c>
      <c r="C246" s="79" t="s">
        <v>3078</v>
      </c>
      <c r="D246" s="79" t="s">
        <v>3008</v>
      </c>
      <c r="E246" s="79" t="s">
        <v>3079</v>
      </c>
      <c r="F246" s="80">
        <v>1.49</v>
      </c>
      <c r="G246" s="80">
        <v>20</v>
      </c>
      <c r="H246" s="80">
        <v>29.8</v>
      </c>
      <c r="I246" s="80">
        <v>750.66</v>
      </c>
      <c r="J246" s="79" t="s">
        <v>2868</v>
      </c>
      <c r="K246" s="79" t="s">
        <v>3552</v>
      </c>
      <c r="L246" s="79" t="s">
        <v>3518</v>
      </c>
      <c r="M246" s="79" t="s">
        <v>3573</v>
      </c>
    </row>
    <row r="247" ht="120" spans="1:13">
      <c r="A247" s="79" t="s">
        <v>3574</v>
      </c>
      <c r="B247" s="79" t="s">
        <v>2961</v>
      </c>
      <c r="C247" s="79" t="s">
        <v>2962</v>
      </c>
      <c r="D247" s="79" t="s">
        <v>2963</v>
      </c>
      <c r="E247" s="79" t="s">
        <v>2962</v>
      </c>
      <c r="F247" s="80">
        <v>8850</v>
      </c>
      <c r="G247" s="80">
        <v>1</v>
      </c>
      <c r="H247" s="80">
        <v>8850</v>
      </c>
      <c r="I247" s="80">
        <v>8850</v>
      </c>
      <c r="J247" s="79" t="s">
        <v>3575</v>
      </c>
      <c r="K247" s="79" t="s">
        <v>3576</v>
      </c>
      <c r="L247" s="79" t="s">
        <v>3518</v>
      </c>
      <c r="M247" s="79" t="s">
        <v>3577</v>
      </c>
    </row>
    <row r="248" ht="120" spans="1:13">
      <c r="A248" s="79" t="s">
        <v>3578</v>
      </c>
      <c r="B248" s="79" t="s">
        <v>3579</v>
      </c>
      <c r="C248" s="79" t="s">
        <v>3580</v>
      </c>
      <c r="D248" s="79" t="s">
        <v>2844</v>
      </c>
      <c r="E248" s="79" t="s">
        <v>3580</v>
      </c>
      <c r="F248" s="80">
        <v>36.96</v>
      </c>
      <c r="G248" s="80">
        <v>2</v>
      </c>
      <c r="H248" s="80">
        <v>73.92</v>
      </c>
      <c r="I248" s="80">
        <v>1005.61</v>
      </c>
      <c r="J248" s="79" t="s">
        <v>2835</v>
      </c>
      <c r="K248" s="79" t="s">
        <v>3581</v>
      </c>
      <c r="L248" s="79" t="s">
        <v>3518</v>
      </c>
      <c r="M248" s="79" t="s">
        <v>3582</v>
      </c>
    </row>
    <row r="249" ht="409.5" spans="1:13">
      <c r="A249" s="79" t="s">
        <v>3578</v>
      </c>
      <c r="B249" s="79" t="s">
        <v>3583</v>
      </c>
      <c r="C249" s="79" t="s">
        <v>3584</v>
      </c>
      <c r="D249" s="79" t="s">
        <v>3585</v>
      </c>
      <c r="E249" s="79" t="s">
        <v>3584</v>
      </c>
      <c r="F249" s="80">
        <v>408.59</v>
      </c>
      <c r="G249" s="80">
        <v>2</v>
      </c>
      <c r="H249" s="80">
        <v>817.18</v>
      </c>
      <c r="I249" s="80">
        <v>1005.61</v>
      </c>
      <c r="J249" s="79" t="s">
        <v>2835</v>
      </c>
      <c r="K249" s="79" t="s">
        <v>3581</v>
      </c>
      <c r="L249" s="79" t="s">
        <v>3518</v>
      </c>
      <c r="M249" s="79" t="s">
        <v>3586</v>
      </c>
    </row>
    <row r="250" ht="135" spans="1:13">
      <c r="A250" s="79" t="s">
        <v>3578</v>
      </c>
      <c r="B250" s="79" t="s">
        <v>3587</v>
      </c>
      <c r="C250" s="79" t="s">
        <v>3588</v>
      </c>
      <c r="D250" s="79" t="s">
        <v>2844</v>
      </c>
      <c r="E250" s="79" t="s">
        <v>3588</v>
      </c>
      <c r="F250" s="80">
        <v>20.3</v>
      </c>
      <c r="G250" s="80">
        <v>3</v>
      </c>
      <c r="H250" s="80">
        <v>60.9</v>
      </c>
      <c r="I250" s="80">
        <v>1005.61</v>
      </c>
      <c r="J250" s="79" t="s">
        <v>2835</v>
      </c>
      <c r="K250" s="79" t="s">
        <v>3581</v>
      </c>
      <c r="L250" s="79" t="s">
        <v>3518</v>
      </c>
      <c r="M250" s="79" t="s">
        <v>3589</v>
      </c>
    </row>
    <row r="251" ht="135" spans="1:13">
      <c r="A251" s="79" t="s">
        <v>3578</v>
      </c>
      <c r="B251" s="79" t="s">
        <v>3590</v>
      </c>
      <c r="C251" s="79" t="s">
        <v>3591</v>
      </c>
      <c r="D251" s="79" t="s">
        <v>2844</v>
      </c>
      <c r="E251" s="79" t="s">
        <v>3591</v>
      </c>
      <c r="F251" s="80">
        <v>17.87</v>
      </c>
      <c r="G251" s="80">
        <v>3</v>
      </c>
      <c r="H251" s="80">
        <v>53.61</v>
      </c>
      <c r="I251" s="80">
        <v>1005.61</v>
      </c>
      <c r="J251" s="79" t="s">
        <v>2835</v>
      </c>
      <c r="K251" s="79" t="s">
        <v>3581</v>
      </c>
      <c r="L251" s="79" t="s">
        <v>3518</v>
      </c>
      <c r="M251" s="79" t="s">
        <v>3592</v>
      </c>
    </row>
    <row r="252" ht="120" spans="1:13">
      <c r="A252" s="79" t="s">
        <v>3593</v>
      </c>
      <c r="B252" s="79" t="s">
        <v>3594</v>
      </c>
      <c r="C252" s="79" t="s">
        <v>3595</v>
      </c>
      <c r="D252" s="79" t="s">
        <v>3119</v>
      </c>
      <c r="E252" s="79" t="s">
        <v>3595</v>
      </c>
      <c r="F252" s="80">
        <v>1.88</v>
      </c>
      <c r="G252" s="80">
        <v>10</v>
      </c>
      <c r="H252" s="80">
        <v>18.8</v>
      </c>
      <c r="I252" s="80">
        <v>266.88</v>
      </c>
      <c r="J252" s="79" t="s">
        <v>2835</v>
      </c>
      <c r="K252" s="79" t="s">
        <v>3596</v>
      </c>
      <c r="L252" s="79" t="s">
        <v>3518</v>
      </c>
      <c r="M252" s="79" t="s">
        <v>3597</v>
      </c>
    </row>
    <row r="253" ht="180" spans="1:13">
      <c r="A253" s="79" t="s">
        <v>3593</v>
      </c>
      <c r="B253" s="79" t="s">
        <v>3598</v>
      </c>
      <c r="C253" s="79" t="s">
        <v>3599</v>
      </c>
      <c r="D253" s="79" t="s">
        <v>3600</v>
      </c>
      <c r="E253" s="79" t="s">
        <v>3599</v>
      </c>
      <c r="F253" s="80">
        <v>228.18</v>
      </c>
      <c r="G253" s="80">
        <v>1</v>
      </c>
      <c r="H253" s="80">
        <v>228.18</v>
      </c>
      <c r="I253" s="80">
        <v>266.88</v>
      </c>
      <c r="J253" s="79" t="s">
        <v>2835</v>
      </c>
      <c r="K253" s="79" t="s">
        <v>3596</v>
      </c>
      <c r="L253" s="79" t="s">
        <v>3518</v>
      </c>
      <c r="M253" s="79" t="s">
        <v>3601</v>
      </c>
    </row>
    <row r="254" ht="150" spans="1:13">
      <c r="A254" s="79" t="s">
        <v>3593</v>
      </c>
      <c r="B254" s="79" t="s">
        <v>3602</v>
      </c>
      <c r="C254" s="79" t="s">
        <v>3603</v>
      </c>
      <c r="D254" s="79" t="s">
        <v>3604</v>
      </c>
      <c r="E254" s="79" t="s">
        <v>3603</v>
      </c>
      <c r="F254" s="80">
        <v>1.99</v>
      </c>
      <c r="G254" s="80">
        <v>10</v>
      </c>
      <c r="H254" s="80">
        <v>19.9</v>
      </c>
      <c r="I254" s="80">
        <v>266.88</v>
      </c>
      <c r="J254" s="79" t="s">
        <v>2835</v>
      </c>
      <c r="K254" s="79" t="s">
        <v>3596</v>
      </c>
      <c r="L254" s="79" t="s">
        <v>3518</v>
      </c>
      <c r="M254" s="79" t="s">
        <v>3605</v>
      </c>
    </row>
    <row r="255" ht="225" spans="1:13">
      <c r="A255" s="79" t="s">
        <v>3606</v>
      </c>
      <c r="B255" s="79" t="s">
        <v>2907</v>
      </c>
      <c r="C255" s="79" t="s">
        <v>2908</v>
      </c>
      <c r="D255" s="79" t="s">
        <v>2909</v>
      </c>
      <c r="E255" s="79" t="s">
        <v>2910</v>
      </c>
      <c r="F255" s="80">
        <v>0.22</v>
      </c>
      <c r="G255" s="80">
        <v>8000</v>
      </c>
      <c r="H255" s="80">
        <v>1760</v>
      </c>
      <c r="I255" s="80">
        <v>1760</v>
      </c>
      <c r="J255" s="79" t="s">
        <v>2911</v>
      </c>
      <c r="K255" s="79" t="s">
        <v>3607</v>
      </c>
      <c r="L255" s="79" t="s">
        <v>3518</v>
      </c>
      <c r="M255" s="79" t="s">
        <v>3608</v>
      </c>
    </row>
    <row r="256" ht="150" spans="1:13">
      <c r="A256" s="79" t="s">
        <v>3609</v>
      </c>
      <c r="B256" s="79" t="s">
        <v>2881</v>
      </c>
      <c r="C256" s="79" t="s">
        <v>2882</v>
      </c>
      <c r="D256" s="79" t="s">
        <v>2883</v>
      </c>
      <c r="E256" s="79" t="s">
        <v>2884</v>
      </c>
      <c r="F256" s="80">
        <v>33</v>
      </c>
      <c r="G256" s="80">
        <v>15</v>
      </c>
      <c r="H256" s="80">
        <v>495</v>
      </c>
      <c r="I256" s="80">
        <v>726.6</v>
      </c>
      <c r="J256" s="79" t="s">
        <v>2868</v>
      </c>
      <c r="K256" s="79" t="s">
        <v>3610</v>
      </c>
      <c r="L256" s="79" t="s">
        <v>3518</v>
      </c>
      <c r="M256" s="79" t="s">
        <v>3611</v>
      </c>
    </row>
    <row r="257" ht="210" spans="1:13">
      <c r="A257" s="79" t="s">
        <v>3609</v>
      </c>
      <c r="B257" s="79" t="s">
        <v>3255</v>
      </c>
      <c r="C257" s="79" t="s">
        <v>3256</v>
      </c>
      <c r="D257" s="79" t="s">
        <v>2883</v>
      </c>
      <c r="E257" s="79" t="s">
        <v>3257</v>
      </c>
      <c r="F257" s="80">
        <v>7.72</v>
      </c>
      <c r="G257" s="80">
        <v>30</v>
      </c>
      <c r="H257" s="80">
        <v>231.6</v>
      </c>
      <c r="I257" s="80">
        <v>726.6</v>
      </c>
      <c r="J257" s="79" t="s">
        <v>2868</v>
      </c>
      <c r="K257" s="79" t="s">
        <v>3610</v>
      </c>
      <c r="L257" s="79" t="s">
        <v>3518</v>
      </c>
      <c r="M257" s="79" t="s">
        <v>3612</v>
      </c>
    </row>
    <row r="258" ht="120" spans="1:13">
      <c r="A258" s="79" t="s">
        <v>3613</v>
      </c>
      <c r="B258" s="79" t="s">
        <v>3522</v>
      </c>
      <c r="C258" s="79" t="s">
        <v>3523</v>
      </c>
      <c r="D258" s="79" t="s">
        <v>3524</v>
      </c>
      <c r="E258" s="79" t="s">
        <v>1675</v>
      </c>
      <c r="F258" s="80">
        <v>749.75</v>
      </c>
      <c r="G258" s="80">
        <v>1</v>
      </c>
      <c r="H258" s="80">
        <v>749.75</v>
      </c>
      <c r="I258" s="80">
        <v>7801.03</v>
      </c>
      <c r="J258" s="79" t="s">
        <v>3525</v>
      </c>
      <c r="K258" s="79" t="s">
        <v>3614</v>
      </c>
      <c r="L258" s="79" t="s">
        <v>3518</v>
      </c>
      <c r="M258" s="79" t="s">
        <v>3615</v>
      </c>
    </row>
    <row r="259" ht="120" spans="1:13">
      <c r="A259" s="79" t="s">
        <v>3613</v>
      </c>
      <c r="B259" s="79" t="s">
        <v>3522</v>
      </c>
      <c r="C259" s="79" t="s">
        <v>3523</v>
      </c>
      <c r="D259" s="79" t="s">
        <v>3524</v>
      </c>
      <c r="E259" s="79" t="s">
        <v>1675</v>
      </c>
      <c r="F259" s="80">
        <v>22.62</v>
      </c>
      <c r="G259" s="80">
        <v>1</v>
      </c>
      <c r="H259" s="80">
        <v>22.62</v>
      </c>
      <c r="I259" s="80">
        <v>7801.03</v>
      </c>
      <c r="J259" s="79" t="s">
        <v>3525</v>
      </c>
      <c r="K259" s="79" t="s">
        <v>3614</v>
      </c>
      <c r="L259" s="79" t="s">
        <v>3518</v>
      </c>
      <c r="M259" s="79" t="s">
        <v>3616</v>
      </c>
    </row>
    <row r="260" ht="120" spans="1:13">
      <c r="A260" s="79" t="s">
        <v>3613</v>
      </c>
      <c r="B260" s="79" t="s">
        <v>3522</v>
      </c>
      <c r="C260" s="79" t="s">
        <v>3523</v>
      </c>
      <c r="D260" s="79" t="s">
        <v>3524</v>
      </c>
      <c r="E260" s="79" t="s">
        <v>1675</v>
      </c>
      <c r="F260" s="80">
        <v>403.08</v>
      </c>
      <c r="G260" s="80">
        <v>1</v>
      </c>
      <c r="H260" s="80">
        <v>403.08</v>
      </c>
      <c r="I260" s="80">
        <v>7801.03</v>
      </c>
      <c r="J260" s="79" t="s">
        <v>3525</v>
      </c>
      <c r="K260" s="79" t="s">
        <v>3614</v>
      </c>
      <c r="L260" s="79" t="s">
        <v>3518</v>
      </c>
      <c r="M260" s="79" t="s">
        <v>3617</v>
      </c>
    </row>
    <row r="261" ht="120" spans="1:13">
      <c r="A261" s="79" t="s">
        <v>3613</v>
      </c>
      <c r="B261" s="79" t="s">
        <v>3522</v>
      </c>
      <c r="C261" s="79" t="s">
        <v>3523</v>
      </c>
      <c r="D261" s="79" t="s">
        <v>3524</v>
      </c>
      <c r="E261" s="79" t="s">
        <v>1675</v>
      </c>
      <c r="F261" s="80">
        <v>6625.58</v>
      </c>
      <c r="G261" s="80">
        <v>1</v>
      </c>
      <c r="H261" s="80">
        <v>6625.58</v>
      </c>
      <c r="I261" s="80">
        <v>7801.03</v>
      </c>
      <c r="J261" s="79" t="s">
        <v>3525</v>
      </c>
      <c r="K261" s="79" t="s">
        <v>3614</v>
      </c>
      <c r="L261" s="79" t="s">
        <v>3518</v>
      </c>
      <c r="M261" s="79" t="s">
        <v>3618</v>
      </c>
    </row>
    <row r="262" ht="120" spans="1:13">
      <c r="A262" s="79" t="s">
        <v>3619</v>
      </c>
      <c r="B262" s="79" t="s">
        <v>3522</v>
      </c>
      <c r="C262" s="79" t="s">
        <v>3523</v>
      </c>
      <c r="D262" s="79" t="s">
        <v>3524</v>
      </c>
      <c r="E262" s="79" t="s">
        <v>1675</v>
      </c>
      <c r="F262" s="80">
        <v>1933.78</v>
      </c>
      <c r="G262" s="80">
        <v>1</v>
      </c>
      <c r="H262" s="80">
        <v>1933.78</v>
      </c>
      <c r="I262" s="80">
        <v>9699.14</v>
      </c>
      <c r="J262" s="79" t="s">
        <v>3525</v>
      </c>
      <c r="K262" s="79" t="s">
        <v>3620</v>
      </c>
      <c r="L262" s="79" t="s">
        <v>3518</v>
      </c>
      <c r="M262" s="79" t="s">
        <v>3621</v>
      </c>
    </row>
    <row r="263" ht="120" spans="1:13">
      <c r="A263" s="79" t="s">
        <v>3619</v>
      </c>
      <c r="B263" s="79" t="s">
        <v>3522</v>
      </c>
      <c r="C263" s="79" t="s">
        <v>3523</v>
      </c>
      <c r="D263" s="79" t="s">
        <v>3524</v>
      </c>
      <c r="E263" s="79" t="s">
        <v>1675</v>
      </c>
      <c r="F263" s="80">
        <v>293.2</v>
      </c>
      <c r="G263" s="80">
        <v>1</v>
      </c>
      <c r="H263" s="80">
        <v>293.2</v>
      </c>
      <c r="I263" s="80">
        <v>9699.14</v>
      </c>
      <c r="J263" s="79" t="s">
        <v>3525</v>
      </c>
      <c r="K263" s="79" t="s">
        <v>3620</v>
      </c>
      <c r="L263" s="79" t="s">
        <v>3518</v>
      </c>
      <c r="M263" s="79" t="s">
        <v>3622</v>
      </c>
    </row>
    <row r="264" ht="120" spans="1:13">
      <c r="A264" s="79" t="s">
        <v>3619</v>
      </c>
      <c r="B264" s="79" t="s">
        <v>3522</v>
      </c>
      <c r="C264" s="79" t="s">
        <v>3523</v>
      </c>
      <c r="D264" s="79" t="s">
        <v>3524</v>
      </c>
      <c r="E264" s="79" t="s">
        <v>1675</v>
      </c>
      <c r="F264" s="80">
        <v>1259.87</v>
      </c>
      <c r="G264" s="80">
        <v>1</v>
      </c>
      <c r="H264" s="80">
        <v>1259.87</v>
      </c>
      <c r="I264" s="80">
        <v>9699.14</v>
      </c>
      <c r="J264" s="79" t="s">
        <v>3525</v>
      </c>
      <c r="K264" s="79" t="s">
        <v>3620</v>
      </c>
      <c r="L264" s="79" t="s">
        <v>3518</v>
      </c>
      <c r="M264" s="79" t="s">
        <v>3623</v>
      </c>
    </row>
    <row r="265" ht="120" spans="1:13">
      <c r="A265" s="79" t="s">
        <v>3619</v>
      </c>
      <c r="B265" s="79" t="s">
        <v>3522</v>
      </c>
      <c r="C265" s="79" t="s">
        <v>3523</v>
      </c>
      <c r="D265" s="79" t="s">
        <v>3524</v>
      </c>
      <c r="E265" s="79" t="s">
        <v>1675</v>
      </c>
      <c r="F265" s="80">
        <v>6212.29</v>
      </c>
      <c r="G265" s="80">
        <v>1</v>
      </c>
      <c r="H265" s="80">
        <v>6212.29</v>
      </c>
      <c r="I265" s="80">
        <v>9699.14</v>
      </c>
      <c r="J265" s="79" t="s">
        <v>3525</v>
      </c>
      <c r="K265" s="79" t="s">
        <v>3620</v>
      </c>
      <c r="L265" s="79" t="s">
        <v>3518</v>
      </c>
      <c r="M265" s="79" t="s">
        <v>3624</v>
      </c>
    </row>
    <row r="266" ht="120" spans="1:13">
      <c r="A266" s="79" t="s">
        <v>3625</v>
      </c>
      <c r="B266" s="79" t="s">
        <v>3626</v>
      </c>
      <c r="C266" s="79" t="s">
        <v>3627</v>
      </c>
      <c r="D266" s="79" t="s">
        <v>3050</v>
      </c>
      <c r="E266" s="79" t="s">
        <v>3627</v>
      </c>
      <c r="F266" s="80">
        <v>61.88</v>
      </c>
      <c r="G266" s="80">
        <v>1</v>
      </c>
      <c r="H266" s="80">
        <v>61.88</v>
      </c>
      <c r="I266" s="80">
        <v>308.74</v>
      </c>
      <c r="J266" s="79" t="s">
        <v>2835</v>
      </c>
      <c r="K266" s="79" t="s">
        <v>3628</v>
      </c>
      <c r="L266" s="79" t="s">
        <v>3518</v>
      </c>
      <c r="M266" s="79" t="s">
        <v>3629</v>
      </c>
    </row>
    <row r="267" ht="195" spans="1:13">
      <c r="A267" s="79" t="s">
        <v>3625</v>
      </c>
      <c r="B267" s="79" t="s">
        <v>3630</v>
      </c>
      <c r="C267" s="79" t="s">
        <v>3631</v>
      </c>
      <c r="D267" s="79" t="s">
        <v>3632</v>
      </c>
      <c r="E267" s="79" t="s">
        <v>3631</v>
      </c>
      <c r="F267" s="80">
        <v>136.41</v>
      </c>
      <c r="G267" s="80">
        <v>1</v>
      </c>
      <c r="H267" s="80">
        <v>136.41</v>
      </c>
      <c r="I267" s="80">
        <v>308.74</v>
      </c>
      <c r="J267" s="79" t="s">
        <v>2835</v>
      </c>
      <c r="K267" s="79" t="s">
        <v>3628</v>
      </c>
      <c r="L267" s="79" t="s">
        <v>3518</v>
      </c>
      <c r="M267" s="79" t="s">
        <v>3633</v>
      </c>
    </row>
    <row r="268" ht="165" spans="1:13">
      <c r="A268" s="79" t="s">
        <v>3625</v>
      </c>
      <c r="B268" s="79" t="s">
        <v>3634</v>
      </c>
      <c r="C268" s="79" t="s">
        <v>3635</v>
      </c>
      <c r="D268" s="79" t="s">
        <v>3636</v>
      </c>
      <c r="E268" s="79" t="s">
        <v>3635</v>
      </c>
      <c r="F268" s="80">
        <v>81.51</v>
      </c>
      <c r="G268" s="80">
        <v>1</v>
      </c>
      <c r="H268" s="80">
        <v>81.51</v>
      </c>
      <c r="I268" s="80">
        <v>308.74</v>
      </c>
      <c r="J268" s="79" t="s">
        <v>2835</v>
      </c>
      <c r="K268" s="79" t="s">
        <v>3628</v>
      </c>
      <c r="L268" s="79" t="s">
        <v>3518</v>
      </c>
      <c r="M268" s="79" t="s">
        <v>3637</v>
      </c>
    </row>
    <row r="269" ht="120" spans="1:13">
      <c r="A269" s="79" t="s">
        <v>3625</v>
      </c>
      <c r="B269" s="79" t="s">
        <v>3638</v>
      </c>
      <c r="C269" s="79" t="s">
        <v>3639</v>
      </c>
      <c r="D269" s="79" t="s">
        <v>3640</v>
      </c>
      <c r="E269" s="79" t="s">
        <v>3639</v>
      </c>
      <c r="F269" s="80">
        <v>27.12</v>
      </c>
      <c r="G269" s="80">
        <v>1</v>
      </c>
      <c r="H269" s="80">
        <v>27.12</v>
      </c>
      <c r="I269" s="80">
        <v>308.74</v>
      </c>
      <c r="J269" s="79" t="s">
        <v>2835</v>
      </c>
      <c r="K269" s="79" t="s">
        <v>3628</v>
      </c>
      <c r="L269" s="79" t="s">
        <v>3518</v>
      </c>
      <c r="M269" s="79" t="s">
        <v>3641</v>
      </c>
    </row>
    <row r="270" ht="120" spans="1:13">
      <c r="A270" s="79" t="s">
        <v>3625</v>
      </c>
      <c r="B270" s="79" t="s">
        <v>3642</v>
      </c>
      <c r="C270" s="79" t="s">
        <v>3643</v>
      </c>
      <c r="D270" s="79" t="s">
        <v>3644</v>
      </c>
      <c r="E270" s="79" t="s">
        <v>3643</v>
      </c>
      <c r="F270" s="80">
        <v>1.82</v>
      </c>
      <c r="G270" s="80">
        <v>1</v>
      </c>
      <c r="H270" s="80">
        <v>1.82</v>
      </c>
      <c r="I270" s="80">
        <v>308.74</v>
      </c>
      <c r="J270" s="79" t="s">
        <v>2835</v>
      </c>
      <c r="K270" s="79" t="s">
        <v>3628</v>
      </c>
      <c r="L270" s="79" t="s">
        <v>3518</v>
      </c>
      <c r="M270" s="79" t="s">
        <v>3645</v>
      </c>
    </row>
    <row r="271" ht="135" spans="1:13">
      <c r="A271" s="79" t="s">
        <v>3646</v>
      </c>
      <c r="B271" s="79" t="s">
        <v>3647</v>
      </c>
      <c r="C271" s="79" t="s">
        <v>3648</v>
      </c>
      <c r="D271" s="79" t="s">
        <v>3649</v>
      </c>
      <c r="E271" s="79" t="s">
        <v>3650</v>
      </c>
      <c r="F271" s="80">
        <v>72</v>
      </c>
      <c r="G271" s="80">
        <v>2</v>
      </c>
      <c r="H271" s="80">
        <v>144</v>
      </c>
      <c r="I271" s="80">
        <v>288</v>
      </c>
      <c r="J271" s="79" t="s">
        <v>3461</v>
      </c>
      <c r="K271" s="79" t="s">
        <v>3651</v>
      </c>
      <c r="L271" s="79" t="s">
        <v>3518</v>
      </c>
      <c r="M271" s="79" t="s">
        <v>3652</v>
      </c>
    </row>
    <row r="272" ht="135" spans="1:13">
      <c r="A272" s="79" t="s">
        <v>3646</v>
      </c>
      <c r="B272" s="79" t="s">
        <v>3653</v>
      </c>
      <c r="C272" s="79" t="s">
        <v>3654</v>
      </c>
      <c r="D272" s="79" t="s">
        <v>3649</v>
      </c>
      <c r="E272" s="79" t="s">
        <v>3655</v>
      </c>
      <c r="F272" s="80">
        <v>72</v>
      </c>
      <c r="G272" s="80">
        <v>2</v>
      </c>
      <c r="H272" s="80">
        <v>144</v>
      </c>
      <c r="I272" s="80">
        <v>288</v>
      </c>
      <c r="J272" s="79" t="s">
        <v>3461</v>
      </c>
      <c r="K272" s="79" t="s">
        <v>3651</v>
      </c>
      <c r="L272" s="79" t="s">
        <v>3518</v>
      </c>
      <c r="M272" s="79" t="s">
        <v>3656</v>
      </c>
    </row>
    <row r="273" ht="165" spans="1:13">
      <c r="A273" s="79" t="s">
        <v>3657</v>
      </c>
      <c r="B273" s="79" t="s">
        <v>3658</v>
      </c>
      <c r="C273" s="79" t="s">
        <v>3659</v>
      </c>
      <c r="D273" s="79" t="s">
        <v>2840</v>
      </c>
      <c r="E273" s="79" t="s">
        <v>3659</v>
      </c>
      <c r="F273" s="80">
        <v>54.57</v>
      </c>
      <c r="G273" s="80">
        <v>30</v>
      </c>
      <c r="H273" s="80">
        <v>1637.1</v>
      </c>
      <c r="I273" s="80">
        <v>6357.1</v>
      </c>
      <c r="J273" s="79" t="s">
        <v>3660</v>
      </c>
      <c r="K273" s="79" t="s">
        <v>3661</v>
      </c>
      <c r="L273" s="79" t="s">
        <v>3518</v>
      </c>
      <c r="M273" s="79" t="s">
        <v>3662</v>
      </c>
    </row>
    <row r="274" ht="120" spans="1:13">
      <c r="A274" s="79" t="s">
        <v>3657</v>
      </c>
      <c r="B274" s="79" t="s">
        <v>3663</v>
      </c>
      <c r="C274" s="79" t="s">
        <v>3664</v>
      </c>
      <c r="D274" s="79" t="s">
        <v>2840</v>
      </c>
      <c r="E274" s="79" t="s">
        <v>3664</v>
      </c>
      <c r="F274" s="80">
        <v>23.6</v>
      </c>
      <c r="G274" s="80">
        <v>200</v>
      </c>
      <c r="H274" s="80">
        <v>4720</v>
      </c>
      <c r="I274" s="80">
        <v>6357.1</v>
      </c>
      <c r="J274" s="79" t="s">
        <v>3660</v>
      </c>
      <c r="K274" s="79" t="s">
        <v>3661</v>
      </c>
      <c r="L274" s="79" t="s">
        <v>3518</v>
      </c>
      <c r="M274" s="79" t="s">
        <v>3665</v>
      </c>
    </row>
    <row r="275" ht="210" spans="1:13">
      <c r="A275" s="79" t="s">
        <v>3666</v>
      </c>
      <c r="B275" s="79" t="s">
        <v>3493</v>
      </c>
      <c r="C275" s="79" t="s">
        <v>3494</v>
      </c>
      <c r="D275" s="79" t="s">
        <v>2958</v>
      </c>
      <c r="E275" s="79" t="s">
        <v>1770</v>
      </c>
      <c r="F275" s="80">
        <v>9</v>
      </c>
      <c r="G275" s="80">
        <v>32</v>
      </c>
      <c r="H275" s="80">
        <v>288</v>
      </c>
      <c r="I275" s="80">
        <v>1142.5</v>
      </c>
      <c r="J275" s="79" t="s">
        <v>2868</v>
      </c>
      <c r="K275" s="79" t="s">
        <v>3667</v>
      </c>
      <c r="L275" s="79" t="s">
        <v>3518</v>
      </c>
      <c r="M275" s="79" t="s">
        <v>3668</v>
      </c>
    </row>
    <row r="276" ht="165" spans="1:13">
      <c r="A276" s="79" t="s">
        <v>3666</v>
      </c>
      <c r="B276" s="79" t="s">
        <v>3502</v>
      </c>
      <c r="C276" s="79" t="s">
        <v>3503</v>
      </c>
      <c r="D276" s="79" t="s">
        <v>2958</v>
      </c>
      <c r="E276" s="79" t="s">
        <v>1770</v>
      </c>
      <c r="F276" s="80">
        <v>10</v>
      </c>
      <c r="G276" s="80">
        <v>17</v>
      </c>
      <c r="H276" s="80">
        <v>170</v>
      </c>
      <c r="I276" s="80">
        <v>1142.5</v>
      </c>
      <c r="J276" s="79" t="s">
        <v>2868</v>
      </c>
      <c r="K276" s="79" t="s">
        <v>3667</v>
      </c>
      <c r="L276" s="79" t="s">
        <v>3518</v>
      </c>
      <c r="M276" s="79" t="s">
        <v>3669</v>
      </c>
    </row>
    <row r="277" ht="165" spans="1:13">
      <c r="A277" s="79" t="s">
        <v>3670</v>
      </c>
      <c r="B277" s="79" t="s">
        <v>3671</v>
      </c>
      <c r="C277" s="79" t="s">
        <v>3672</v>
      </c>
      <c r="D277" s="79" t="s">
        <v>2883</v>
      </c>
      <c r="E277" s="79" t="s">
        <v>3673</v>
      </c>
      <c r="F277" s="80">
        <v>21.1</v>
      </c>
      <c r="G277" s="80">
        <v>1</v>
      </c>
      <c r="H277" s="80">
        <v>21.1</v>
      </c>
      <c r="I277" s="80">
        <v>88.15</v>
      </c>
      <c r="J277" s="79" t="s">
        <v>2868</v>
      </c>
      <c r="K277" s="79" t="s">
        <v>3667</v>
      </c>
      <c r="L277" s="79" t="s">
        <v>3518</v>
      </c>
      <c r="M277" s="79" t="s">
        <v>3674</v>
      </c>
    </row>
    <row r="278" ht="120" spans="1:13">
      <c r="A278" s="79" t="s">
        <v>3670</v>
      </c>
      <c r="B278" s="79" t="s">
        <v>3077</v>
      </c>
      <c r="C278" s="79" t="s">
        <v>3078</v>
      </c>
      <c r="D278" s="79" t="s">
        <v>3008</v>
      </c>
      <c r="E278" s="79" t="s">
        <v>3079</v>
      </c>
      <c r="F278" s="80">
        <v>1.49</v>
      </c>
      <c r="G278" s="80">
        <v>45</v>
      </c>
      <c r="H278" s="80">
        <v>67.05</v>
      </c>
      <c r="I278" s="80">
        <v>88.15</v>
      </c>
      <c r="J278" s="79" t="s">
        <v>2868</v>
      </c>
      <c r="K278" s="79" t="s">
        <v>3667</v>
      </c>
      <c r="L278" s="79" t="s">
        <v>3518</v>
      </c>
      <c r="M278" s="79" t="s">
        <v>3675</v>
      </c>
    </row>
    <row r="279" ht="165" spans="1:13">
      <c r="A279" s="79" t="s">
        <v>3666</v>
      </c>
      <c r="B279" s="79" t="s">
        <v>3676</v>
      </c>
      <c r="C279" s="79" t="s">
        <v>3677</v>
      </c>
      <c r="D279" s="79" t="s">
        <v>2958</v>
      </c>
      <c r="E279" s="79" t="s">
        <v>1770</v>
      </c>
      <c r="F279" s="80">
        <v>18.5</v>
      </c>
      <c r="G279" s="80">
        <v>37</v>
      </c>
      <c r="H279" s="80">
        <v>684.5</v>
      </c>
      <c r="I279" s="80">
        <v>1142.5</v>
      </c>
      <c r="J279" s="79" t="s">
        <v>2868</v>
      </c>
      <c r="K279" s="79" t="s">
        <v>3667</v>
      </c>
      <c r="L279" s="79" t="s">
        <v>3518</v>
      </c>
      <c r="M279" s="79" t="s">
        <v>3678</v>
      </c>
    </row>
    <row r="280" ht="240" spans="1:13">
      <c r="A280" s="79" t="s">
        <v>3679</v>
      </c>
      <c r="B280" s="79" t="s">
        <v>3680</v>
      </c>
      <c r="C280" s="79" t="s">
        <v>3681</v>
      </c>
      <c r="D280" s="79" t="s">
        <v>2883</v>
      </c>
      <c r="E280" s="79" t="s">
        <v>2884</v>
      </c>
      <c r="F280" s="80">
        <v>23.52</v>
      </c>
      <c r="G280" s="80">
        <v>4</v>
      </c>
      <c r="H280" s="80">
        <v>94.08</v>
      </c>
      <c r="I280" s="80">
        <v>1642.68</v>
      </c>
      <c r="J280" s="79" t="s">
        <v>2868</v>
      </c>
      <c r="K280" s="79" t="s">
        <v>3682</v>
      </c>
      <c r="L280" s="79" t="s">
        <v>3518</v>
      </c>
      <c r="M280" s="79" t="s">
        <v>3683</v>
      </c>
    </row>
    <row r="281" ht="120" spans="1:13">
      <c r="A281" s="79" t="s">
        <v>3679</v>
      </c>
      <c r="B281" s="79" t="s">
        <v>3513</v>
      </c>
      <c r="C281" s="79" t="s">
        <v>3514</v>
      </c>
      <c r="D281" s="79" t="s">
        <v>2883</v>
      </c>
      <c r="E281" s="79" t="s">
        <v>2888</v>
      </c>
      <c r="F281" s="80">
        <v>14.06</v>
      </c>
      <c r="G281" s="80">
        <v>12</v>
      </c>
      <c r="H281" s="80">
        <v>168.72</v>
      </c>
      <c r="I281" s="80">
        <v>1642.68</v>
      </c>
      <c r="J281" s="79" t="s">
        <v>2868</v>
      </c>
      <c r="K281" s="79" t="s">
        <v>3682</v>
      </c>
      <c r="L281" s="79" t="s">
        <v>3518</v>
      </c>
      <c r="M281" s="79" t="s">
        <v>3684</v>
      </c>
    </row>
    <row r="282" ht="195" spans="1:13">
      <c r="A282" s="79" t="s">
        <v>3679</v>
      </c>
      <c r="B282" s="79" t="s">
        <v>3246</v>
      </c>
      <c r="C282" s="79" t="s">
        <v>3247</v>
      </c>
      <c r="D282" s="79" t="s">
        <v>2883</v>
      </c>
      <c r="E282" s="79" t="s">
        <v>3248</v>
      </c>
      <c r="F282" s="80">
        <v>23.32</v>
      </c>
      <c r="G282" s="80">
        <v>4</v>
      </c>
      <c r="H282" s="80">
        <v>93.28</v>
      </c>
      <c r="I282" s="80">
        <v>1642.68</v>
      </c>
      <c r="J282" s="79" t="s">
        <v>2868</v>
      </c>
      <c r="K282" s="79" t="s">
        <v>3682</v>
      </c>
      <c r="L282" s="79" t="s">
        <v>3518</v>
      </c>
      <c r="M282" s="79" t="s">
        <v>3685</v>
      </c>
    </row>
    <row r="283" ht="270" spans="1:13">
      <c r="A283" s="79" t="s">
        <v>3679</v>
      </c>
      <c r="B283" s="79" t="s">
        <v>3561</v>
      </c>
      <c r="C283" s="79" t="s">
        <v>3562</v>
      </c>
      <c r="D283" s="79" t="s">
        <v>2883</v>
      </c>
      <c r="E283" s="79" t="s">
        <v>3563</v>
      </c>
      <c r="F283" s="80">
        <v>20.79</v>
      </c>
      <c r="G283" s="80">
        <v>16</v>
      </c>
      <c r="H283" s="80">
        <v>332.64</v>
      </c>
      <c r="I283" s="80">
        <v>1642.68</v>
      </c>
      <c r="J283" s="79" t="s">
        <v>2868</v>
      </c>
      <c r="K283" s="79" t="s">
        <v>3682</v>
      </c>
      <c r="L283" s="79" t="s">
        <v>3518</v>
      </c>
      <c r="M283" s="79" t="s">
        <v>3686</v>
      </c>
    </row>
    <row r="284" ht="150" spans="1:13">
      <c r="A284" s="79" t="s">
        <v>3679</v>
      </c>
      <c r="B284" s="79" t="s">
        <v>3125</v>
      </c>
      <c r="C284" s="79" t="s">
        <v>3126</v>
      </c>
      <c r="D284" s="79" t="s">
        <v>2878</v>
      </c>
      <c r="E284" s="79" t="s">
        <v>2879</v>
      </c>
      <c r="F284" s="80">
        <v>5.2</v>
      </c>
      <c r="G284" s="80">
        <v>8</v>
      </c>
      <c r="H284" s="80">
        <v>41.6</v>
      </c>
      <c r="I284" s="80">
        <v>1642.68</v>
      </c>
      <c r="J284" s="79" t="s">
        <v>2868</v>
      </c>
      <c r="K284" s="79" t="s">
        <v>3682</v>
      </c>
      <c r="L284" s="79" t="s">
        <v>3518</v>
      </c>
      <c r="M284" s="79" t="s">
        <v>3687</v>
      </c>
    </row>
    <row r="285" ht="135" spans="1:13">
      <c r="A285" s="79" t="s">
        <v>3688</v>
      </c>
      <c r="B285" s="79" t="s">
        <v>3510</v>
      </c>
      <c r="C285" s="79" t="s">
        <v>3511</v>
      </c>
      <c r="D285" s="79" t="s">
        <v>3088</v>
      </c>
      <c r="E285" s="79" t="s">
        <v>3511</v>
      </c>
      <c r="F285" s="80">
        <v>3.64</v>
      </c>
      <c r="G285" s="80">
        <v>5</v>
      </c>
      <c r="H285" s="80">
        <v>18.2</v>
      </c>
      <c r="I285" s="80">
        <v>110.45</v>
      </c>
      <c r="J285" s="79" t="s">
        <v>2835</v>
      </c>
      <c r="K285" s="79" t="s">
        <v>3682</v>
      </c>
      <c r="L285" s="79" t="s">
        <v>3518</v>
      </c>
      <c r="M285" s="79" t="s">
        <v>3689</v>
      </c>
    </row>
    <row r="286" ht="180" spans="1:13">
      <c r="A286" s="79" t="s">
        <v>3688</v>
      </c>
      <c r="B286" s="79" t="s">
        <v>3690</v>
      </c>
      <c r="C286" s="79" t="s">
        <v>3691</v>
      </c>
      <c r="D286" s="79" t="s">
        <v>3692</v>
      </c>
      <c r="E286" s="79" t="s">
        <v>3691</v>
      </c>
      <c r="F286" s="80">
        <v>0.56</v>
      </c>
      <c r="G286" s="80">
        <v>15</v>
      </c>
      <c r="H286" s="80">
        <v>8.4</v>
      </c>
      <c r="I286" s="80">
        <v>110.45</v>
      </c>
      <c r="J286" s="79" t="s">
        <v>2835</v>
      </c>
      <c r="K286" s="79" t="s">
        <v>3682</v>
      </c>
      <c r="L286" s="79" t="s">
        <v>3518</v>
      </c>
      <c r="M286" s="79" t="s">
        <v>3693</v>
      </c>
    </row>
    <row r="287" ht="120" spans="1:13">
      <c r="A287" s="79" t="s">
        <v>3679</v>
      </c>
      <c r="B287" s="79" t="s">
        <v>2937</v>
      </c>
      <c r="C287" s="79" t="s">
        <v>2938</v>
      </c>
      <c r="D287" s="79" t="s">
        <v>2939</v>
      </c>
      <c r="E287" s="79" t="s">
        <v>2940</v>
      </c>
      <c r="F287" s="80">
        <v>30.66</v>
      </c>
      <c r="G287" s="80">
        <v>5</v>
      </c>
      <c r="H287" s="80">
        <v>153.3</v>
      </c>
      <c r="I287" s="80">
        <v>1642.68</v>
      </c>
      <c r="J287" s="79" t="s">
        <v>2868</v>
      </c>
      <c r="K287" s="79" t="s">
        <v>3682</v>
      </c>
      <c r="L287" s="79" t="s">
        <v>3518</v>
      </c>
      <c r="M287" s="79" t="s">
        <v>3694</v>
      </c>
    </row>
    <row r="288" ht="150" spans="1:13">
      <c r="A288" s="79" t="s">
        <v>3679</v>
      </c>
      <c r="B288" s="79" t="s">
        <v>2951</v>
      </c>
      <c r="C288" s="79" t="s">
        <v>2952</v>
      </c>
      <c r="D288" s="79" t="s">
        <v>2953</v>
      </c>
      <c r="E288" s="79" t="s">
        <v>2954</v>
      </c>
      <c r="F288" s="80">
        <v>3.1</v>
      </c>
      <c r="G288" s="80">
        <v>8</v>
      </c>
      <c r="H288" s="80">
        <v>24.8</v>
      </c>
      <c r="I288" s="80">
        <v>1642.68</v>
      </c>
      <c r="J288" s="79" t="s">
        <v>2868</v>
      </c>
      <c r="K288" s="79" t="s">
        <v>3682</v>
      </c>
      <c r="L288" s="79" t="s">
        <v>3518</v>
      </c>
      <c r="M288" s="79" t="s">
        <v>3695</v>
      </c>
    </row>
    <row r="289" ht="270" spans="1:13">
      <c r="A289" s="79" t="s">
        <v>3679</v>
      </c>
      <c r="B289" s="79" t="s">
        <v>3696</v>
      </c>
      <c r="C289" s="79" t="s">
        <v>3697</v>
      </c>
      <c r="D289" s="79" t="s">
        <v>2883</v>
      </c>
      <c r="E289" s="79" t="s">
        <v>2975</v>
      </c>
      <c r="F289" s="80">
        <v>25.7</v>
      </c>
      <c r="G289" s="80">
        <v>4</v>
      </c>
      <c r="H289" s="80">
        <v>102.8</v>
      </c>
      <c r="I289" s="80">
        <v>1642.68</v>
      </c>
      <c r="J289" s="79" t="s">
        <v>2868</v>
      </c>
      <c r="K289" s="79" t="s">
        <v>3682</v>
      </c>
      <c r="L289" s="79" t="s">
        <v>3518</v>
      </c>
      <c r="M289" s="79" t="s">
        <v>3698</v>
      </c>
    </row>
    <row r="290" ht="285" spans="1:13">
      <c r="A290" s="79" t="s">
        <v>3679</v>
      </c>
      <c r="B290" s="79" t="s">
        <v>3699</v>
      </c>
      <c r="C290" s="79" t="s">
        <v>3700</v>
      </c>
      <c r="D290" s="79" t="s">
        <v>2883</v>
      </c>
      <c r="E290" s="79" t="s">
        <v>3701</v>
      </c>
      <c r="F290" s="80">
        <v>56.84</v>
      </c>
      <c r="G290" s="80">
        <v>4</v>
      </c>
      <c r="H290" s="80">
        <v>227.36</v>
      </c>
      <c r="I290" s="80">
        <v>1642.68</v>
      </c>
      <c r="J290" s="79" t="s">
        <v>2868</v>
      </c>
      <c r="K290" s="79" t="s">
        <v>3682</v>
      </c>
      <c r="L290" s="79" t="s">
        <v>3518</v>
      </c>
      <c r="M290" s="79" t="s">
        <v>3702</v>
      </c>
    </row>
    <row r="291" ht="210" spans="1:13">
      <c r="A291" s="79" t="s">
        <v>3703</v>
      </c>
      <c r="B291" s="79" t="s">
        <v>3493</v>
      </c>
      <c r="C291" s="79" t="s">
        <v>3494</v>
      </c>
      <c r="D291" s="79" t="s">
        <v>2958</v>
      </c>
      <c r="E291" s="79" t="s">
        <v>1770</v>
      </c>
      <c r="F291" s="80">
        <v>9</v>
      </c>
      <c r="G291" s="80">
        <v>1</v>
      </c>
      <c r="H291" s="80">
        <v>9</v>
      </c>
      <c r="I291" s="80">
        <v>94.5</v>
      </c>
      <c r="J291" s="79" t="s">
        <v>2868</v>
      </c>
      <c r="K291" s="79" t="s">
        <v>3682</v>
      </c>
      <c r="L291" s="79" t="s">
        <v>3518</v>
      </c>
      <c r="M291" s="79" t="s">
        <v>3704</v>
      </c>
    </row>
    <row r="292" ht="240" spans="1:13">
      <c r="A292" s="79" t="s">
        <v>3679</v>
      </c>
      <c r="B292" s="79" t="s">
        <v>3505</v>
      </c>
      <c r="C292" s="79" t="s">
        <v>3506</v>
      </c>
      <c r="D292" s="79" t="s">
        <v>2867</v>
      </c>
      <c r="E292" s="79" t="s">
        <v>1742</v>
      </c>
      <c r="F292" s="80">
        <v>47.5</v>
      </c>
      <c r="G292" s="80">
        <v>4</v>
      </c>
      <c r="H292" s="80">
        <v>190</v>
      </c>
      <c r="I292" s="80">
        <v>1642.68</v>
      </c>
      <c r="J292" s="79" t="s">
        <v>2868</v>
      </c>
      <c r="K292" s="79" t="s">
        <v>3682</v>
      </c>
      <c r="L292" s="79" t="s">
        <v>3518</v>
      </c>
      <c r="M292" s="79" t="s">
        <v>3705</v>
      </c>
    </row>
    <row r="293" ht="165" spans="1:13">
      <c r="A293" s="79" t="s">
        <v>3703</v>
      </c>
      <c r="B293" s="79" t="s">
        <v>3676</v>
      </c>
      <c r="C293" s="79" t="s">
        <v>3677</v>
      </c>
      <c r="D293" s="79" t="s">
        <v>2958</v>
      </c>
      <c r="E293" s="79" t="s">
        <v>1770</v>
      </c>
      <c r="F293" s="80">
        <v>18.5</v>
      </c>
      <c r="G293" s="80">
        <v>3</v>
      </c>
      <c r="H293" s="80">
        <v>55.5</v>
      </c>
      <c r="I293" s="80">
        <v>94.5</v>
      </c>
      <c r="J293" s="79" t="s">
        <v>2868</v>
      </c>
      <c r="K293" s="79" t="s">
        <v>3682</v>
      </c>
      <c r="L293" s="79" t="s">
        <v>3518</v>
      </c>
      <c r="M293" s="79" t="s">
        <v>3706</v>
      </c>
    </row>
    <row r="294" ht="135" spans="1:13">
      <c r="A294" s="79" t="s">
        <v>3679</v>
      </c>
      <c r="B294" s="79" t="s">
        <v>3002</v>
      </c>
      <c r="C294" s="79" t="s">
        <v>3003</v>
      </c>
      <c r="D294" s="79" t="s">
        <v>2883</v>
      </c>
      <c r="E294" s="79" t="s">
        <v>3004</v>
      </c>
      <c r="F294" s="80">
        <v>21.5</v>
      </c>
      <c r="G294" s="80">
        <v>4</v>
      </c>
      <c r="H294" s="80">
        <v>86</v>
      </c>
      <c r="I294" s="80">
        <v>1642.68</v>
      </c>
      <c r="J294" s="79" t="s">
        <v>2868</v>
      </c>
      <c r="K294" s="79" t="s">
        <v>3682</v>
      </c>
      <c r="L294" s="79" t="s">
        <v>3518</v>
      </c>
      <c r="M294" s="79" t="s">
        <v>3707</v>
      </c>
    </row>
    <row r="295" ht="165" spans="1:13">
      <c r="A295" s="79" t="s">
        <v>3703</v>
      </c>
      <c r="B295" s="79" t="s">
        <v>3502</v>
      </c>
      <c r="C295" s="79" t="s">
        <v>3503</v>
      </c>
      <c r="D295" s="79" t="s">
        <v>2958</v>
      </c>
      <c r="E295" s="79" t="s">
        <v>1770</v>
      </c>
      <c r="F295" s="80">
        <v>10</v>
      </c>
      <c r="G295" s="80">
        <v>3</v>
      </c>
      <c r="H295" s="80">
        <v>30</v>
      </c>
      <c r="I295" s="80">
        <v>94.5</v>
      </c>
      <c r="J295" s="79" t="s">
        <v>2868</v>
      </c>
      <c r="K295" s="79" t="s">
        <v>3682</v>
      </c>
      <c r="L295" s="79" t="s">
        <v>3518</v>
      </c>
      <c r="M295" s="79" t="s">
        <v>3708</v>
      </c>
    </row>
    <row r="296" ht="120" spans="1:13">
      <c r="A296" s="79" t="s">
        <v>3679</v>
      </c>
      <c r="B296" s="79" t="s">
        <v>3077</v>
      </c>
      <c r="C296" s="79" t="s">
        <v>3078</v>
      </c>
      <c r="D296" s="79" t="s">
        <v>3008</v>
      </c>
      <c r="E296" s="79" t="s">
        <v>3079</v>
      </c>
      <c r="F296" s="80">
        <v>1.49</v>
      </c>
      <c r="G296" s="80">
        <v>10</v>
      </c>
      <c r="H296" s="80">
        <v>14.9</v>
      </c>
      <c r="I296" s="80">
        <v>1642.68</v>
      </c>
      <c r="J296" s="79" t="s">
        <v>2868</v>
      </c>
      <c r="K296" s="79" t="s">
        <v>3682</v>
      </c>
      <c r="L296" s="79" t="s">
        <v>3518</v>
      </c>
      <c r="M296" s="79" t="s">
        <v>3709</v>
      </c>
    </row>
    <row r="297" ht="120" spans="1:13">
      <c r="A297" s="79" t="s">
        <v>3688</v>
      </c>
      <c r="B297" s="79" t="s">
        <v>3710</v>
      </c>
      <c r="C297" s="79" t="s">
        <v>3711</v>
      </c>
      <c r="D297" s="79" t="s">
        <v>3712</v>
      </c>
      <c r="E297" s="79" t="s">
        <v>3711</v>
      </c>
      <c r="F297" s="80">
        <v>1.2</v>
      </c>
      <c r="G297" s="80">
        <v>20</v>
      </c>
      <c r="H297" s="80">
        <v>24</v>
      </c>
      <c r="I297" s="80">
        <v>110.45</v>
      </c>
      <c r="J297" s="79" t="s">
        <v>2835</v>
      </c>
      <c r="K297" s="79" t="s">
        <v>3682</v>
      </c>
      <c r="L297" s="79" t="s">
        <v>3518</v>
      </c>
      <c r="M297" s="79" t="s">
        <v>3713</v>
      </c>
    </row>
    <row r="298" ht="150" spans="1:13">
      <c r="A298" s="79" t="s">
        <v>3688</v>
      </c>
      <c r="B298" s="79" t="s">
        <v>3602</v>
      </c>
      <c r="C298" s="79" t="s">
        <v>3603</v>
      </c>
      <c r="D298" s="79" t="s">
        <v>3604</v>
      </c>
      <c r="E298" s="79" t="s">
        <v>3603</v>
      </c>
      <c r="F298" s="80">
        <v>1.99</v>
      </c>
      <c r="G298" s="80">
        <v>5</v>
      </c>
      <c r="H298" s="80">
        <v>9.95</v>
      </c>
      <c r="I298" s="80">
        <v>110.45</v>
      </c>
      <c r="J298" s="79" t="s">
        <v>2835</v>
      </c>
      <c r="K298" s="79" t="s">
        <v>3682</v>
      </c>
      <c r="L298" s="79" t="s">
        <v>3518</v>
      </c>
      <c r="M298" s="79" t="s">
        <v>3714</v>
      </c>
    </row>
    <row r="299" ht="165" spans="1:13">
      <c r="A299" s="79" t="s">
        <v>3679</v>
      </c>
      <c r="B299" s="79" t="s">
        <v>3715</v>
      </c>
      <c r="C299" s="79" t="s">
        <v>3716</v>
      </c>
      <c r="D299" s="79" t="s">
        <v>2883</v>
      </c>
      <c r="E299" s="79" t="s">
        <v>3215</v>
      </c>
      <c r="F299" s="80">
        <v>82.32</v>
      </c>
      <c r="G299" s="80">
        <v>1</v>
      </c>
      <c r="H299" s="80">
        <v>82.32</v>
      </c>
      <c r="I299" s="80">
        <v>1642.68</v>
      </c>
      <c r="J299" s="79" t="s">
        <v>2868</v>
      </c>
      <c r="K299" s="79" t="s">
        <v>3682</v>
      </c>
      <c r="L299" s="79" t="s">
        <v>3518</v>
      </c>
      <c r="M299" s="79" t="s">
        <v>3717</v>
      </c>
    </row>
    <row r="300" ht="210" spans="1:13">
      <c r="A300" s="79" t="s">
        <v>3679</v>
      </c>
      <c r="B300" s="79" t="s">
        <v>3255</v>
      </c>
      <c r="C300" s="79" t="s">
        <v>3256</v>
      </c>
      <c r="D300" s="79" t="s">
        <v>2883</v>
      </c>
      <c r="E300" s="79" t="s">
        <v>3257</v>
      </c>
      <c r="F300" s="80">
        <v>7.72</v>
      </c>
      <c r="G300" s="80">
        <v>4</v>
      </c>
      <c r="H300" s="80">
        <v>30.88</v>
      </c>
      <c r="I300" s="80">
        <v>1642.68</v>
      </c>
      <c r="J300" s="79" t="s">
        <v>2868</v>
      </c>
      <c r="K300" s="79" t="s">
        <v>3682</v>
      </c>
      <c r="L300" s="79" t="s">
        <v>3518</v>
      </c>
      <c r="M300" s="79" t="s">
        <v>3718</v>
      </c>
    </row>
    <row r="301" ht="180" spans="1:13">
      <c r="A301" s="79" t="s">
        <v>3688</v>
      </c>
      <c r="B301" s="79" t="s">
        <v>3497</v>
      </c>
      <c r="C301" s="79" t="s">
        <v>3498</v>
      </c>
      <c r="D301" s="79" t="s">
        <v>3088</v>
      </c>
      <c r="E301" s="79" t="s">
        <v>3498</v>
      </c>
      <c r="F301" s="80">
        <v>9.98</v>
      </c>
      <c r="G301" s="80">
        <v>5</v>
      </c>
      <c r="H301" s="80">
        <v>49.9</v>
      </c>
      <c r="I301" s="80">
        <v>110.45</v>
      </c>
      <c r="J301" s="79" t="s">
        <v>2835</v>
      </c>
      <c r="K301" s="79" t="s">
        <v>3682</v>
      </c>
      <c r="L301" s="79" t="s">
        <v>3518</v>
      </c>
      <c r="M301" s="79" t="s">
        <v>3719</v>
      </c>
    </row>
    <row r="302" ht="285" spans="1:13">
      <c r="A302" s="79" t="s">
        <v>3720</v>
      </c>
      <c r="B302" s="79" t="s">
        <v>2907</v>
      </c>
      <c r="C302" s="79" t="s">
        <v>2908</v>
      </c>
      <c r="D302" s="79" t="s">
        <v>2909</v>
      </c>
      <c r="E302" s="79" t="s">
        <v>2910</v>
      </c>
      <c r="F302" s="80">
        <v>0.22</v>
      </c>
      <c r="G302" s="80">
        <v>4000</v>
      </c>
      <c r="H302" s="80">
        <v>880</v>
      </c>
      <c r="I302" s="80">
        <v>880</v>
      </c>
      <c r="J302" s="79" t="s">
        <v>2911</v>
      </c>
      <c r="K302" s="79" t="s">
        <v>3721</v>
      </c>
      <c r="L302" s="79" t="s">
        <v>3722</v>
      </c>
      <c r="M302" s="79" t="s">
        <v>3723</v>
      </c>
    </row>
    <row r="303" ht="285" spans="1:13">
      <c r="A303" s="79" t="s">
        <v>3724</v>
      </c>
      <c r="B303" s="79" t="s">
        <v>3255</v>
      </c>
      <c r="C303" s="79" t="s">
        <v>3256</v>
      </c>
      <c r="D303" s="79" t="s">
        <v>2883</v>
      </c>
      <c r="E303" s="79" t="s">
        <v>3257</v>
      </c>
      <c r="F303" s="80">
        <v>7.72</v>
      </c>
      <c r="G303" s="80">
        <v>20</v>
      </c>
      <c r="H303" s="80">
        <v>154.4</v>
      </c>
      <c r="I303" s="80">
        <v>154.4</v>
      </c>
      <c r="J303" s="79" t="s">
        <v>2868</v>
      </c>
      <c r="K303" s="79" t="s">
        <v>3725</v>
      </c>
      <c r="L303" s="79" t="s">
        <v>3722</v>
      </c>
      <c r="M303" s="79" t="s">
        <v>3726</v>
      </c>
    </row>
    <row r="304" ht="285" spans="1:13">
      <c r="A304" s="79" t="s">
        <v>3727</v>
      </c>
      <c r="B304" s="79" t="s">
        <v>3522</v>
      </c>
      <c r="C304" s="79" t="s">
        <v>3523</v>
      </c>
      <c r="D304" s="79" t="s">
        <v>3524</v>
      </c>
      <c r="E304" s="79" t="s">
        <v>1675</v>
      </c>
      <c r="F304" s="80">
        <v>749.75</v>
      </c>
      <c r="G304" s="80">
        <v>1</v>
      </c>
      <c r="H304" s="80">
        <v>749.75</v>
      </c>
      <c r="I304" s="80">
        <v>7800.32</v>
      </c>
      <c r="J304" s="79" t="s">
        <v>3525</v>
      </c>
      <c r="K304" s="79" t="s">
        <v>3728</v>
      </c>
      <c r="L304" s="79" t="s">
        <v>3722</v>
      </c>
      <c r="M304" s="79" t="s">
        <v>3729</v>
      </c>
    </row>
    <row r="305" ht="285" spans="1:13">
      <c r="A305" s="79" t="s">
        <v>3727</v>
      </c>
      <c r="B305" s="79" t="s">
        <v>3522</v>
      </c>
      <c r="C305" s="79" t="s">
        <v>3523</v>
      </c>
      <c r="D305" s="79" t="s">
        <v>3524</v>
      </c>
      <c r="E305" s="79" t="s">
        <v>1675</v>
      </c>
      <c r="F305" s="80">
        <v>402.42</v>
      </c>
      <c r="G305" s="80">
        <v>1</v>
      </c>
      <c r="H305" s="80">
        <v>402.42</v>
      </c>
      <c r="I305" s="80">
        <v>7800.32</v>
      </c>
      <c r="J305" s="79" t="s">
        <v>3525</v>
      </c>
      <c r="K305" s="79" t="s">
        <v>3728</v>
      </c>
      <c r="L305" s="79" t="s">
        <v>3722</v>
      </c>
      <c r="M305" s="79" t="s">
        <v>3730</v>
      </c>
    </row>
    <row r="306" ht="285" spans="1:13">
      <c r="A306" s="79" t="s">
        <v>3727</v>
      </c>
      <c r="B306" s="79" t="s">
        <v>3522</v>
      </c>
      <c r="C306" s="79" t="s">
        <v>3523</v>
      </c>
      <c r="D306" s="79" t="s">
        <v>3524</v>
      </c>
      <c r="E306" s="79" t="s">
        <v>1675</v>
      </c>
      <c r="F306" s="80">
        <v>22.57</v>
      </c>
      <c r="G306" s="80">
        <v>1</v>
      </c>
      <c r="H306" s="80">
        <v>22.57</v>
      </c>
      <c r="I306" s="80">
        <v>7800.32</v>
      </c>
      <c r="J306" s="79" t="s">
        <v>3525</v>
      </c>
      <c r="K306" s="79" t="s">
        <v>3728</v>
      </c>
      <c r="L306" s="79" t="s">
        <v>3722</v>
      </c>
      <c r="M306" s="79" t="s">
        <v>3731</v>
      </c>
    </row>
    <row r="307" ht="285" spans="1:13">
      <c r="A307" s="79" t="s">
        <v>3727</v>
      </c>
      <c r="B307" s="79" t="s">
        <v>3522</v>
      </c>
      <c r="C307" s="79" t="s">
        <v>3523</v>
      </c>
      <c r="D307" s="79" t="s">
        <v>3524</v>
      </c>
      <c r="E307" s="79" t="s">
        <v>1675</v>
      </c>
      <c r="F307" s="80">
        <v>6625.58</v>
      </c>
      <c r="G307" s="80">
        <v>1</v>
      </c>
      <c r="H307" s="80">
        <v>6625.58</v>
      </c>
      <c r="I307" s="80">
        <v>7800.32</v>
      </c>
      <c r="J307" s="79" t="s">
        <v>3525</v>
      </c>
      <c r="K307" s="79" t="s">
        <v>3728</v>
      </c>
      <c r="L307" s="79" t="s">
        <v>3722</v>
      </c>
      <c r="M307" s="79" t="s">
        <v>3732</v>
      </c>
    </row>
    <row r="308" ht="285" spans="1:13">
      <c r="A308" s="79" t="s">
        <v>3733</v>
      </c>
      <c r="B308" s="79" t="s">
        <v>3734</v>
      </c>
      <c r="C308" s="79" t="s">
        <v>3735</v>
      </c>
      <c r="D308" s="79" t="s">
        <v>3736</v>
      </c>
      <c r="E308" s="79" t="s">
        <v>3735</v>
      </c>
      <c r="F308" s="80">
        <v>875.5</v>
      </c>
      <c r="G308" s="80">
        <v>1</v>
      </c>
      <c r="H308" s="80">
        <v>875.5</v>
      </c>
      <c r="I308" s="80">
        <v>875.5</v>
      </c>
      <c r="J308" s="79" t="s">
        <v>3737</v>
      </c>
      <c r="K308" s="79" t="s">
        <v>3738</v>
      </c>
      <c r="L308" s="79" t="s">
        <v>3722</v>
      </c>
      <c r="M308" s="79" t="s">
        <v>3739</v>
      </c>
    </row>
    <row r="309" ht="285" spans="1:13">
      <c r="A309" s="79" t="s">
        <v>3740</v>
      </c>
      <c r="B309" s="79" t="s">
        <v>3741</v>
      </c>
      <c r="C309" s="79" t="s">
        <v>3742</v>
      </c>
      <c r="D309" s="79" t="s">
        <v>3743</v>
      </c>
      <c r="E309" s="79" t="s">
        <v>3744</v>
      </c>
      <c r="F309" s="80">
        <v>5</v>
      </c>
      <c r="G309" s="80">
        <v>73</v>
      </c>
      <c r="H309" s="80">
        <v>365</v>
      </c>
      <c r="I309" s="80">
        <v>1779</v>
      </c>
      <c r="J309" s="79" t="s">
        <v>3745</v>
      </c>
      <c r="K309" s="79" t="s">
        <v>3746</v>
      </c>
      <c r="L309" s="79" t="s">
        <v>3722</v>
      </c>
      <c r="M309" s="79" t="s">
        <v>3747</v>
      </c>
    </row>
    <row r="310" ht="285" spans="1:13">
      <c r="A310" s="79" t="s">
        <v>3740</v>
      </c>
      <c r="B310" s="79" t="s">
        <v>3748</v>
      </c>
      <c r="C310" s="79" t="s">
        <v>3749</v>
      </c>
      <c r="D310" s="79" t="s">
        <v>3743</v>
      </c>
      <c r="E310" s="79" t="s">
        <v>3750</v>
      </c>
      <c r="F310" s="80">
        <v>230</v>
      </c>
      <c r="G310" s="80">
        <v>3</v>
      </c>
      <c r="H310" s="80">
        <v>690</v>
      </c>
      <c r="I310" s="80">
        <v>1779</v>
      </c>
      <c r="J310" s="79" t="s">
        <v>3745</v>
      </c>
      <c r="K310" s="79" t="s">
        <v>3746</v>
      </c>
      <c r="L310" s="79" t="s">
        <v>3722</v>
      </c>
      <c r="M310" s="79" t="s">
        <v>3751</v>
      </c>
    </row>
    <row r="311" ht="285" spans="1:13">
      <c r="A311" s="79" t="s">
        <v>3740</v>
      </c>
      <c r="B311" s="79" t="s">
        <v>3752</v>
      </c>
      <c r="C311" s="79" t="s">
        <v>3753</v>
      </c>
      <c r="D311" s="79" t="s">
        <v>3743</v>
      </c>
      <c r="E311" s="79" t="s">
        <v>3750</v>
      </c>
      <c r="F311" s="80">
        <v>93</v>
      </c>
      <c r="G311" s="80">
        <v>4</v>
      </c>
      <c r="H311" s="80">
        <v>372</v>
      </c>
      <c r="I311" s="80">
        <v>1779</v>
      </c>
      <c r="J311" s="79" t="s">
        <v>3745</v>
      </c>
      <c r="K311" s="79" t="s">
        <v>3746</v>
      </c>
      <c r="L311" s="79" t="s">
        <v>3722</v>
      </c>
      <c r="M311" s="79" t="s">
        <v>3754</v>
      </c>
    </row>
    <row r="312" ht="285" spans="1:13">
      <c r="A312" s="79" t="s">
        <v>3740</v>
      </c>
      <c r="B312" s="79" t="s">
        <v>3755</v>
      </c>
      <c r="C312" s="79" t="s">
        <v>3756</v>
      </c>
      <c r="D312" s="79" t="s">
        <v>3757</v>
      </c>
      <c r="E312" s="79" t="s">
        <v>3758</v>
      </c>
      <c r="F312" s="80">
        <v>1</v>
      </c>
      <c r="G312" s="80">
        <v>2</v>
      </c>
      <c r="H312" s="80">
        <v>2</v>
      </c>
      <c r="I312" s="80">
        <v>1779</v>
      </c>
      <c r="J312" s="79" t="s">
        <v>3745</v>
      </c>
      <c r="K312" s="79" t="s">
        <v>3746</v>
      </c>
      <c r="L312" s="79" t="s">
        <v>3722</v>
      </c>
      <c r="M312" s="79" t="s">
        <v>3759</v>
      </c>
    </row>
    <row r="313" ht="285" spans="1:13">
      <c r="A313" s="79" t="s">
        <v>3740</v>
      </c>
      <c r="B313" s="79" t="s">
        <v>3760</v>
      </c>
      <c r="C313" s="79" t="s">
        <v>3761</v>
      </c>
      <c r="D313" s="79" t="s">
        <v>3743</v>
      </c>
      <c r="E313" s="79" t="s">
        <v>3750</v>
      </c>
      <c r="F313" s="80">
        <v>35</v>
      </c>
      <c r="G313" s="80">
        <v>10</v>
      </c>
      <c r="H313" s="80">
        <v>350</v>
      </c>
      <c r="I313" s="80">
        <v>1779</v>
      </c>
      <c r="J313" s="79" t="s">
        <v>3745</v>
      </c>
      <c r="K313" s="79" t="s">
        <v>3746</v>
      </c>
      <c r="L313" s="79" t="s">
        <v>3722</v>
      </c>
      <c r="M313" s="79" t="s">
        <v>3762</v>
      </c>
    </row>
    <row r="314" ht="285" spans="1:13">
      <c r="A314" s="79" t="s">
        <v>3763</v>
      </c>
      <c r="B314" s="79" t="s">
        <v>3764</v>
      </c>
      <c r="C314" s="79" t="s">
        <v>3765</v>
      </c>
      <c r="D314" s="79" t="s">
        <v>3766</v>
      </c>
      <c r="E314" s="79" t="s">
        <v>3767</v>
      </c>
      <c r="F314" s="80">
        <v>9.9</v>
      </c>
      <c r="G314" s="80">
        <v>10</v>
      </c>
      <c r="H314" s="80">
        <v>99</v>
      </c>
      <c r="I314" s="80">
        <v>773.94</v>
      </c>
      <c r="J314" s="79" t="s">
        <v>3768</v>
      </c>
      <c r="K314" s="79" t="s">
        <v>3769</v>
      </c>
      <c r="L314" s="79" t="s">
        <v>3722</v>
      </c>
      <c r="M314" s="79" t="s">
        <v>3770</v>
      </c>
    </row>
    <row r="315" ht="285" spans="1:13">
      <c r="A315" s="79" t="s">
        <v>3771</v>
      </c>
      <c r="B315" s="79" t="s">
        <v>3772</v>
      </c>
      <c r="C315" s="79" t="s">
        <v>3773</v>
      </c>
      <c r="D315" s="79" t="s">
        <v>3774</v>
      </c>
      <c r="E315" s="79" t="s">
        <v>3775</v>
      </c>
      <c r="F315" s="80">
        <v>38.71</v>
      </c>
      <c r="G315" s="80">
        <v>28</v>
      </c>
      <c r="H315" s="80">
        <v>1083.88</v>
      </c>
      <c r="I315" s="80">
        <v>3750.78</v>
      </c>
      <c r="J315" s="79" t="s">
        <v>3776</v>
      </c>
      <c r="K315" s="79" t="s">
        <v>3769</v>
      </c>
      <c r="L315" s="79" t="s">
        <v>3722</v>
      </c>
      <c r="M315" s="79" t="s">
        <v>3777</v>
      </c>
    </row>
    <row r="316" ht="285" spans="1:13">
      <c r="A316" s="79" t="s">
        <v>3778</v>
      </c>
      <c r="B316" s="79" t="s">
        <v>3779</v>
      </c>
      <c r="C316" s="79" t="s">
        <v>3780</v>
      </c>
      <c r="D316" s="79" t="s">
        <v>2958</v>
      </c>
      <c r="E316" s="79" t="s">
        <v>1770</v>
      </c>
      <c r="F316" s="80">
        <v>0.07</v>
      </c>
      <c r="G316" s="80">
        <v>6000</v>
      </c>
      <c r="H316" s="80">
        <v>420</v>
      </c>
      <c r="I316" s="80">
        <v>5475</v>
      </c>
      <c r="J316" s="79" t="s">
        <v>3781</v>
      </c>
      <c r="K316" s="79" t="s">
        <v>3769</v>
      </c>
      <c r="L316" s="79" t="s">
        <v>3722</v>
      </c>
      <c r="M316" s="79" t="s">
        <v>3782</v>
      </c>
    </row>
    <row r="317" ht="285" spans="1:13">
      <c r="A317" s="79" t="s">
        <v>3771</v>
      </c>
      <c r="B317" s="79" t="s">
        <v>3783</v>
      </c>
      <c r="C317" s="79" t="s">
        <v>3784</v>
      </c>
      <c r="D317" s="79" t="s">
        <v>3785</v>
      </c>
      <c r="E317" s="79" t="s">
        <v>3083</v>
      </c>
      <c r="F317" s="80">
        <v>16.35</v>
      </c>
      <c r="G317" s="80">
        <v>9</v>
      </c>
      <c r="H317" s="80">
        <v>147.15</v>
      </c>
      <c r="I317" s="80">
        <v>3750.78</v>
      </c>
      <c r="J317" s="79" t="s">
        <v>3776</v>
      </c>
      <c r="K317" s="79" t="s">
        <v>3769</v>
      </c>
      <c r="L317" s="79" t="s">
        <v>3722</v>
      </c>
      <c r="M317" s="79" t="s">
        <v>3786</v>
      </c>
    </row>
    <row r="318" ht="285" spans="1:13">
      <c r="A318" s="79" t="s">
        <v>3787</v>
      </c>
      <c r="B318" s="79" t="s">
        <v>3788</v>
      </c>
      <c r="C318" s="79" t="s">
        <v>3789</v>
      </c>
      <c r="D318" s="79" t="s">
        <v>3119</v>
      </c>
      <c r="E318" s="79" t="s">
        <v>3789</v>
      </c>
      <c r="F318" s="80">
        <v>19.02</v>
      </c>
      <c r="G318" s="80">
        <v>6</v>
      </c>
      <c r="H318" s="80">
        <v>114.12</v>
      </c>
      <c r="I318" s="80">
        <v>114.12</v>
      </c>
      <c r="J318" s="79" t="s">
        <v>2835</v>
      </c>
      <c r="K318" s="79" t="s">
        <v>3769</v>
      </c>
      <c r="L318" s="79" t="s">
        <v>3722</v>
      </c>
      <c r="M318" s="79" t="s">
        <v>3790</v>
      </c>
    </row>
    <row r="319" ht="285" spans="1:13">
      <c r="A319" s="79" t="s">
        <v>3791</v>
      </c>
      <c r="B319" s="79" t="s">
        <v>3792</v>
      </c>
      <c r="C319" s="79" t="s">
        <v>3793</v>
      </c>
      <c r="D319" s="79" t="s">
        <v>3794</v>
      </c>
      <c r="E319" s="79" t="s">
        <v>3795</v>
      </c>
      <c r="F319" s="80">
        <v>138</v>
      </c>
      <c r="G319" s="80">
        <v>2</v>
      </c>
      <c r="H319" s="80">
        <v>276</v>
      </c>
      <c r="I319" s="80">
        <v>2002.3</v>
      </c>
      <c r="J319" s="79" t="s">
        <v>3768</v>
      </c>
      <c r="K319" s="79" t="s">
        <v>3769</v>
      </c>
      <c r="L319" s="79" t="s">
        <v>3722</v>
      </c>
      <c r="M319" s="79" t="s">
        <v>3796</v>
      </c>
    </row>
    <row r="320" ht="285" spans="1:13">
      <c r="A320" s="79" t="s">
        <v>3797</v>
      </c>
      <c r="B320" s="79" t="s">
        <v>3798</v>
      </c>
      <c r="C320" s="79" t="s">
        <v>3799</v>
      </c>
      <c r="D320" s="79" t="s">
        <v>3800</v>
      </c>
      <c r="E320" s="79" t="s">
        <v>3801</v>
      </c>
      <c r="F320" s="80">
        <v>39.78</v>
      </c>
      <c r="G320" s="80">
        <v>2</v>
      </c>
      <c r="H320" s="80">
        <v>79.56</v>
      </c>
      <c r="I320" s="80">
        <v>828.16</v>
      </c>
      <c r="J320" s="79" t="s">
        <v>3776</v>
      </c>
      <c r="K320" s="79" t="s">
        <v>3769</v>
      </c>
      <c r="L320" s="79" t="s">
        <v>3722</v>
      </c>
      <c r="M320" s="79" t="s">
        <v>3802</v>
      </c>
    </row>
    <row r="321" ht="285" spans="1:13">
      <c r="A321" s="79" t="s">
        <v>3791</v>
      </c>
      <c r="B321" s="79" t="s">
        <v>3803</v>
      </c>
      <c r="C321" s="79" t="s">
        <v>3804</v>
      </c>
      <c r="D321" s="79" t="s">
        <v>2878</v>
      </c>
      <c r="E321" s="79" t="s">
        <v>2879</v>
      </c>
      <c r="F321" s="80">
        <v>10</v>
      </c>
      <c r="G321" s="80">
        <v>20</v>
      </c>
      <c r="H321" s="80">
        <v>200</v>
      </c>
      <c r="I321" s="80">
        <v>2002.3</v>
      </c>
      <c r="J321" s="79" t="s">
        <v>3768</v>
      </c>
      <c r="K321" s="79" t="s">
        <v>3769</v>
      </c>
      <c r="L321" s="79" t="s">
        <v>3722</v>
      </c>
      <c r="M321" s="79" t="s">
        <v>3805</v>
      </c>
    </row>
    <row r="322" ht="285" spans="1:13">
      <c r="A322" s="79" t="s">
        <v>3791</v>
      </c>
      <c r="B322" s="79" t="s">
        <v>3806</v>
      </c>
      <c r="C322" s="79" t="s">
        <v>3807</v>
      </c>
      <c r="D322" s="79" t="s">
        <v>3808</v>
      </c>
      <c r="E322" s="79" t="s">
        <v>3809</v>
      </c>
      <c r="F322" s="80">
        <v>16</v>
      </c>
      <c r="G322" s="80">
        <v>1</v>
      </c>
      <c r="H322" s="80">
        <v>16</v>
      </c>
      <c r="I322" s="80">
        <v>2002.3</v>
      </c>
      <c r="J322" s="79" t="s">
        <v>3768</v>
      </c>
      <c r="K322" s="79" t="s">
        <v>3769</v>
      </c>
      <c r="L322" s="79" t="s">
        <v>3722</v>
      </c>
      <c r="M322" s="79" t="s">
        <v>3810</v>
      </c>
    </row>
    <row r="323" ht="285" spans="1:13">
      <c r="A323" s="79" t="s">
        <v>3763</v>
      </c>
      <c r="B323" s="79" t="s">
        <v>3811</v>
      </c>
      <c r="C323" s="79" t="s">
        <v>3812</v>
      </c>
      <c r="D323" s="79" t="s">
        <v>3813</v>
      </c>
      <c r="E323" s="79" t="s">
        <v>2940</v>
      </c>
      <c r="F323" s="80">
        <v>325</v>
      </c>
      <c r="G323" s="80">
        <v>1</v>
      </c>
      <c r="H323" s="80">
        <v>325</v>
      </c>
      <c r="I323" s="80">
        <v>773.94</v>
      </c>
      <c r="J323" s="79" t="s">
        <v>3768</v>
      </c>
      <c r="K323" s="79" t="s">
        <v>3769</v>
      </c>
      <c r="L323" s="79" t="s">
        <v>3722</v>
      </c>
      <c r="M323" s="79" t="s">
        <v>3814</v>
      </c>
    </row>
    <row r="324" ht="285" spans="1:13">
      <c r="A324" s="79" t="s">
        <v>3791</v>
      </c>
      <c r="B324" s="79" t="s">
        <v>3815</v>
      </c>
      <c r="C324" s="79" t="s">
        <v>3816</v>
      </c>
      <c r="D324" s="79" t="s">
        <v>3817</v>
      </c>
      <c r="E324" s="79" t="s">
        <v>3818</v>
      </c>
      <c r="F324" s="80">
        <v>45</v>
      </c>
      <c r="G324" s="80">
        <v>1</v>
      </c>
      <c r="H324" s="80">
        <v>45</v>
      </c>
      <c r="I324" s="80">
        <v>2002.3</v>
      </c>
      <c r="J324" s="79" t="s">
        <v>3768</v>
      </c>
      <c r="K324" s="79" t="s">
        <v>3769</v>
      </c>
      <c r="L324" s="79" t="s">
        <v>3722</v>
      </c>
      <c r="M324" s="79" t="s">
        <v>3819</v>
      </c>
    </row>
    <row r="325" ht="285" spans="1:13">
      <c r="A325" s="79" t="s">
        <v>3797</v>
      </c>
      <c r="B325" s="79" t="s">
        <v>3820</v>
      </c>
      <c r="C325" s="79" t="s">
        <v>3821</v>
      </c>
      <c r="D325" s="79" t="s">
        <v>3822</v>
      </c>
      <c r="E325" s="79" t="s">
        <v>2874</v>
      </c>
      <c r="F325" s="80">
        <v>12.3</v>
      </c>
      <c r="G325" s="80">
        <v>8</v>
      </c>
      <c r="H325" s="80">
        <v>98.4</v>
      </c>
      <c r="I325" s="80">
        <v>828.16</v>
      </c>
      <c r="J325" s="79" t="s">
        <v>3776</v>
      </c>
      <c r="K325" s="79" t="s">
        <v>3769</v>
      </c>
      <c r="L325" s="79" t="s">
        <v>3722</v>
      </c>
      <c r="M325" s="79" t="s">
        <v>3823</v>
      </c>
    </row>
    <row r="326" ht="285" spans="1:13">
      <c r="A326" s="79" t="s">
        <v>3778</v>
      </c>
      <c r="B326" s="79" t="s">
        <v>3824</v>
      </c>
      <c r="C326" s="79" t="s">
        <v>3825</v>
      </c>
      <c r="D326" s="79" t="s">
        <v>3826</v>
      </c>
      <c r="E326" s="79" t="s">
        <v>3079</v>
      </c>
      <c r="F326" s="80">
        <v>3</v>
      </c>
      <c r="G326" s="80">
        <v>60</v>
      </c>
      <c r="H326" s="80">
        <v>180</v>
      </c>
      <c r="I326" s="80">
        <v>5475</v>
      </c>
      <c r="J326" s="79" t="s">
        <v>3781</v>
      </c>
      <c r="K326" s="79" t="s">
        <v>3769</v>
      </c>
      <c r="L326" s="79" t="s">
        <v>3722</v>
      </c>
      <c r="M326" s="79" t="s">
        <v>3827</v>
      </c>
    </row>
    <row r="327" ht="285" spans="1:13">
      <c r="A327" s="79" t="s">
        <v>3797</v>
      </c>
      <c r="B327" s="79" t="s">
        <v>3828</v>
      </c>
      <c r="C327" s="79" t="s">
        <v>3829</v>
      </c>
      <c r="D327" s="79" t="s">
        <v>3822</v>
      </c>
      <c r="E327" s="79" t="s">
        <v>2874</v>
      </c>
      <c r="F327" s="80">
        <v>18.3</v>
      </c>
      <c r="G327" s="80">
        <v>4</v>
      </c>
      <c r="H327" s="80">
        <v>73.2</v>
      </c>
      <c r="I327" s="80">
        <v>828.16</v>
      </c>
      <c r="J327" s="79" t="s">
        <v>3776</v>
      </c>
      <c r="K327" s="79" t="s">
        <v>3769</v>
      </c>
      <c r="L327" s="79" t="s">
        <v>3722</v>
      </c>
      <c r="M327" s="79" t="s">
        <v>3830</v>
      </c>
    </row>
    <row r="328" ht="285" spans="1:13">
      <c r="A328" s="79" t="s">
        <v>3771</v>
      </c>
      <c r="B328" s="79" t="s">
        <v>3831</v>
      </c>
      <c r="C328" s="79" t="s">
        <v>3832</v>
      </c>
      <c r="D328" s="79" t="s">
        <v>3833</v>
      </c>
      <c r="E328" s="79" t="s">
        <v>3257</v>
      </c>
      <c r="F328" s="80">
        <v>21.5</v>
      </c>
      <c r="G328" s="80">
        <v>60</v>
      </c>
      <c r="H328" s="80">
        <v>1290</v>
      </c>
      <c r="I328" s="80">
        <v>3750.78</v>
      </c>
      <c r="J328" s="79" t="s">
        <v>3776</v>
      </c>
      <c r="K328" s="79" t="s">
        <v>3769</v>
      </c>
      <c r="L328" s="79" t="s">
        <v>3722</v>
      </c>
      <c r="M328" s="79" t="s">
        <v>3834</v>
      </c>
    </row>
    <row r="329" ht="285" spans="1:13">
      <c r="A329" s="79" t="s">
        <v>3797</v>
      </c>
      <c r="B329" s="79" t="s">
        <v>3811</v>
      </c>
      <c r="C329" s="79" t="s">
        <v>3812</v>
      </c>
      <c r="D329" s="79" t="s">
        <v>3813</v>
      </c>
      <c r="E329" s="79" t="s">
        <v>2940</v>
      </c>
      <c r="F329" s="80">
        <v>49.46</v>
      </c>
      <c r="G329" s="80">
        <v>10</v>
      </c>
      <c r="H329" s="80">
        <v>494.6</v>
      </c>
      <c r="I329" s="80">
        <v>828.16</v>
      </c>
      <c r="J329" s="79" t="s">
        <v>3776</v>
      </c>
      <c r="K329" s="79" t="s">
        <v>3769</v>
      </c>
      <c r="L329" s="79" t="s">
        <v>3722</v>
      </c>
      <c r="M329" s="79" t="s">
        <v>3835</v>
      </c>
    </row>
    <row r="330" ht="285" spans="1:13">
      <c r="A330" s="79" t="s">
        <v>3778</v>
      </c>
      <c r="B330" s="79" t="s">
        <v>3836</v>
      </c>
      <c r="C330" s="79" t="s">
        <v>3837</v>
      </c>
      <c r="D330" s="79" t="s">
        <v>2958</v>
      </c>
      <c r="E330" s="79" t="s">
        <v>1770</v>
      </c>
      <c r="F330" s="80">
        <v>0.19</v>
      </c>
      <c r="G330" s="80">
        <v>9000</v>
      </c>
      <c r="H330" s="80">
        <v>1710</v>
      </c>
      <c r="I330" s="80">
        <v>5475</v>
      </c>
      <c r="J330" s="79" t="s">
        <v>3781</v>
      </c>
      <c r="K330" s="79" t="s">
        <v>3769</v>
      </c>
      <c r="L330" s="79" t="s">
        <v>3722</v>
      </c>
      <c r="M330" s="79" t="s">
        <v>3838</v>
      </c>
    </row>
    <row r="331" ht="285" spans="1:13">
      <c r="A331" s="79" t="s">
        <v>3778</v>
      </c>
      <c r="B331" s="79" t="s">
        <v>3839</v>
      </c>
      <c r="C331" s="79" t="s">
        <v>3840</v>
      </c>
      <c r="D331" s="79" t="s">
        <v>3841</v>
      </c>
      <c r="E331" s="79" t="s">
        <v>3842</v>
      </c>
      <c r="F331" s="80">
        <v>80</v>
      </c>
      <c r="G331" s="80">
        <v>3</v>
      </c>
      <c r="H331" s="80">
        <v>240</v>
      </c>
      <c r="I331" s="80">
        <v>5475</v>
      </c>
      <c r="J331" s="79" t="s">
        <v>3781</v>
      </c>
      <c r="K331" s="79" t="s">
        <v>3769</v>
      </c>
      <c r="L331" s="79" t="s">
        <v>3722</v>
      </c>
      <c r="M331" s="79" t="s">
        <v>3843</v>
      </c>
    </row>
    <row r="332" ht="285" spans="1:13">
      <c r="A332" s="79" t="s">
        <v>3771</v>
      </c>
      <c r="B332" s="79" t="s">
        <v>3844</v>
      </c>
      <c r="C332" s="79" t="s">
        <v>3845</v>
      </c>
      <c r="D332" s="79" t="s">
        <v>3846</v>
      </c>
      <c r="E332" s="79" t="s">
        <v>3847</v>
      </c>
      <c r="F332" s="80">
        <v>60.75</v>
      </c>
      <c r="G332" s="80">
        <v>19</v>
      </c>
      <c r="H332" s="80">
        <v>1154.25</v>
      </c>
      <c r="I332" s="80">
        <v>3750.78</v>
      </c>
      <c r="J332" s="79" t="s">
        <v>3776</v>
      </c>
      <c r="K332" s="79" t="s">
        <v>3769</v>
      </c>
      <c r="L332" s="79" t="s">
        <v>3722</v>
      </c>
      <c r="M332" s="79" t="s">
        <v>3848</v>
      </c>
    </row>
    <row r="333" ht="285" spans="1:13">
      <c r="A333" s="79" t="s">
        <v>3849</v>
      </c>
      <c r="B333" s="79" t="s">
        <v>3850</v>
      </c>
      <c r="C333" s="79" t="s">
        <v>3851</v>
      </c>
      <c r="D333" s="79" t="s">
        <v>3852</v>
      </c>
      <c r="E333" s="79" t="s">
        <v>3853</v>
      </c>
      <c r="F333" s="80">
        <v>228</v>
      </c>
      <c r="G333" s="80">
        <v>10</v>
      </c>
      <c r="H333" s="80">
        <v>2280</v>
      </c>
      <c r="I333" s="80">
        <v>23780</v>
      </c>
      <c r="J333" s="79" t="s">
        <v>3781</v>
      </c>
      <c r="K333" s="79" t="s">
        <v>3769</v>
      </c>
      <c r="L333" s="79" t="s">
        <v>3722</v>
      </c>
      <c r="M333" s="79" t="s">
        <v>3854</v>
      </c>
    </row>
    <row r="334" ht="285" spans="1:13">
      <c r="A334" s="79" t="s">
        <v>3791</v>
      </c>
      <c r="B334" s="79" t="s">
        <v>3855</v>
      </c>
      <c r="C334" s="79" t="s">
        <v>3856</v>
      </c>
      <c r="D334" s="79" t="s">
        <v>3153</v>
      </c>
      <c r="E334" s="79" t="s">
        <v>3857</v>
      </c>
      <c r="F334" s="80">
        <v>57.8</v>
      </c>
      <c r="G334" s="80">
        <v>1</v>
      </c>
      <c r="H334" s="80">
        <v>57.8</v>
      </c>
      <c r="I334" s="80">
        <v>2002.3</v>
      </c>
      <c r="J334" s="79" t="s">
        <v>3768</v>
      </c>
      <c r="K334" s="79" t="s">
        <v>3769</v>
      </c>
      <c r="L334" s="79" t="s">
        <v>3722</v>
      </c>
      <c r="M334" s="79" t="s">
        <v>3858</v>
      </c>
    </row>
    <row r="335" ht="285" spans="1:13">
      <c r="A335" s="79" t="s">
        <v>3763</v>
      </c>
      <c r="B335" s="79" t="s">
        <v>3859</v>
      </c>
      <c r="C335" s="79" t="s">
        <v>3860</v>
      </c>
      <c r="D335" s="79" t="s">
        <v>3158</v>
      </c>
      <c r="E335" s="79" t="s">
        <v>3379</v>
      </c>
      <c r="F335" s="80">
        <v>40</v>
      </c>
      <c r="G335" s="80">
        <v>2</v>
      </c>
      <c r="H335" s="80">
        <v>80</v>
      </c>
      <c r="I335" s="80">
        <v>773.94</v>
      </c>
      <c r="J335" s="79" t="s">
        <v>3768</v>
      </c>
      <c r="K335" s="79" t="s">
        <v>3769</v>
      </c>
      <c r="L335" s="79" t="s">
        <v>3722</v>
      </c>
      <c r="M335" s="79" t="s">
        <v>3861</v>
      </c>
    </row>
    <row r="336" ht="285" spans="1:13">
      <c r="A336" s="79" t="s">
        <v>3763</v>
      </c>
      <c r="B336" s="79" t="s">
        <v>3862</v>
      </c>
      <c r="C336" s="79" t="s">
        <v>3863</v>
      </c>
      <c r="D336" s="79" t="s">
        <v>3119</v>
      </c>
      <c r="E336" s="79" t="s">
        <v>3863</v>
      </c>
      <c r="F336" s="80">
        <v>12.65</v>
      </c>
      <c r="G336" s="80">
        <v>8</v>
      </c>
      <c r="H336" s="80">
        <v>101.2</v>
      </c>
      <c r="I336" s="80">
        <v>773.94</v>
      </c>
      <c r="J336" s="79" t="s">
        <v>3768</v>
      </c>
      <c r="K336" s="79" t="s">
        <v>3769</v>
      </c>
      <c r="L336" s="79" t="s">
        <v>3722</v>
      </c>
      <c r="M336" s="79" t="s">
        <v>3864</v>
      </c>
    </row>
    <row r="337" ht="285" spans="1:13">
      <c r="A337" s="79" t="s">
        <v>3791</v>
      </c>
      <c r="B337" s="79" t="s">
        <v>3865</v>
      </c>
      <c r="C337" s="79" t="s">
        <v>3866</v>
      </c>
      <c r="D337" s="79" t="s">
        <v>3867</v>
      </c>
      <c r="E337" s="79" t="s">
        <v>1864</v>
      </c>
      <c r="F337" s="80">
        <v>59</v>
      </c>
      <c r="G337" s="80">
        <v>4</v>
      </c>
      <c r="H337" s="80">
        <v>236</v>
      </c>
      <c r="I337" s="80">
        <v>2002.3</v>
      </c>
      <c r="J337" s="79" t="s">
        <v>3768</v>
      </c>
      <c r="K337" s="79" t="s">
        <v>3769</v>
      </c>
      <c r="L337" s="79" t="s">
        <v>3722</v>
      </c>
      <c r="M337" s="79" t="s">
        <v>3868</v>
      </c>
    </row>
    <row r="338" ht="285" spans="1:13">
      <c r="A338" s="79" t="s">
        <v>3771</v>
      </c>
      <c r="B338" s="79" t="s">
        <v>3869</v>
      </c>
      <c r="C338" s="79" t="s">
        <v>3870</v>
      </c>
      <c r="D338" s="79" t="s">
        <v>3852</v>
      </c>
      <c r="E338" s="79" t="s">
        <v>3853</v>
      </c>
      <c r="F338" s="80">
        <v>75.5</v>
      </c>
      <c r="G338" s="80">
        <v>1</v>
      </c>
      <c r="H338" s="80">
        <v>75.5</v>
      </c>
      <c r="I338" s="80">
        <v>3750.78</v>
      </c>
      <c r="J338" s="79" t="s">
        <v>3776</v>
      </c>
      <c r="K338" s="79" t="s">
        <v>3769</v>
      </c>
      <c r="L338" s="79" t="s">
        <v>3722</v>
      </c>
      <c r="M338" s="79" t="s">
        <v>3871</v>
      </c>
    </row>
    <row r="339" ht="285" spans="1:13">
      <c r="A339" s="79" t="s">
        <v>3778</v>
      </c>
      <c r="B339" s="79" t="s">
        <v>3872</v>
      </c>
      <c r="C339" s="79" t="s">
        <v>3873</v>
      </c>
      <c r="D339" s="79" t="s">
        <v>3852</v>
      </c>
      <c r="E339" s="79" t="s">
        <v>3874</v>
      </c>
      <c r="F339" s="80">
        <v>75</v>
      </c>
      <c r="G339" s="80">
        <v>21</v>
      </c>
      <c r="H339" s="80">
        <v>1575</v>
      </c>
      <c r="I339" s="80">
        <v>5475</v>
      </c>
      <c r="J339" s="79" t="s">
        <v>3781</v>
      </c>
      <c r="K339" s="79" t="s">
        <v>3769</v>
      </c>
      <c r="L339" s="79" t="s">
        <v>3722</v>
      </c>
      <c r="M339" s="79" t="s">
        <v>3875</v>
      </c>
    </row>
    <row r="340" ht="285" spans="1:13">
      <c r="A340" s="79" t="s">
        <v>3763</v>
      </c>
      <c r="B340" s="79" t="s">
        <v>3876</v>
      </c>
      <c r="C340" s="79" t="s">
        <v>3877</v>
      </c>
      <c r="D340" s="79" t="s">
        <v>3878</v>
      </c>
      <c r="E340" s="79" t="s">
        <v>3879</v>
      </c>
      <c r="F340" s="80">
        <v>13</v>
      </c>
      <c r="G340" s="80">
        <v>1</v>
      </c>
      <c r="H340" s="80">
        <v>13</v>
      </c>
      <c r="I340" s="80">
        <v>773.94</v>
      </c>
      <c r="J340" s="79" t="s">
        <v>3768</v>
      </c>
      <c r="K340" s="79" t="s">
        <v>3769</v>
      </c>
      <c r="L340" s="79" t="s">
        <v>3722</v>
      </c>
      <c r="M340" s="79" t="s">
        <v>3880</v>
      </c>
    </row>
    <row r="341" ht="285" spans="1:13">
      <c r="A341" s="79" t="s">
        <v>3881</v>
      </c>
      <c r="B341" s="79" t="s">
        <v>3882</v>
      </c>
      <c r="C341" s="79" t="s">
        <v>3883</v>
      </c>
      <c r="D341" s="79" t="s">
        <v>3884</v>
      </c>
      <c r="E341" s="79" t="s">
        <v>3885</v>
      </c>
      <c r="F341" s="80">
        <v>2026</v>
      </c>
      <c r="G341" s="80">
        <v>2</v>
      </c>
      <c r="H341" s="80">
        <v>4052</v>
      </c>
      <c r="I341" s="80">
        <v>4052</v>
      </c>
      <c r="J341" s="79" t="s">
        <v>3776</v>
      </c>
      <c r="K341" s="79" t="s">
        <v>3769</v>
      </c>
      <c r="L341" s="79" t="s">
        <v>3722</v>
      </c>
      <c r="M341" s="79" t="s">
        <v>3886</v>
      </c>
    </row>
    <row r="342" ht="285" spans="1:13">
      <c r="A342" s="79" t="s">
        <v>3763</v>
      </c>
      <c r="B342" s="79" t="s">
        <v>3887</v>
      </c>
      <c r="C342" s="79" t="s">
        <v>3888</v>
      </c>
      <c r="D342" s="79" t="s">
        <v>3800</v>
      </c>
      <c r="E342" s="79" t="s">
        <v>3801</v>
      </c>
      <c r="F342" s="80">
        <v>29</v>
      </c>
      <c r="G342" s="80">
        <v>2</v>
      </c>
      <c r="H342" s="80">
        <v>58</v>
      </c>
      <c r="I342" s="80">
        <v>773.94</v>
      </c>
      <c r="J342" s="79" t="s">
        <v>3768</v>
      </c>
      <c r="K342" s="79" t="s">
        <v>3769</v>
      </c>
      <c r="L342" s="79" t="s">
        <v>3722</v>
      </c>
      <c r="M342" s="79" t="s">
        <v>3889</v>
      </c>
    </row>
    <row r="343" ht="285" spans="1:13">
      <c r="A343" s="79" t="s">
        <v>3791</v>
      </c>
      <c r="B343" s="79" t="s">
        <v>3890</v>
      </c>
      <c r="C343" s="79" t="s">
        <v>3891</v>
      </c>
      <c r="D343" s="79" t="s">
        <v>3892</v>
      </c>
      <c r="E343" s="79" t="s">
        <v>3893</v>
      </c>
      <c r="F343" s="80">
        <v>15</v>
      </c>
      <c r="G343" s="80">
        <v>2</v>
      </c>
      <c r="H343" s="80">
        <v>30</v>
      </c>
      <c r="I343" s="80">
        <v>2002.3</v>
      </c>
      <c r="J343" s="79" t="s">
        <v>3768</v>
      </c>
      <c r="K343" s="79" t="s">
        <v>3769</v>
      </c>
      <c r="L343" s="79" t="s">
        <v>3722</v>
      </c>
      <c r="M343" s="79" t="s">
        <v>3894</v>
      </c>
    </row>
    <row r="344" ht="285" spans="1:13">
      <c r="A344" s="79" t="s">
        <v>3791</v>
      </c>
      <c r="B344" s="79" t="s">
        <v>3895</v>
      </c>
      <c r="C344" s="79" t="s">
        <v>3896</v>
      </c>
      <c r="D344" s="79" t="s">
        <v>3897</v>
      </c>
      <c r="E344" s="79" t="s">
        <v>3898</v>
      </c>
      <c r="F344" s="80">
        <v>28</v>
      </c>
      <c r="G344" s="80">
        <v>1</v>
      </c>
      <c r="H344" s="80">
        <v>28</v>
      </c>
      <c r="I344" s="80">
        <v>2002.3</v>
      </c>
      <c r="J344" s="79" t="s">
        <v>3768</v>
      </c>
      <c r="K344" s="79" t="s">
        <v>3769</v>
      </c>
      <c r="L344" s="79" t="s">
        <v>3722</v>
      </c>
      <c r="M344" s="79" t="s">
        <v>3899</v>
      </c>
    </row>
    <row r="345" ht="285" spans="1:13">
      <c r="A345" s="79" t="s">
        <v>3791</v>
      </c>
      <c r="B345" s="79" t="s">
        <v>3900</v>
      </c>
      <c r="C345" s="79" t="s">
        <v>3901</v>
      </c>
      <c r="D345" s="79" t="s">
        <v>3902</v>
      </c>
      <c r="E345" s="79" t="s">
        <v>3901</v>
      </c>
      <c r="F345" s="80">
        <v>11</v>
      </c>
      <c r="G345" s="80">
        <v>2</v>
      </c>
      <c r="H345" s="80">
        <v>22</v>
      </c>
      <c r="I345" s="80">
        <v>2002.3</v>
      </c>
      <c r="J345" s="79" t="s">
        <v>3768</v>
      </c>
      <c r="K345" s="79" t="s">
        <v>3769</v>
      </c>
      <c r="L345" s="79" t="s">
        <v>3722</v>
      </c>
      <c r="M345" s="79" t="s">
        <v>3903</v>
      </c>
    </row>
    <row r="346" ht="285" spans="1:13">
      <c r="A346" s="79" t="s">
        <v>3791</v>
      </c>
      <c r="B346" s="79" t="s">
        <v>3904</v>
      </c>
      <c r="C346" s="79" t="s">
        <v>3905</v>
      </c>
      <c r="D346" s="79" t="s">
        <v>3194</v>
      </c>
      <c r="E346" s="79" t="s">
        <v>3906</v>
      </c>
      <c r="F346" s="80">
        <v>425</v>
      </c>
      <c r="G346" s="80">
        <v>2</v>
      </c>
      <c r="H346" s="80">
        <v>850</v>
      </c>
      <c r="I346" s="80">
        <v>2002.3</v>
      </c>
      <c r="J346" s="79" t="s">
        <v>3768</v>
      </c>
      <c r="K346" s="79" t="s">
        <v>3769</v>
      </c>
      <c r="L346" s="79" t="s">
        <v>3722</v>
      </c>
      <c r="M346" s="79" t="s">
        <v>3907</v>
      </c>
    </row>
    <row r="347" ht="300" spans="1:13">
      <c r="A347" s="79" t="s">
        <v>3791</v>
      </c>
      <c r="B347" s="79" t="s">
        <v>3908</v>
      </c>
      <c r="C347" s="79" t="s">
        <v>3909</v>
      </c>
      <c r="D347" s="79" t="s">
        <v>3910</v>
      </c>
      <c r="E347" s="79" t="s">
        <v>3911</v>
      </c>
      <c r="F347" s="80">
        <v>15</v>
      </c>
      <c r="G347" s="80">
        <v>1</v>
      </c>
      <c r="H347" s="80">
        <v>15</v>
      </c>
      <c r="I347" s="80">
        <v>2002.3</v>
      </c>
      <c r="J347" s="79" t="s">
        <v>3768</v>
      </c>
      <c r="K347" s="79" t="s">
        <v>3769</v>
      </c>
      <c r="L347" s="79" t="s">
        <v>3722</v>
      </c>
      <c r="M347" s="79" t="s">
        <v>3912</v>
      </c>
    </row>
    <row r="348" ht="285" spans="1:13">
      <c r="A348" s="79" t="s">
        <v>3791</v>
      </c>
      <c r="B348" s="79" t="s">
        <v>3913</v>
      </c>
      <c r="C348" s="79" t="s">
        <v>3914</v>
      </c>
      <c r="D348" s="79" t="s">
        <v>3040</v>
      </c>
      <c r="E348" s="79" t="s">
        <v>3915</v>
      </c>
      <c r="F348" s="80">
        <v>14.5</v>
      </c>
      <c r="G348" s="80">
        <v>2</v>
      </c>
      <c r="H348" s="80">
        <v>29</v>
      </c>
      <c r="I348" s="80">
        <v>2002.3</v>
      </c>
      <c r="J348" s="79" t="s">
        <v>3768</v>
      </c>
      <c r="K348" s="79" t="s">
        <v>3769</v>
      </c>
      <c r="L348" s="79" t="s">
        <v>3722</v>
      </c>
      <c r="M348" s="79" t="s">
        <v>3916</v>
      </c>
    </row>
    <row r="349" ht="285" spans="1:13">
      <c r="A349" s="79" t="s">
        <v>3791</v>
      </c>
      <c r="B349" s="79" t="s">
        <v>3917</v>
      </c>
      <c r="C349" s="79" t="s">
        <v>3918</v>
      </c>
      <c r="D349" s="79" t="s">
        <v>3800</v>
      </c>
      <c r="E349" s="79" t="s">
        <v>3801</v>
      </c>
      <c r="F349" s="80">
        <v>58</v>
      </c>
      <c r="G349" s="80">
        <v>1</v>
      </c>
      <c r="H349" s="80">
        <v>58</v>
      </c>
      <c r="I349" s="80">
        <v>2002.3</v>
      </c>
      <c r="J349" s="79" t="s">
        <v>3768</v>
      </c>
      <c r="K349" s="79" t="s">
        <v>3769</v>
      </c>
      <c r="L349" s="79" t="s">
        <v>3722</v>
      </c>
      <c r="M349" s="79" t="s">
        <v>3919</v>
      </c>
    </row>
    <row r="350" ht="285" spans="1:13">
      <c r="A350" s="79" t="s">
        <v>3763</v>
      </c>
      <c r="B350" s="79" t="s">
        <v>3920</v>
      </c>
      <c r="C350" s="79" t="s">
        <v>3921</v>
      </c>
      <c r="D350" s="79" t="s">
        <v>3119</v>
      </c>
      <c r="E350" s="79" t="s">
        <v>3921</v>
      </c>
      <c r="F350" s="80">
        <v>16.29</v>
      </c>
      <c r="G350" s="80">
        <v>6</v>
      </c>
      <c r="H350" s="80">
        <v>97.74</v>
      </c>
      <c r="I350" s="80">
        <v>773.94</v>
      </c>
      <c r="J350" s="79" t="s">
        <v>3768</v>
      </c>
      <c r="K350" s="79" t="s">
        <v>3769</v>
      </c>
      <c r="L350" s="79" t="s">
        <v>3722</v>
      </c>
      <c r="M350" s="79" t="s">
        <v>3922</v>
      </c>
    </row>
    <row r="351" ht="285" spans="1:13">
      <c r="A351" s="79" t="s">
        <v>3778</v>
      </c>
      <c r="B351" s="79" t="s">
        <v>3923</v>
      </c>
      <c r="C351" s="79" t="s">
        <v>3924</v>
      </c>
      <c r="D351" s="79" t="s">
        <v>2958</v>
      </c>
      <c r="E351" s="79" t="s">
        <v>1770</v>
      </c>
      <c r="F351" s="80">
        <v>0.33</v>
      </c>
      <c r="G351" s="80">
        <v>3000</v>
      </c>
      <c r="H351" s="80">
        <v>990</v>
      </c>
      <c r="I351" s="80">
        <v>5475</v>
      </c>
      <c r="J351" s="79" t="s">
        <v>3781</v>
      </c>
      <c r="K351" s="79" t="s">
        <v>3769</v>
      </c>
      <c r="L351" s="79" t="s">
        <v>3722</v>
      </c>
      <c r="M351" s="79" t="s">
        <v>3925</v>
      </c>
    </row>
    <row r="352" ht="285" spans="1:13">
      <c r="A352" s="79" t="s">
        <v>3791</v>
      </c>
      <c r="B352" s="79" t="s">
        <v>3926</v>
      </c>
      <c r="C352" s="79" t="s">
        <v>3927</v>
      </c>
      <c r="D352" s="79" t="s">
        <v>3852</v>
      </c>
      <c r="E352" s="79" t="s">
        <v>3853</v>
      </c>
      <c r="F352" s="80">
        <v>63</v>
      </c>
      <c r="G352" s="80">
        <v>2</v>
      </c>
      <c r="H352" s="80">
        <v>126</v>
      </c>
      <c r="I352" s="80">
        <v>2002.3</v>
      </c>
      <c r="J352" s="79" t="s">
        <v>3768</v>
      </c>
      <c r="K352" s="79" t="s">
        <v>3769</v>
      </c>
      <c r="L352" s="79" t="s">
        <v>3722</v>
      </c>
      <c r="M352" s="79" t="s">
        <v>3928</v>
      </c>
    </row>
    <row r="353" ht="285" spans="1:13">
      <c r="A353" s="79" t="s">
        <v>3849</v>
      </c>
      <c r="B353" s="79" t="s">
        <v>3929</v>
      </c>
      <c r="C353" s="79" t="s">
        <v>3930</v>
      </c>
      <c r="D353" s="79" t="s">
        <v>3931</v>
      </c>
      <c r="E353" s="79" t="s">
        <v>1764</v>
      </c>
      <c r="F353" s="80">
        <v>500</v>
      </c>
      <c r="G353" s="80">
        <v>43</v>
      </c>
      <c r="H353" s="80">
        <v>21500</v>
      </c>
      <c r="I353" s="80">
        <v>23780</v>
      </c>
      <c r="J353" s="79" t="s">
        <v>3781</v>
      </c>
      <c r="K353" s="79" t="s">
        <v>3769</v>
      </c>
      <c r="L353" s="79" t="s">
        <v>3722</v>
      </c>
      <c r="M353" s="79" t="s">
        <v>3932</v>
      </c>
    </row>
    <row r="354" ht="285" spans="1:13">
      <c r="A354" s="79" t="s">
        <v>3778</v>
      </c>
      <c r="B354" s="79" t="s">
        <v>3933</v>
      </c>
      <c r="C354" s="79" t="s">
        <v>3934</v>
      </c>
      <c r="D354" s="79" t="s">
        <v>2970</v>
      </c>
      <c r="E354" s="79" t="s">
        <v>1861</v>
      </c>
      <c r="F354" s="80">
        <v>18</v>
      </c>
      <c r="G354" s="80">
        <v>20</v>
      </c>
      <c r="H354" s="80">
        <v>360</v>
      </c>
      <c r="I354" s="80">
        <v>5475</v>
      </c>
      <c r="J354" s="79" t="s">
        <v>3781</v>
      </c>
      <c r="K354" s="79" t="s">
        <v>3769</v>
      </c>
      <c r="L354" s="79" t="s">
        <v>3722</v>
      </c>
      <c r="M354" s="79" t="s">
        <v>3935</v>
      </c>
    </row>
    <row r="355" ht="285" spans="1:13">
      <c r="A355" s="79" t="s">
        <v>3797</v>
      </c>
      <c r="B355" s="79" t="s">
        <v>3936</v>
      </c>
      <c r="C355" s="79" t="s">
        <v>3937</v>
      </c>
      <c r="D355" s="79" t="s">
        <v>3040</v>
      </c>
      <c r="E355" s="79" t="s">
        <v>3348</v>
      </c>
      <c r="F355" s="80">
        <v>82.4</v>
      </c>
      <c r="G355" s="80">
        <v>1</v>
      </c>
      <c r="H355" s="80">
        <v>82.4</v>
      </c>
      <c r="I355" s="80">
        <v>828.16</v>
      </c>
      <c r="J355" s="79" t="s">
        <v>3776</v>
      </c>
      <c r="K355" s="79" t="s">
        <v>3769</v>
      </c>
      <c r="L355" s="79" t="s">
        <v>3722</v>
      </c>
      <c r="M355" s="79" t="s">
        <v>3938</v>
      </c>
    </row>
    <row r="356" ht="285" spans="1:13">
      <c r="A356" s="79" t="s">
        <v>3791</v>
      </c>
      <c r="B356" s="79" t="s">
        <v>3939</v>
      </c>
      <c r="C356" s="79" t="s">
        <v>3940</v>
      </c>
      <c r="D356" s="79" t="s">
        <v>3800</v>
      </c>
      <c r="E356" s="79" t="s">
        <v>3801</v>
      </c>
      <c r="F356" s="80">
        <v>13.5</v>
      </c>
      <c r="G356" s="80">
        <v>1</v>
      </c>
      <c r="H356" s="80">
        <v>13.5</v>
      </c>
      <c r="I356" s="80">
        <v>2002.3</v>
      </c>
      <c r="J356" s="79" t="s">
        <v>3768</v>
      </c>
      <c r="K356" s="79" t="s">
        <v>3769</v>
      </c>
      <c r="L356" s="79" t="s">
        <v>3722</v>
      </c>
      <c r="M356" s="79" t="s">
        <v>3941</v>
      </c>
    </row>
    <row r="357" ht="285" spans="1:13">
      <c r="A357" s="79" t="s">
        <v>3942</v>
      </c>
      <c r="B357" s="79" t="s">
        <v>3943</v>
      </c>
      <c r="C357" s="79" t="s">
        <v>3944</v>
      </c>
      <c r="D357" s="79" t="s">
        <v>3945</v>
      </c>
      <c r="E357" s="79" t="s">
        <v>3946</v>
      </c>
      <c r="F357" s="80">
        <v>238</v>
      </c>
      <c r="G357" s="80">
        <v>4</v>
      </c>
      <c r="H357" s="80">
        <v>952</v>
      </c>
      <c r="I357" s="80">
        <v>993.08</v>
      </c>
      <c r="J357" s="79" t="s">
        <v>3768</v>
      </c>
      <c r="K357" s="79" t="s">
        <v>3947</v>
      </c>
      <c r="L357" s="79" t="s">
        <v>3722</v>
      </c>
      <c r="M357" s="79" t="s">
        <v>3948</v>
      </c>
    </row>
    <row r="358" ht="285" spans="1:13">
      <c r="A358" s="79" t="s">
        <v>3942</v>
      </c>
      <c r="B358" s="79" t="s">
        <v>3949</v>
      </c>
      <c r="C358" s="79" t="s">
        <v>3950</v>
      </c>
      <c r="D358" s="79" t="s">
        <v>3951</v>
      </c>
      <c r="E358" s="79" t="s">
        <v>3952</v>
      </c>
      <c r="F358" s="80">
        <v>7.77</v>
      </c>
      <c r="G358" s="80">
        <v>2</v>
      </c>
      <c r="H358" s="80">
        <v>15.54</v>
      </c>
      <c r="I358" s="80">
        <v>993.08</v>
      </c>
      <c r="J358" s="79" t="s">
        <v>3768</v>
      </c>
      <c r="K358" s="79" t="s">
        <v>3947</v>
      </c>
      <c r="L358" s="79" t="s">
        <v>3722</v>
      </c>
      <c r="M358" s="79" t="s">
        <v>3953</v>
      </c>
    </row>
    <row r="359" ht="285" spans="1:13">
      <c r="A359" s="79" t="s">
        <v>3942</v>
      </c>
      <c r="B359" s="79" t="s">
        <v>3954</v>
      </c>
      <c r="C359" s="79" t="s">
        <v>3955</v>
      </c>
      <c r="D359" s="79" t="s">
        <v>3366</v>
      </c>
      <c r="E359" s="79" t="s">
        <v>3367</v>
      </c>
      <c r="F359" s="80">
        <v>10</v>
      </c>
      <c r="G359" s="80">
        <v>1</v>
      </c>
      <c r="H359" s="80">
        <v>10</v>
      </c>
      <c r="I359" s="80">
        <v>993.08</v>
      </c>
      <c r="J359" s="79" t="s">
        <v>3768</v>
      </c>
      <c r="K359" s="79" t="s">
        <v>3947</v>
      </c>
      <c r="L359" s="79" t="s">
        <v>3722</v>
      </c>
      <c r="M359" s="79" t="s">
        <v>3956</v>
      </c>
    </row>
    <row r="360" ht="285" spans="1:13">
      <c r="A360" s="79" t="s">
        <v>3942</v>
      </c>
      <c r="B360" s="79" t="s">
        <v>3957</v>
      </c>
      <c r="C360" s="79" t="s">
        <v>3958</v>
      </c>
      <c r="D360" s="79" t="s">
        <v>3951</v>
      </c>
      <c r="E360" s="79" t="s">
        <v>3959</v>
      </c>
      <c r="F360" s="80">
        <v>7.77</v>
      </c>
      <c r="G360" s="80">
        <v>2</v>
      </c>
      <c r="H360" s="80">
        <v>15.54</v>
      </c>
      <c r="I360" s="80">
        <v>993.08</v>
      </c>
      <c r="J360" s="79" t="s">
        <v>3768</v>
      </c>
      <c r="K360" s="79" t="s">
        <v>3947</v>
      </c>
      <c r="L360" s="79" t="s">
        <v>3722</v>
      </c>
      <c r="M360" s="79" t="s">
        <v>3960</v>
      </c>
    </row>
    <row r="361" ht="285" spans="1:13">
      <c r="A361" s="79" t="s">
        <v>3961</v>
      </c>
      <c r="B361" s="79" t="s">
        <v>3962</v>
      </c>
      <c r="C361" s="79" t="s">
        <v>3963</v>
      </c>
      <c r="D361" s="79" t="s">
        <v>3964</v>
      </c>
      <c r="E361" s="79" t="s">
        <v>3963</v>
      </c>
      <c r="F361" s="80">
        <v>23.02</v>
      </c>
      <c r="G361" s="80">
        <v>4</v>
      </c>
      <c r="H361" s="80">
        <v>92.08</v>
      </c>
      <c r="I361" s="80">
        <v>92.08</v>
      </c>
      <c r="J361" s="79" t="s">
        <v>2835</v>
      </c>
      <c r="K361" s="79" t="s">
        <v>3965</v>
      </c>
      <c r="L361" s="79" t="s">
        <v>3722</v>
      </c>
      <c r="M361" s="79" t="s">
        <v>3966</v>
      </c>
    </row>
    <row r="362" ht="285" spans="1:13">
      <c r="A362" s="79" t="s">
        <v>3967</v>
      </c>
      <c r="B362" s="79" t="s">
        <v>3968</v>
      </c>
      <c r="C362" s="79" t="s">
        <v>3969</v>
      </c>
      <c r="D362" s="79" t="s">
        <v>3056</v>
      </c>
      <c r="E362" s="79" t="s">
        <v>3969</v>
      </c>
      <c r="F362" s="80">
        <v>4.19</v>
      </c>
      <c r="G362" s="80">
        <v>6</v>
      </c>
      <c r="H362" s="80">
        <v>25.14</v>
      </c>
      <c r="I362" s="80">
        <v>1360.21</v>
      </c>
      <c r="J362" s="79" t="s">
        <v>2835</v>
      </c>
      <c r="K362" s="79" t="s">
        <v>3970</v>
      </c>
      <c r="L362" s="79" t="s">
        <v>3722</v>
      </c>
      <c r="M362" s="79" t="s">
        <v>3971</v>
      </c>
    </row>
    <row r="363" ht="285" spans="1:13">
      <c r="A363" s="79" t="s">
        <v>3967</v>
      </c>
      <c r="B363" s="79" t="s">
        <v>3972</v>
      </c>
      <c r="C363" s="79" t="s">
        <v>3973</v>
      </c>
      <c r="D363" s="79" t="s">
        <v>3974</v>
      </c>
      <c r="E363" s="79" t="s">
        <v>3973</v>
      </c>
      <c r="F363" s="80">
        <v>21.76</v>
      </c>
      <c r="G363" s="80">
        <v>10</v>
      </c>
      <c r="H363" s="80">
        <v>217.6</v>
      </c>
      <c r="I363" s="80">
        <v>1360.21</v>
      </c>
      <c r="J363" s="79" t="s">
        <v>2835</v>
      </c>
      <c r="K363" s="79" t="s">
        <v>3970</v>
      </c>
      <c r="L363" s="79" t="s">
        <v>3722</v>
      </c>
      <c r="M363" s="79" t="s">
        <v>3975</v>
      </c>
    </row>
    <row r="364" ht="285" spans="1:13">
      <c r="A364" s="79" t="s">
        <v>3967</v>
      </c>
      <c r="B364" s="79" t="s">
        <v>3976</v>
      </c>
      <c r="C364" s="79" t="s">
        <v>3977</v>
      </c>
      <c r="D364" s="79" t="s">
        <v>3056</v>
      </c>
      <c r="E364" s="79" t="s">
        <v>3977</v>
      </c>
      <c r="F364" s="80">
        <v>3.64</v>
      </c>
      <c r="G364" s="80">
        <v>6</v>
      </c>
      <c r="H364" s="80">
        <v>21.84</v>
      </c>
      <c r="I364" s="80">
        <v>1360.21</v>
      </c>
      <c r="J364" s="79" t="s">
        <v>2835</v>
      </c>
      <c r="K364" s="79" t="s">
        <v>3970</v>
      </c>
      <c r="L364" s="79" t="s">
        <v>3722</v>
      </c>
      <c r="M364" s="79" t="s">
        <v>3978</v>
      </c>
    </row>
    <row r="365" ht="285" spans="1:13">
      <c r="A365" s="79" t="s">
        <v>3967</v>
      </c>
      <c r="B365" s="79" t="s">
        <v>3979</v>
      </c>
      <c r="C365" s="79" t="s">
        <v>3980</v>
      </c>
      <c r="D365" s="79" t="s">
        <v>3981</v>
      </c>
      <c r="E365" s="79" t="s">
        <v>3980</v>
      </c>
      <c r="F365" s="80">
        <v>36.31</v>
      </c>
      <c r="G365" s="80">
        <v>5</v>
      </c>
      <c r="H365" s="80">
        <v>181.55</v>
      </c>
      <c r="I365" s="80">
        <v>1360.21</v>
      </c>
      <c r="J365" s="79" t="s">
        <v>2835</v>
      </c>
      <c r="K365" s="79" t="s">
        <v>3970</v>
      </c>
      <c r="L365" s="79" t="s">
        <v>3722</v>
      </c>
      <c r="M365" s="79" t="s">
        <v>3982</v>
      </c>
    </row>
    <row r="366" ht="285" spans="1:13">
      <c r="A366" s="79" t="s">
        <v>3967</v>
      </c>
      <c r="B366" s="79" t="s">
        <v>3983</v>
      </c>
      <c r="C366" s="79" t="s">
        <v>3984</v>
      </c>
      <c r="D366" s="79" t="s">
        <v>3826</v>
      </c>
      <c r="E366" s="79" t="s">
        <v>3984</v>
      </c>
      <c r="F366" s="80">
        <v>9.36</v>
      </c>
      <c r="G366" s="80">
        <v>5</v>
      </c>
      <c r="H366" s="80">
        <v>46.8</v>
      </c>
      <c r="I366" s="80">
        <v>1360.21</v>
      </c>
      <c r="J366" s="79" t="s">
        <v>2835</v>
      </c>
      <c r="K366" s="79" t="s">
        <v>3970</v>
      </c>
      <c r="L366" s="79" t="s">
        <v>3722</v>
      </c>
      <c r="M366" s="79" t="s">
        <v>3985</v>
      </c>
    </row>
    <row r="367" ht="285" spans="1:13">
      <c r="A367" s="79" t="s">
        <v>3967</v>
      </c>
      <c r="B367" s="79" t="s">
        <v>3986</v>
      </c>
      <c r="C367" s="79" t="s">
        <v>3987</v>
      </c>
      <c r="D367" s="79" t="s">
        <v>3910</v>
      </c>
      <c r="E367" s="79" t="s">
        <v>3987</v>
      </c>
      <c r="F367" s="80">
        <v>18.66</v>
      </c>
      <c r="G367" s="80">
        <v>4</v>
      </c>
      <c r="H367" s="80">
        <v>74.64</v>
      </c>
      <c r="I367" s="80">
        <v>1360.21</v>
      </c>
      <c r="J367" s="79" t="s">
        <v>2835</v>
      </c>
      <c r="K367" s="79" t="s">
        <v>3970</v>
      </c>
      <c r="L367" s="79" t="s">
        <v>3722</v>
      </c>
      <c r="M367" s="79" t="s">
        <v>3988</v>
      </c>
    </row>
    <row r="368" ht="285" spans="1:13">
      <c r="A368" s="79" t="s">
        <v>3967</v>
      </c>
      <c r="B368" s="79" t="s">
        <v>3100</v>
      </c>
      <c r="C368" s="79" t="s">
        <v>3101</v>
      </c>
      <c r="D368" s="79" t="s">
        <v>3088</v>
      </c>
      <c r="E368" s="79" t="s">
        <v>3101</v>
      </c>
      <c r="F368" s="80">
        <v>7.83</v>
      </c>
      <c r="G368" s="80">
        <v>5</v>
      </c>
      <c r="H368" s="80">
        <v>39.15</v>
      </c>
      <c r="I368" s="80">
        <v>1360.21</v>
      </c>
      <c r="J368" s="79" t="s">
        <v>2835</v>
      </c>
      <c r="K368" s="79" t="s">
        <v>3970</v>
      </c>
      <c r="L368" s="79" t="s">
        <v>3722</v>
      </c>
      <c r="M368" s="79" t="s">
        <v>3989</v>
      </c>
    </row>
    <row r="369" ht="285" spans="1:13">
      <c r="A369" s="79" t="s">
        <v>3967</v>
      </c>
      <c r="B369" s="79" t="s">
        <v>3990</v>
      </c>
      <c r="C369" s="79" t="s">
        <v>3991</v>
      </c>
      <c r="D369" s="79" t="s">
        <v>3981</v>
      </c>
      <c r="E369" s="79" t="s">
        <v>3991</v>
      </c>
      <c r="F369" s="80">
        <v>27.84</v>
      </c>
      <c r="G369" s="80">
        <v>4</v>
      </c>
      <c r="H369" s="80">
        <v>111.36</v>
      </c>
      <c r="I369" s="80">
        <v>1360.21</v>
      </c>
      <c r="J369" s="79" t="s">
        <v>2835</v>
      </c>
      <c r="K369" s="79" t="s">
        <v>3970</v>
      </c>
      <c r="L369" s="79" t="s">
        <v>3722</v>
      </c>
      <c r="M369" s="79" t="s">
        <v>3992</v>
      </c>
    </row>
    <row r="370" ht="285" spans="1:13">
      <c r="A370" s="79" t="s">
        <v>3967</v>
      </c>
      <c r="B370" s="79" t="s">
        <v>3113</v>
      </c>
      <c r="C370" s="79" t="s">
        <v>3114</v>
      </c>
      <c r="D370" s="79" t="s">
        <v>3088</v>
      </c>
      <c r="E370" s="79" t="s">
        <v>3114</v>
      </c>
      <c r="F370" s="80">
        <v>7.83</v>
      </c>
      <c r="G370" s="80">
        <v>5</v>
      </c>
      <c r="H370" s="80">
        <v>39.15</v>
      </c>
      <c r="I370" s="80">
        <v>1360.21</v>
      </c>
      <c r="J370" s="79" t="s">
        <v>2835</v>
      </c>
      <c r="K370" s="79" t="s">
        <v>3970</v>
      </c>
      <c r="L370" s="79" t="s">
        <v>3722</v>
      </c>
      <c r="M370" s="79" t="s">
        <v>3993</v>
      </c>
    </row>
    <row r="371" ht="285" spans="1:13">
      <c r="A371" s="79" t="s">
        <v>3967</v>
      </c>
      <c r="B371" s="79" t="s">
        <v>3343</v>
      </c>
      <c r="C371" s="79" t="s">
        <v>3344</v>
      </c>
      <c r="D371" s="79" t="s">
        <v>3233</v>
      </c>
      <c r="E371" s="79" t="s">
        <v>3344</v>
      </c>
      <c r="F371" s="80">
        <v>25.48</v>
      </c>
      <c r="G371" s="80">
        <v>10</v>
      </c>
      <c r="H371" s="80">
        <v>254.8</v>
      </c>
      <c r="I371" s="80">
        <v>1360.21</v>
      </c>
      <c r="J371" s="79" t="s">
        <v>2835</v>
      </c>
      <c r="K371" s="79" t="s">
        <v>3970</v>
      </c>
      <c r="L371" s="79" t="s">
        <v>3722</v>
      </c>
      <c r="M371" s="79" t="s">
        <v>3994</v>
      </c>
    </row>
    <row r="372" ht="285" spans="1:13">
      <c r="A372" s="79" t="s">
        <v>3967</v>
      </c>
      <c r="B372" s="79" t="s">
        <v>3995</v>
      </c>
      <c r="C372" s="79" t="s">
        <v>3996</v>
      </c>
      <c r="D372" s="79" t="s">
        <v>3981</v>
      </c>
      <c r="E372" s="79" t="s">
        <v>3996</v>
      </c>
      <c r="F372" s="80">
        <v>10.83</v>
      </c>
      <c r="G372" s="80">
        <v>4</v>
      </c>
      <c r="H372" s="80">
        <v>43.32</v>
      </c>
      <c r="I372" s="80">
        <v>1360.21</v>
      </c>
      <c r="J372" s="79" t="s">
        <v>2835</v>
      </c>
      <c r="K372" s="79" t="s">
        <v>3970</v>
      </c>
      <c r="L372" s="79" t="s">
        <v>3722</v>
      </c>
      <c r="M372" s="79" t="s">
        <v>3997</v>
      </c>
    </row>
    <row r="373" ht="285" spans="1:13">
      <c r="A373" s="79" t="s">
        <v>3967</v>
      </c>
      <c r="B373" s="79" t="s">
        <v>3998</v>
      </c>
      <c r="C373" s="79" t="s">
        <v>3999</v>
      </c>
      <c r="D373" s="79" t="s">
        <v>4000</v>
      </c>
      <c r="E373" s="79" t="s">
        <v>3999</v>
      </c>
      <c r="F373" s="80">
        <v>29.9</v>
      </c>
      <c r="G373" s="80">
        <v>4</v>
      </c>
      <c r="H373" s="80">
        <v>119.6</v>
      </c>
      <c r="I373" s="80">
        <v>1360.21</v>
      </c>
      <c r="J373" s="79" t="s">
        <v>2835</v>
      </c>
      <c r="K373" s="79" t="s">
        <v>3970</v>
      </c>
      <c r="L373" s="79" t="s">
        <v>3722</v>
      </c>
      <c r="M373" s="79" t="s">
        <v>4001</v>
      </c>
    </row>
    <row r="374" ht="285" spans="1:13">
      <c r="A374" s="79" t="s">
        <v>3967</v>
      </c>
      <c r="B374" s="79" t="s">
        <v>4002</v>
      </c>
      <c r="C374" s="79" t="s">
        <v>4003</v>
      </c>
      <c r="D374" s="79" t="s">
        <v>3981</v>
      </c>
      <c r="E374" s="79" t="s">
        <v>4003</v>
      </c>
      <c r="F374" s="80">
        <v>22.66</v>
      </c>
      <c r="G374" s="80">
        <v>4</v>
      </c>
      <c r="H374" s="80">
        <v>90.64</v>
      </c>
      <c r="I374" s="80">
        <v>1360.21</v>
      </c>
      <c r="J374" s="79" t="s">
        <v>2835</v>
      </c>
      <c r="K374" s="79" t="s">
        <v>3970</v>
      </c>
      <c r="L374" s="79" t="s">
        <v>3722</v>
      </c>
      <c r="M374" s="79" t="s">
        <v>4004</v>
      </c>
    </row>
    <row r="375" ht="285" spans="1:13">
      <c r="A375" s="79" t="s">
        <v>4005</v>
      </c>
      <c r="B375" s="79" t="s">
        <v>4006</v>
      </c>
      <c r="C375" s="79" t="s">
        <v>4007</v>
      </c>
      <c r="D375" s="79" t="s">
        <v>3400</v>
      </c>
      <c r="E375" s="79" t="s">
        <v>4008</v>
      </c>
      <c r="F375" s="80">
        <v>35</v>
      </c>
      <c r="G375" s="80">
        <v>2</v>
      </c>
      <c r="H375" s="80">
        <v>70</v>
      </c>
      <c r="I375" s="80">
        <v>70</v>
      </c>
      <c r="J375" s="79" t="s">
        <v>3768</v>
      </c>
      <c r="K375" s="79" t="s">
        <v>3970</v>
      </c>
      <c r="L375" s="79" t="s">
        <v>3722</v>
      </c>
      <c r="M375" s="79" t="s">
        <v>4009</v>
      </c>
    </row>
    <row r="376" ht="285" spans="1:13">
      <c r="A376" s="79" t="s">
        <v>3967</v>
      </c>
      <c r="B376" s="79" t="s">
        <v>4010</v>
      </c>
      <c r="C376" s="79" t="s">
        <v>4011</v>
      </c>
      <c r="D376" s="79" t="s">
        <v>4012</v>
      </c>
      <c r="E376" s="79" t="s">
        <v>4011</v>
      </c>
      <c r="F376" s="80">
        <v>11.22</v>
      </c>
      <c r="G376" s="80">
        <v>6</v>
      </c>
      <c r="H376" s="80">
        <v>67.32</v>
      </c>
      <c r="I376" s="80">
        <v>1360.21</v>
      </c>
      <c r="J376" s="79" t="s">
        <v>2835</v>
      </c>
      <c r="K376" s="79" t="s">
        <v>3970</v>
      </c>
      <c r="L376" s="79" t="s">
        <v>3722</v>
      </c>
      <c r="M376" s="79" t="s">
        <v>4013</v>
      </c>
    </row>
    <row r="377" ht="285" spans="1:13">
      <c r="A377" s="79" t="s">
        <v>3967</v>
      </c>
      <c r="B377" s="79" t="s">
        <v>4014</v>
      </c>
      <c r="C377" s="79" t="s">
        <v>4015</v>
      </c>
      <c r="D377" s="79" t="s">
        <v>3852</v>
      </c>
      <c r="E377" s="79" t="s">
        <v>4015</v>
      </c>
      <c r="F377" s="80">
        <v>13.65</v>
      </c>
      <c r="G377" s="80">
        <v>2</v>
      </c>
      <c r="H377" s="80">
        <v>27.3</v>
      </c>
      <c r="I377" s="80">
        <v>1360.21</v>
      </c>
      <c r="J377" s="79" t="s">
        <v>2835</v>
      </c>
      <c r="K377" s="79" t="s">
        <v>3970</v>
      </c>
      <c r="L377" s="79" t="s">
        <v>3722</v>
      </c>
      <c r="M377" s="79" t="s">
        <v>4016</v>
      </c>
    </row>
    <row r="378" ht="285" spans="1:13">
      <c r="A378" s="79" t="s">
        <v>4017</v>
      </c>
      <c r="B378" s="79" t="s">
        <v>2907</v>
      </c>
      <c r="C378" s="79" t="s">
        <v>2908</v>
      </c>
      <c r="D378" s="79" t="s">
        <v>2909</v>
      </c>
      <c r="E378" s="79" t="s">
        <v>2910</v>
      </c>
      <c r="F378" s="80">
        <v>0.22</v>
      </c>
      <c r="G378" s="80">
        <v>4000</v>
      </c>
      <c r="H378" s="80">
        <v>880</v>
      </c>
      <c r="I378" s="80">
        <v>880</v>
      </c>
      <c r="J378" s="79" t="s">
        <v>2911</v>
      </c>
      <c r="K378" s="79" t="s">
        <v>4018</v>
      </c>
      <c r="L378" s="79" t="s">
        <v>3722</v>
      </c>
      <c r="M378" s="79" t="s">
        <v>4019</v>
      </c>
    </row>
    <row r="379" ht="285" spans="1:13">
      <c r="A379" s="79" t="s">
        <v>4020</v>
      </c>
      <c r="B379" s="79" t="s">
        <v>3663</v>
      </c>
      <c r="C379" s="79" t="s">
        <v>3664</v>
      </c>
      <c r="D379" s="79" t="s">
        <v>2840</v>
      </c>
      <c r="E379" s="79" t="s">
        <v>3664</v>
      </c>
      <c r="F379" s="80">
        <v>23.6</v>
      </c>
      <c r="G379" s="80">
        <v>100</v>
      </c>
      <c r="H379" s="80">
        <v>2360</v>
      </c>
      <c r="I379" s="80">
        <v>2360</v>
      </c>
      <c r="J379" s="79" t="s">
        <v>3660</v>
      </c>
      <c r="K379" s="79" t="s">
        <v>4021</v>
      </c>
      <c r="L379" s="79" t="s">
        <v>3722</v>
      </c>
      <c r="M379" s="79" t="s">
        <v>4022</v>
      </c>
    </row>
    <row r="380" ht="285" spans="1:13">
      <c r="A380" s="79" t="s">
        <v>4023</v>
      </c>
      <c r="B380" s="79" t="s">
        <v>4024</v>
      </c>
      <c r="C380" s="79" t="s">
        <v>4025</v>
      </c>
      <c r="D380" s="79" t="s">
        <v>4026</v>
      </c>
      <c r="E380" s="79" t="s">
        <v>4025</v>
      </c>
      <c r="F380" s="80">
        <v>1166</v>
      </c>
      <c r="G380" s="80">
        <v>1</v>
      </c>
      <c r="H380" s="80">
        <v>1166</v>
      </c>
      <c r="I380" s="80">
        <v>1166</v>
      </c>
      <c r="J380" s="79" t="s">
        <v>4027</v>
      </c>
      <c r="K380" s="79" t="s">
        <v>4028</v>
      </c>
      <c r="L380" s="79" t="s">
        <v>3722</v>
      </c>
      <c r="M380" s="79" t="s">
        <v>4029</v>
      </c>
    </row>
    <row r="381" ht="285" spans="1:13">
      <c r="A381" s="79" t="s">
        <v>4030</v>
      </c>
      <c r="B381" s="79" t="s">
        <v>4031</v>
      </c>
      <c r="C381" s="79" t="s">
        <v>4032</v>
      </c>
      <c r="D381" s="79" t="s">
        <v>3119</v>
      </c>
      <c r="E381" s="79" t="s">
        <v>4032</v>
      </c>
      <c r="F381" s="80">
        <v>5.56</v>
      </c>
      <c r="G381" s="80">
        <v>10</v>
      </c>
      <c r="H381" s="80">
        <v>55.6</v>
      </c>
      <c r="I381" s="80">
        <v>197.76</v>
      </c>
      <c r="J381" s="79" t="s">
        <v>2835</v>
      </c>
      <c r="K381" s="79" t="s">
        <v>4033</v>
      </c>
      <c r="L381" s="79" t="s">
        <v>3722</v>
      </c>
      <c r="M381" s="79" t="s">
        <v>4034</v>
      </c>
    </row>
    <row r="382" ht="285" spans="1:13">
      <c r="A382" s="79" t="s">
        <v>4030</v>
      </c>
      <c r="B382" s="79" t="s">
        <v>4035</v>
      </c>
      <c r="C382" s="79" t="s">
        <v>4036</v>
      </c>
      <c r="D382" s="79" t="s">
        <v>2909</v>
      </c>
      <c r="E382" s="79" t="s">
        <v>4036</v>
      </c>
      <c r="F382" s="80">
        <v>6.01</v>
      </c>
      <c r="G382" s="80">
        <v>4</v>
      </c>
      <c r="H382" s="80">
        <v>24.04</v>
      </c>
      <c r="I382" s="80">
        <v>197.76</v>
      </c>
      <c r="J382" s="79" t="s">
        <v>2835</v>
      </c>
      <c r="K382" s="79" t="s">
        <v>4033</v>
      </c>
      <c r="L382" s="79" t="s">
        <v>3722</v>
      </c>
      <c r="M382" s="79" t="s">
        <v>4037</v>
      </c>
    </row>
    <row r="383" ht="285" spans="1:13">
      <c r="A383" s="79" t="s">
        <v>4030</v>
      </c>
      <c r="B383" s="79" t="s">
        <v>4038</v>
      </c>
      <c r="C383" s="79" t="s">
        <v>4039</v>
      </c>
      <c r="D383" s="79" t="s">
        <v>4040</v>
      </c>
      <c r="E383" s="79" t="s">
        <v>4039</v>
      </c>
      <c r="F383" s="80">
        <v>43.68</v>
      </c>
      <c r="G383" s="80">
        <v>1</v>
      </c>
      <c r="H383" s="80">
        <v>43.68</v>
      </c>
      <c r="I383" s="80">
        <v>197.76</v>
      </c>
      <c r="J383" s="79" t="s">
        <v>2835</v>
      </c>
      <c r="K383" s="79" t="s">
        <v>4033</v>
      </c>
      <c r="L383" s="79" t="s">
        <v>3722</v>
      </c>
      <c r="M383" s="79" t="s">
        <v>4041</v>
      </c>
    </row>
    <row r="384" ht="285" spans="1:13">
      <c r="A384" s="79" t="s">
        <v>4030</v>
      </c>
      <c r="B384" s="79" t="s">
        <v>4042</v>
      </c>
      <c r="C384" s="79" t="s">
        <v>4043</v>
      </c>
      <c r="D384" s="79" t="s">
        <v>4044</v>
      </c>
      <c r="E384" s="79" t="s">
        <v>4043</v>
      </c>
      <c r="F384" s="80">
        <v>37.22</v>
      </c>
      <c r="G384" s="80">
        <v>2</v>
      </c>
      <c r="H384" s="80">
        <v>74.44</v>
      </c>
      <c r="I384" s="80">
        <v>197.76</v>
      </c>
      <c r="J384" s="79" t="s">
        <v>2835</v>
      </c>
      <c r="K384" s="79" t="s">
        <v>4033</v>
      </c>
      <c r="L384" s="79" t="s">
        <v>3722</v>
      </c>
      <c r="M384" s="79" t="s">
        <v>4045</v>
      </c>
    </row>
    <row r="385" ht="285" spans="1:13">
      <c r="A385" s="79" t="s">
        <v>4046</v>
      </c>
      <c r="B385" s="79" t="s">
        <v>4047</v>
      </c>
      <c r="C385" s="79" t="s">
        <v>4048</v>
      </c>
      <c r="D385" s="79" t="s">
        <v>4049</v>
      </c>
      <c r="E385" s="79" t="s">
        <v>4048</v>
      </c>
      <c r="F385" s="80">
        <v>235</v>
      </c>
      <c r="G385" s="80">
        <v>1</v>
      </c>
      <c r="H385" s="80">
        <v>235</v>
      </c>
      <c r="I385" s="80">
        <v>235</v>
      </c>
      <c r="J385" s="79" t="s">
        <v>3660</v>
      </c>
      <c r="K385" s="79" t="s">
        <v>4050</v>
      </c>
      <c r="L385" s="79" t="s">
        <v>3722</v>
      </c>
      <c r="M385" s="79" t="s">
        <v>4051</v>
      </c>
    </row>
    <row r="386" ht="285" spans="1:13">
      <c r="A386" s="79" t="s">
        <v>4052</v>
      </c>
      <c r="B386" s="79" t="s">
        <v>4053</v>
      </c>
      <c r="C386" s="79" t="s">
        <v>4054</v>
      </c>
      <c r="D386" s="79" t="s">
        <v>4055</v>
      </c>
      <c r="E386" s="79" t="s">
        <v>4054</v>
      </c>
      <c r="F386" s="80">
        <v>800</v>
      </c>
      <c r="G386" s="80">
        <v>1</v>
      </c>
      <c r="H386" s="80">
        <v>800</v>
      </c>
      <c r="I386" s="80">
        <v>800</v>
      </c>
      <c r="J386" s="79" t="s">
        <v>4056</v>
      </c>
      <c r="K386" s="79" t="s">
        <v>4057</v>
      </c>
      <c r="L386" s="79" t="s">
        <v>3722</v>
      </c>
      <c r="M386" s="79" t="s">
        <v>4058</v>
      </c>
    </row>
    <row r="387" ht="285" spans="1:13">
      <c r="A387" s="79" t="s">
        <v>4059</v>
      </c>
      <c r="B387" s="79" t="s">
        <v>4053</v>
      </c>
      <c r="C387" s="79" t="s">
        <v>4054</v>
      </c>
      <c r="D387" s="79" t="s">
        <v>4055</v>
      </c>
      <c r="E387" s="79" t="s">
        <v>4054</v>
      </c>
      <c r="F387" s="80">
        <v>3200</v>
      </c>
      <c r="G387" s="80">
        <v>1</v>
      </c>
      <c r="H387" s="80">
        <v>3200</v>
      </c>
      <c r="I387" s="80">
        <v>3200</v>
      </c>
      <c r="J387" s="79" t="s">
        <v>4056</v>
      </c>
      <c r="K387" s="79" t="s">
        <v>4057</v>
      </c>
      <c r="L387" s="79" t="s">
        <v>3722</v>
      </c>
      <c r="M387" s="79" t="s">
        <v>4060</v>
      </c>
    </row>
    <row r="388" ht="285" spans="1:13">
      <c r="A388" s="79" t="s">
        <v>4061</v>
      </c>
      <c r="B388" s="79" t="s">
        <v>2858</v>
      </c>
      <c r="C388" s="79" t="s">
        <v>2859</v>
      </c>
      <c r="D388" s="79" t="s">
        <v>2860</v>
      </c>
      <c r="E388" s="79" t="s">
        <v>2859</v>
      </c>
      <c r="F388" s="80">
        <v>73070.04</v>
      </c>
      <c r="G388" s="80">
        <v>1</v>
      </c>
      <c r="H388" s="80">
        <v>73070.04</v>
      </c>
      <c r="I388" s="80">
        <v>73070.04</v>
      </c>
      <c r="J388" s="79" t="s">
        <v>2861</v>
      </c>
      <c r="K388" s="79" t="s">
        <v>4062</v>
      </c>
      <c r="L388" s="79" t="s">
        <v>3722</v>
      </c>
      <c r="M388" s="79" t="s">
        <v>4063</v>
      </c>
    </row>
    <row r="389" ht="285" spans="1:13">
      <c r="A389" s="79" t="s">
        <v>4064</v>
      </c>
      <c r="B389" s="79" t="s">
        <v>4065</v>
      </c>
      <c r="C389" s="79" t="s">
        <v>4066</v>
      </c>
      <c r="D389" s="79" t="s">
        <v>4067</v>
      </c>
      <c r="E389" s="79" t="s">
        <v>4066</v>
      </c>
      <c r="F389" s="80">
        <v>326.69</v>
      </c>
      <c r="G389" s="80">
        <v>2</v>
      </c>
      <c r="H389" s="80">
        <v>653.38</v>
      </c>
      <c r="I389" s="80">
        <v>653.38</v>
      </c>
      <c r="J389" s="79" t="s">
        <v>2835</v>
      </c>
      <c r="K389" s="79" t="s">
        <v>4068</v>
      </c>
      <c r="L389" s="79" t="s">
        <v>3722</v>
      </c>
      <c r="M389" s="79" t="s">
        <v>4069</v>
      </c>
    </row>
    <row r="390" ht="285" spans="1:13">
      <c r="A390" s="79" t="s">
        <v>4070</v>
      </c>
      <c r="B390" s="79" t="s">
        <v>4071</v>
      </c>
      <c r="C390" s="79" t="s">
        <v>4072</v>
      </c>
      <c r="D390" s="79" t="s">
        <v>3274</v>
      </c>
      <c r="E390" s="79" t="s">
        <v>4073</v>
      </c>
      <c r="F390" s="80">
        <v>112</v>
      </c>
      <c r="G390" s="80">
        <v>12</v>
      </c>
      <c r="H390" s="80">
        <v>1344</v>
      </c>
      <c r="I390" s="80">
        <v>5769</v>
      </c>
      <c r="J390" s="79" t="s">
        <v>3461</v>
      </c>
      <c r="K390" s="79" t="s">
        <v>4074</v>
      </c>
      <c r="L390" s="79" t="s">
        <v>3722</v>
      </c>
      <c r="M390" s="79" t="s">
        <v>4075</v>
      </c>
    </row>
    <row r="391" ht="285" spans="1:13">
      <c r="A391" s="79" t="s">
        <v>4070</v>
      </c>
      <c r="B391" s="79" t="s">
        <v>4076</v>
      </c>
      <c r="C391" s="79" t="s">
        <v>4077</v>
      </c>
      <c r="D391" s="79" t="s">
        <v>3274</v>
      </c>
      <c r="E391" s="79" t="s">
        <v>4078</v>
      </c>
      <c r="F391" s="80">
        <v>285</v>
      </c>
      <c r="G391" s="80">
        <v>3</v>
      </c>
      <c r="H391" s="80">
        <v>855</v>
      </c>
      <c r="I391" s="80">
        <v>5769</v>
      </c>
      <c r="J391" s="79" t="s">
        <v>3461</v>
      </c>
      <c r="K391" s="79" t="s">
        <v>4074</v>
      </c>
      <c r="L391" s="79" t="s">
        <v>3722</v>
      </c>
      <c r="M391" s="79" t="s">
        <v>4079</v>
      </c>
    </row>
    <row r="392" ht="285" spans="1:13">
      <c r="A392" s="79" t="s">
        <v>4070</v>
      </c>
      <c r="B392" s="79" t="s">
        <v>4080</v>
      </c>
      <c r="C392" s="79" t="s">
        <v>4081</v>
      </c>
      <c r="D392" s="79" t="s">
        <v>3274</v>
      </c>
      <c r="E392" s="79" t="s">
        <v>4082</v>
      </c>
      <c r="F392" s="80">
        <v>605</v>
      </c>
      <c r="G392" s="80">
        <v>3</v>
      </c>
      <c r="H392" s="80">
        <v>1815</v>
      </c>
      <c r="I392" s="80">
        <v>5769</v>
      </c>
      <c r="J392" s="79" t="s">
        <v>3461</v>
      </c>
      <c r="K392" s="79" t="s">
        <v>4074</v>
      </c>
      <c r="L392" s="79" t="s">
        <v>3722</v>
      </c>
      <c r="M392" s="79" t="s">
        <v>4083</v>
      </c>
    </row>
    <row r="393" ht="285" spans="1:13">
      <c r="A393" s="79" t="s">
        <v>4070</v>
      </c>
      <c r="B393" s="79" t="s">
        <v>4084</v>
      </c>
      <c r="C393" s="79" t="s">
        <v>4085</v>
      </c>
      <c r="D393" s="79" t="s">
        <v>3274</v>
      </c>
      <c r="E393" s="79" t="s">
        <v>4086</v>
      </c>
      <c r="F393" s="80">
        <v>260</v>
      </c>
      <c r="G393" s="80">
        <v>6</v>
      </c>
      <c r="H393" s="80">
        <v>1560</v>
      </c>
      <c r="I393" s="80">
        <v>5769</v>
      </c>
      <c r="J393" s="79" t="s">
        <v>3461</v>
      </c>
      <c r="K393" s="79" t="s">
        <v>4074</v>
      </c>
      <c r="L393" s="79" t="s">
        <v>3722</v>
      </c>
      <c r="M393" s="79" t="s">
        <v>4087</v>
      </c>
    </row>
    <row r="394" ht="285" spans="1:13">
      <c r="A394" s="79" t="s">
        <v>4070</v>
      </c>
      <c r="B394" s="79" t="s">
        <v>4088</v>
      </c>
      <c r="C394" s="79" t="s">
        <v>4089</v>
      </c>
      <c r="D394" s="79" t="s">
        <v>3274</v>
      </c>
      <c r="E394" s="79" t="s">
        <v>4090</v>
      </c>
      <c r="F394" s="80">
        <v>65</v>
      </c>
      <c r="G394" s="80">
        <v>3</v>
      </c>
      <c r="H394" s="80">
        <v>195</v>
      </c>
      <c r="I394" s="80">
        <v>5769</v>
      </c>
      <c r="J394" s="79" t="s">
        <v>3461</v>
      </c>
      <c r="K394" s="79" t="s">
        <v>4074</v>
      </c>
      <c r="L394" s="79" t="s">
        <v>3722</v>
      </c>
      <c r="M394" s="79" t="s">
        <v>4091</v>
      </c>
    </row>
    <row r="395" ht="285" spans="1:13">
      <c r="A395" s="79" t="s">
        <v>4092</v>
      </c>
      <c r="B395" s="79" t="s">
        <v>2907</v>
      </c>
      <c r="C395" s="79" t="s">
        <v>2908</v>
      </c>
      <c r="D395" s="79" t="s">
        <v>2909</v>
      </c>
      <c r="E395" s="79" t="s">
        <v>2910</v>
      </c>
      <c r="F395" s="80">
        <v>0.22</v>
      </c>
      <c r="G395" s="80">
        <v>4000</v>
      </c>
      <c r="H395" s="80">
        <v>880</v>
      </c>
      <c r="I395" s="80">
        <v>880</v>
      </c>
      <c r="J395" s="79" t="s">
        <v>2911</v>
      </c>
      <c r="K395" s="79" t="s">
        <v>4093</v>
      </c>
      <c r="L395" s="79" t="s">
        <v>3722</v>
      </c>
      <c r="M395" s="79" t="s">
        <v>4094</v>
      </c>
    </row>
    <row r="396" ht="285" spans="1:13">
      <c r="A396" s="79" t="s">
        <v>4095</v>
      </c>
      <c r="B396" s="79" t="s">
        <v>4096</v>
      </c>
      <c r="C396" s="79" t="s">
        <v>4097</v>
      </c>
      <c r="D396" s="79" t="s">
        <v>4098</v>
      </c>
      <c r="E396" s="79" t="s">
        <v>4099</v>
      </c>
      <c r="F396" s="80">
        <v>12</v>
      </c>
      <c r="G396" s="80">
        <v>20</v>
      </c>
      <c r="H396" s="80">
        <v>240</v>
      </c>
      <c r="I396" s="80">
        <v>240</v>
      </c>
      <c r="J396" s="79" t="s">
        <v>4100</v>
      </c>
      <c r="K396" s="79" t="s">
        <v>4093</v>
      </c>
      <c r="L396" s="79" t="s">
        <v>3722</v>
      </c>
      <c r="M396" s="79" t="s">
        <v>4101</v>
      </c>
    </row>
    <row r="397" ht="285" spans="1:13">
      <c r="A397" s="79" t="s">
        <v>4102</v>
      </c>
      <c r="B397" s="79" t="s">
        <v>4103</v>
      </c>
      <c r="C397" s="79" t="s">
        <v>4104</v>
      </c>
      <c r="D397" s="79" t="s">
        <v>4105</v>
      </c>
      <c r="E397" s="79" t="s">
        <v>4104</v>
      </c>
      <c r="F397" s="80">
        <v>53.69</v>
      </c>
      <c r="G397" s="80">
        <v>1</v>
      </c>
      <c r="H397" s="80">
        <v>53.69</v>
      </c>
      <c r="I397" s="80">
        <v>53.69</v>
      </c>
      <c r="J397" s="79" t="s">
        <v>2835</v>
      </c>
      <c r="K397" s="79" t="s">
        <v>4106</v>
      </c>
      <c r="L397" s="79" t="s">
        <v>3722</v>
      </c>
      <c r="M397" s="79" t="s">
        <v>4107</v>
      </c>
    </row>
    <row r="398" ht="285" spans="1:13">
      <c r="A398" s="79" t="s">
        <v>4108</v>
      </c>
      <c r="B398" s="79" t="s">
        <v>4109</v>
      </c>
      <c r="C398" s="79" t="s">
        <v>4110</v>
      </c>
      <c r="D398" s="79" t="s">
        <v>3945</v>
      </c>
      <c r="E398" s="79" t="s">
        <v>3946</v>
      </c>
      <c r="F398" s="80">
        <v>226.42</v>
      </c>
      <c r="G398" s="80">
        <v>2</v>
      </c>
      <c r="H398" s="80">
        <v>452.84</v>
      </c>
      <c r="I398" s="80">
        <v>452.84</v>
      </c>
      <c r="J398" s="79" t="s">
        <v>3776</v>
      </c>
      <c r="K398" s="79" t="s">
        <v>4106</v>
      </c>
      <c r="L398" s="79" t="s">
        <v>3722</v>
      </c>
      <c r="M398" s="79" t="s">
        <v>4111</v>
      </c>
    </row>
    <row r="399" ht="390" spans="1:13">
      <c r="A399" s="79" t="s">
        <v>4112</v>
      </c>
      <c r="B399" s="79" t="s">
        <v>3071</v>
      </c>
      <c r="C399" s="79" t="s">
        <v>3072</v>
      </c>
      <c r="D399" s="79" t="s">
        <v>3064</v>
      </c>
      <c r="E399" s="79" t="s">
        <v>136</v>
      </c>
      <c r="F399" s="80">
        <v>718</v>
      </c>
      <c r="G399" s="80">
        <v>48</v>
      </c>
      <c r="H399" s="80">
        <v>34464</v>
      </c>
      <c r="I399" s="80">
        <v>38904</v>
      </c>
      <c r="J399" s="79" t="s">
        <v>3065</v>
      </c>
      <c r="K399" s="79" t="s">
        <v>4113</v>
      </c>
      <c r="L399" s="79" t="s">
        <v>3722</v>
      </c>
      <c r="M399" s="79" t="s">
        <v>4114</v>
      </c>
    </row>
    <row r="400" ht="375" spans="1:13">
      <c r="A400" s="79" t="s">
        <v>4112</v>
      </c>
      <c r="B400" s="79" t="s">
        <v>4115</v>
      </c>
      <c r="C400" s="79" t="s">
        <v>4116</v>
      </c>
      <c r="D400" s="79" t="s">
        <v>3064</v>
      </c>
      <c r="E400" s="79" t="s">
        <v>136</v>
      </c>
      <c r="F400" s="80">
        <v>185</v>
      </c>
      <c r="G400" s="80">
        <v>24</v>
      </c>
      <c r="H400" s="80">
        <v>4440</v>
      </c>
      <c r="I400" s="80">
        <v>38904</v>
      </c>
      <c r="J400" s="79" t="s">
        <v>3065</v>
      </c>
      <c r="K400" s="79" t="s">
        <v>4113</v>
      </c>
      <c r="L400" s="79" t="s">
        <v>3722</v>
      </c>
      <c r="M400" s="79" t="s">
        <v>4117</v>
      </c>
    </row>
    <row r="401" ht="285" spans="1:13">
      <c r="A401" s="79" t="s">
        <v>4118</v>
      </c>
      <c r="B401" s="79" t="s">
        <v>4109</v>
      </c>
      <c r="C401" s="79" t="s">
        <v>4110</v>
      </c>
      <c r="D401" s="79" t="s">
        <v>3945</v>
      </c>
      <c r="E401" s="79" t="s">
        <v>3946</v>
      </c>
      <c r="F401" s="80">
        <v>226.42</v>
      </c>
      <c r="G401" s="80">
        <v>5</v>
      </c>
      <c r="H401" s="80">
        <v>1132.1</v>
      </c>
      <c r="I401" s="80">
        <v>1168.85</v>
      </c>
      <c r="J401" s="79" t="s">
        <v>3776</v>
      </c>
      <c r="K401" s="79" t="s">
        <v>4119</v>
      </c>
      <c r="L401" s="79" t="s">
        <v>3722</v>
      </c>
      <c r="M401" s="79" t="s">
        <v>4120</v>
      </c>
    </row>
    <row r="402" ht="285" spans="1:13">
      <c r="A402" s="79" t="s">
        <v>4118</v>
      </c>
      <c r="B402" s="79" t="s">
        <v>4121</v>
      </c>
      <c r="C402" s="79" t="s">
        <v>4122</v>
      </c>
      <c r="D402" s="79" t="s">
        <v>3604</v>
      </c>
      <c r="E402" s="79" t="s">
        <v>4123</v>
      </c>
      <c r="F402" s="80">
        <v>2.45</v>
      </c>
      <c r="G402" s="80">
        <v>15</v>
      </c>
      <c r="H402" s="80">
        <v>36.75</v>
      </c>
      <c r="I402" s="80">
        <v>1168.85</v>
      </c>
      <c r="J402" s="79" t="s">
        <v>3776</v>
      </c>
      <c r="K402" s="79" t="s">
        <v>4119</v>
      </c>
      <c r="L402" s="79" t="s">
        <v>3722</v>
      </c>
      <c r="M402" s="79" t="s">
        <v>4124</v>
      </c>
    </row>
    <row r="403" ht="285" spans="1:13">
      <c r="A403" s="79" t="s">
        <v>4125</v>
      </c>
      <c r="B403" s="79" t="s">
        <v>3663</v>
      </c>
      <c r="C403" s="79" t="s">
        <v>3664</v>
      </c>
      <c r="D403" s="79" t="s">
        <v>2840</v>
      </c>
      <c r="E403" s="79" t="s">
        <v>3664</v>
      </c>
      <c r="F403" s="80">
        <v>23.6</v>
      </c>
      <c r="G403" s="80">
        <v>100</v>
      </c>
      <c r="H403" s="80">
        <v>2360</v>
      </c>
      <c r="I403" s="80">
        <v>2360</v>
      </c>
      <c r="J403" s="79" t="s">
        <v>3660</v>
      </c>
      <c r="K403" s="79" t="s">
        <v>4126</v>
      </c>
      <c r="L403" s="79" t="s">
        <v>3722</v>
      </c>
      <c r="M403" s="79" t="s">
        <v>4127</v>
      </c>
    </row>
    <row r="404" ht="285" spans="1:13">
      <c r="A404" s="79" t="s">
        <v>4128</v>
      </c>
      <c r="B404" s="79" t="s">
        <v>4129</v>
      </c>
      <c r="C404" s="79" t="s">
        <v>4130</v>
      </c>
      <c r="D404" s="79" t="s">
        <v>4131</v>
      </c>
      <c r="E404" s="79" t="s">
        <v>4130</v>
      </c>
      <c r="F404" s="80">
        <v>2041.31</v>
      </c>
      <c r="G404" s="80">
        <v>1</v>
      </c>
      <c r="H404" s="80">
        <v>2041.31</v>
      </c>
      <c r="I404" s="80">
        <v>2041.31</v>
      </c>
      <c r="J404" s="79" t="s">
        <v>2835</v>
      </c>
      <c r="K404" s="79" t="s">
        <v>4132</v>
      </c>
      <c r="L404" s="79" t="s">
        <v>3722</v>
      </c>
      <c r="M404" s="79" t="s">
        <v>4133</v>
      </c>
    </row>
    <row r="405" ht="285" spans="1:13">
      <c r="A405" s="79" t="s">
        <v>4134</v>
      </c>
      <c r="B405" s="79" t="s">
        <v>4135</v>
      </c>
      <c r="C405" s="79" t="s">
        <v>4136</v>
      </c>
      <c r="D405" s="79" t="s">
        <v>2958</v>
      </c>
      <c r="E405" s="79" t="s">
        <v>4136</v>
      </c>
      <c r="F405" s="80">
        <v>22.75</v>
      </c>
      <c r="G405" s="80">
        <v>40</v>
      </c>
      <c r="H405" s="80">
        <v>910</v>
      </c>
      <c r="I405" s="80">
        <v>2091.66</v>
      </c>
      <c r="J405" s="79" t="s">
        <v>2835</v>
      </c>
      <c r="K405" s="79" t="s">
        <v>4137</v>
      </c>
      <c r="L405" s="79" t="s">
        <v>3722</v>
      </c>
      <c r="M405" s="79" t="s">
        <v>4138</v>
      </c>
    </row>
    <row r="406" ht="285" spans="1:13">
      <c r="A406" s="79" t="s">
        <v>4134</v>
      </c>
      <c r="B406" s="79" t="s">
        <v>3990</v>
      </c>
      <c r="C406" s="79" t="s">
        <v>3991</v>
      </c>
      <c r="D406" s="79" t="s">
        <v>3981</v>
      </c>
      <c r="E406" s="79" t="s">
        <v>3991</v>
      </c>
      <c r="F406" s="80">
        <v>27.84</v>
      </c>
      <c r="G406" s="80">
        <v>4</v>
      </c>
      <c r="H406" s="80">
        <v>111.36</v>
      </c>
      <c r="I406" s="80">
        <v>2091.66</v>
      </c>
      <c r="J406" s="79" t="s">
        <v>2835</v>
      </c>
      <c r="K406" s="79" t="s">
        <v>4137</v>
      </c>
      <c r="L406" s="79" t="s">
        <v>3722</v>
      </c>
      <c r="M406" s="79" t="s">
        <v>4139</v>
      </c>
    </row>
    <row r="407" ht="285" spans="1:13">
      <c r="A407" s="79" t="s">
        <v>4134</v>
      </c>
      <c r="B407" s="79" t="s">
        <v>4140</v>
      </c>
      <c r="C407" s="79" t="s">
        <v>4141</v>
      </c>
      <c r="D407" s="79" t="s">
        <v>4142</v>
      </c>
      <c r="E407" s="79" t="s">
        <v>4141</v>
      </c>
      <c r="F407" s="80">
        <v>14.47</v>
      </c>
      <c r="G407" s="80">
        <v>2</v>
      </c>
      <c r="H407" s="80">
        <v>28.94</v>
      </c>
      <c r="I407" s="80">
        <v>2091.66</v>
      </c>
      <c r="J407" s="79" t="s">
        <v>2835</v>
      </c>
      <c r="K407" s="79" t="s">
        <v>4137</v>
      </c>
      <c r="L407" s="79" t="s">
        <v>3722</v>
      </c>
      <c r="M407" s="79" t="s">
        <v>4143</v>
      </c>
    </row>
    <row r="408" ht="285" spans="1:13">
      <c r="A408" s="79" t="s">
        <v>4134</v>
      </c>
      <c r="B408" s="79" t="s">
        <v>3983</v>
      </c>
      <c r="C408" s="79" t="s">
        <v>3984</v>
      </c>
      <c r="D408" s="79" t="s">
        <v>3826</v>
      </c>
      <c r="E408" s="79" t="s">
        <v>3984</v>
      </c>
      <c r="F408" s="80">
        <v>9.36</v>
      </c>
      <c r="G408" s="80">
        <v>2</v>
      </c>
      <c r="H408" s="80">
        <v>18.72</v>
      </c>
      <c r="I408" s="80">
        <v>2091.66</v>
      </c>
      <c r="J408" s="79" t="s">
        <v>2835</v>
      </c>
      <c r="K408" s="79" t="s">
        <v>4137</v>
      </c>
      <c r="L408" s="79" t="s">
        <v>3722</v>
      </c>
      <c r="M408" s="79" t="s">
        <v>4144</v>
      </c>
    </row>
    <row r="409" ht="285" spans="1:13">
      <c r="A409" s="79" t="s">
        <v>4134</v>
      </c>
      <c r="B409" s="79" t="s">
        <v>4145</v>
      </c>
      <c r="C409" s="79" t="s">
        <v>4146</v>
      </c>
      <c r="D409" s="79" t="s">
        <v>3233</v>
      </c>
      <c r="E409" s="79" t="s">
        <v>4146</v>
      </c>
      <c r="F409" s="80">
        <v>26.39</v>
      </c>
      <c r="G409" s="80">
        <v>8</v>
      </c>
      <c r="H409" s="80">
        <v>211.12</v>
      </c>
      <c r="I409" s="80">
        <v>2091.66</v>
      </c>
      <c r="J409" s="79" t="s">
        <v>2835</v>
      </c>
      <c r="K409" s="79" t="s">
        <v>4137</v>
      </c>
      <c r="L409" s="79" t="s">
        <v>3722</v>
      </c>
      <c r="M409" s="79" t="s">
        <v>4147</v>
      </c>
    </row>
    <row r="410" ht="285" spans="1:13">
      <c r="A410" s="79" t="s">
        <v>4134</v>
      </c>
      <c r="B410" s="79" t="s">
        <v>4148</v>
      </c>
      <c r="C410" s="79" t="s">
        <v>4149</v>
      </c>
      <c r="D410" s="79" t="s">
        <v>3981</v>
      </c>
      <c r="E410" s="79" t="s">
        <v>4149</v>
      </c>
      <c r="F410" s="80">
        <v>34.2</v>
      </c>
      <c r="G410" s="80">
        <v>4</v>
      </c>
      <c r="H410" s="80">
        <v>136.8</v>
      </c>
      <c r="I410" s="80">
        <v>2091.66</v>
      </c>
      <c r="J410" s="79" t="s">
        <v>2835</v>
      </c>
      <c r="K410" s="79" t="s">
        <v>4137</v>
      </c>
      <c r="L410" s="79" t="s">
        <v>3722</v>
      </c>
      <c r="M410" s="79" t="s">
        <v>4150</v>
      </c>
    </row>
    <row r="411" ht="285" spans="1:13">
      <c r="A411" s="79" t="s">
        <v>4134</v>
      </c>
      <c r="B411" s="79" t="s">
        <v>3972</v>
      </c>
      <c r="C411" s="79" t="s">
        <v>3973</v>
      </c>
      <c r="D411" s="79" t="s">
        <v>3974</v>
      </c>
      <c r="E411" s="79" t="s">
        <v>3973</v>
      </c>
      <c r="F411" s="80">
        <v>21.76</v>
      </c>
      <c r="G411" s="80">
        <v>10</v>
      </c>
      <c r="H411" s="80">
        <v>217.6</v>
      </c>
      <c r="I411" s="80">
        <v>2091.66</v>
      </c>
      <c r="J411" s="79" t="s">
        <v>2835</v>
      </c>
      <c r="K411" s="79" t="s">
        <v>4137</v>
      </c>
      <c r="L411" s="79" t="s">
        <v>3722</v>
      </c>
      <c r="M411" s="79" t="s">
        <v>4151</v>
      </c>
    </row>
    <row r="412" ht="285" spans="1:13">
      <c r="A412" s="79" t="s">
        <v>4134</v>
      </c>
      <c r="B412" s="79" t="s">
        <v>4152</v>
      </c>
      <c r="C412" s="79" t="s">
        <v>4153</v>
      </c>
      <c r="D412" s="79" t="s">
        <v>4154</v>
      </c>
      <c r="E412" s="79" t="s">
        <v>4153</v>
      </c>
      <c r="F412" s="80">
        <v>27.21</v>
      </c>
      <c r="G412" s="80">
        <v>4</v>
      </c>
      <c r="H412" s="80">
        <v>108.84</v>
      </c>
      <c r="I412" s="80">
        <v>2091.66</v>
      </c>
      <c r="J412" s="79" t="s">
        <v>2835</v>
      </c>
      <c r="K412" s="79" t="s">
        <v>4137</v>
      </c>
      <c r="L412" s="79" t="s">
        <v>3722</v>
      </c>
      <c r="M412" s="79" t="s">
        <v>4155</v>
      </c>
    </row>
    <row r="413" ht="285" spans="1:13">
      <c r="A413" s="79" t="s">
        <v>4134</v>
      </c>
      <c r="B413" s="79" t="s">
        <v>3979</v>
      </c>
      <c r="C413" s="79" t="s">
        <v>3980</v>
      </c>
      <c r="D413" s="79" t="s">
        <v>3981</v>
      </c>
      <c r="E413" s="79" t="s">
        <v>3980</v>
      </c>
      <c r="F413" s="80">
        <v>36.31</v>
      </c>
      <c r="G413" s="80">
        <v>4</v>
      </c>
      <c r="H413" s="80">
        <v>145.24</v>
      </c>
      <c r="I413" s="80">
        <v>2091.66</v>
      </c>
      <c r="J413" s="79" t="s">
        <v>2835</v>
      </c>
      <c r="K413" s="79" t="s">
        <v>4137</v>
      </c>
      <c r="L413" s="79" t="s">
        <v>3722</v>
      </c>
      <c r="M413" s="79" t="s">
        <v>4156</v>
      </c>
    </row>
    <row r="414" ht="285" spans="1:13">
      <c r="A414" s="79" t="s">
        <v>4134</v>
      </c>
      <c r="B414" s="79" t="s">
        <v>4010</v>
      </c>
      <c r="C414" s="79" t="s">
        <v>4011</v>
      </c>
      <c r="D414" s="79" t="s">
        <v>4012</v>
      </c>
      <c r="E414" s="79" t="s">
        <v>4011</v>
      </c>
      <c r="F414" s="80">
        <v>11.22</v>
      </c>
      <c r="G414" s="80">
        <v>6</v>
      </c>
      <c r="H414" s="80">
        <v>67.32</v>
      </c>
      <c r="I414" s="80">
        <v>2091.66</v>
      </c>
      <c r="J414" s="79" t="s">
        <v>2835</v>
      </c>
      <c r="K414" s="79" t="s">
        <v>4137</v>
      </c>
      <c r="L414" s="79" t="s">
        <v>3722</v>
      </c>
      <c r="M414" s="79" t="s">
        <v>4157</v>
      </c>
    </row>
    <row r="415" ht="285" spans="1:13">
      <c r="A415" s="79" t="s">
        <v>4134</v>
      </c>
      <c r="B415" s="79" t="s">
        <v>4158</v>
      </c>
      <c r="C415" s="79" t="s">
        <v>4159</v>
      </c>
      <c r="D415" s="79" t="s">
        <v>4160</v>
      </c>
      <c r="E415" s="79" t="s">
        <v>4159</v>
      </c>
      <c r="F415" s="80">
        <v>11.31</v>
      </c>
      <c r="G415" s="80">
        <v>12</v>
      </c>
      <c r="H415" s="80">
        <v>135.72</v>
      </c>
      <c r="I415" s="80">
        <v>2091.66</v>
      </c>
      <c r="J415" s="79" t="s">
        <v>2835</v>
      </c>
      <c r="K415" s="79" t="s">
        <v>4137</v>
      </c>
      <c r="L415" s="79" t="s">
        <v>3722</v>
      </c>
      <c r="M415" s="79" t="s">
        <v>4161</v>
      </c>
    </row>
    <row r="416" ht="285" spans="1:13">
      <c r="A416" s="79" t="s">
        <v>4162</v>
      </c>
      <c r="B416" s="79" t="s">
        <v>4163</v>
      </c>
      <c r="C416" s="79" t="s">
        <v>4164</v>
      </c>
      <c r="D416" s="79" t="s">
        <v>3813</v>
      </c>
      <c r="E416" s="79" t="s">
        <v>2940</v>
      </c>
      <c r="F416" s="80">
        <v>33</v>
      </c>
      <c r="G416" s="80">
        <v>5</v>
      </c>
      <c r="H416" s="80">
        <v>165</v>
      </c>
      <c r="I416" s="80">
        <v>165</v>
      </c>
      <c r="J416" s="79" t="s">
        <v>3768</v>
      </c>
      <c r="K416" s="79" t="s">
        <v>4137</v>
      </c>
      <c r="L416" s="79" t="s">
        <v>3722</v>
      </c>
      <c r="M416" s="79" t="s">
        <v>4165</v>
      </c>
    </row>
    <row r="417" ht="285" spans="1:13">
      <c r="A417" s="79" t="s">
        <v>4166</v>
      </c>
      <c r="B417" s="79" t="s">
        <v>4167</v>
      </c>
      <c r="C417" s="79" t="s">
        <v>4168</v>
      </c>
      <c r="D417" s="79" t="s">
        <v>4169</v>
      </c>
      <c r="E417" s="79" t="s">
        <v>4170</v>
      </c>
      <c r="F417" s="80">
        <v>380</v>
      </c>
      <c r="G417" s="80">
        <v>27</v>
      </c>
      <c r="H417" s="80">
        <v>10404.4</v>
      </c>
      <c r="I417" s="80">
        <v>18193</v>
      </c>
      <c r="J417" s="79" t="s">
        <v>4171</v>
      </c>
      <c r="K417" s="79" t="s">
        <v>4172</v>
      </c>
      <c r="L417" s="79" t="s">
        <v>3722</v>
      </c>
      <c r="M417" s="79" t="s">
        <v>4173</v>
      </c>
    </row>
    <row r="418" ht="285" spans="1:13">
      <c r="A418" s="79" t="s">
        <v>4166</v>
      </c>
      <c r="B418" s="79" t="s">
        <v>4174</v>
      </c>
      <c r="C418" s="79" t="s">
        <v>4175</v>
      </c>
      <c r="D418" s="79" t="s">
        <v>4169</v>
      </c>
      <c r="E418" s="79" t="s">
        <v>4170</v>
      </c>
      <c r="F418" s="80">
        <v>180</v>
      </c>
      <c r="G418" s="80">
        <v>43</v>
      </c>
      <c r="H418" s="80">
        <v>7788.6</v>
      </c>
      <c r="I418" s="80">
        <v>18193</v>
      </c>
      <c r="J418" s="79" t="s">
        <v>4171</v>
      </c>
      <c r="K418" s="79" t="s">
        <v>4172</v>
      </c>
      <c r="L418" s="79" t="s">
        <v>3722</v>
      </c>
      <c r="M418" s="79" t="s">
        <v>4176</v>
      </c>
    </row>
    <row r="419" ht="300" spans="1:13">
      <c r="A419" s="79" t="s">
        <v>4177</v>
      </c>
      <c r="B419" s="79" t="s">
        <v>4178</v>
      </c>
      <c r="C419" s="79" t="s">
        <v>4179</v>
      </c>
      <c r="D419" s="79" t="s">
        <v>3056</v>
      </c>
      <c r="E419" s="79" t="s">
        <v>4179</v>
      </c>
      <c r="F419" s="80">
        <v>44.5</v>
      </c>
      <c r="G419" s="80">
        <v>5</v>
      </c>
      <c r="H419" s="80">
        <v>222.5</v>
      </c>
      <c r="I419" s="80">
        <v>5258.34</v>
      </c>
      <c r="J419" s="79" t="s">
        <v>2835</v>
      </c>
      <c r="K419" s="79" t="s">
        <v>4180</v>
      </c>
      <c r="L419" s="79" t="s">
        <v>4181</v>
      </c>
      <c r="M419" s="79" t="s">
        <v>4182</v>
      </c>
    </row>
    <row r="420" ht="300" spans="1:13">
      <c r="A420" s="79" t="s">
        <v>4177</v>
      </c>
      <c r="B420" s="79" t="s">
        <v>4183</v>
      </c>
      <c r="C420" s="79" t="s">
        <v>4184</v>
      </c>
      <c r="D420" s="79" t="s">
        <v>4185</v>
      </c>
      <c r="E420" s="79" t="s">
        <v>4184</v>
      </c>
      <c r="F420" s="80">
        <v>49.96</v>
      </c>
      <c r="G420" s="80">
        <v>6</v>
      </c>
      <c r="H420" s="80">
        <v>299.76</v>
      </c>
      <c r="I420" s="80">
        <v>5258.34</v>
      </c>
      <c r="J420" s="79" t="s">
        <v>2835</v>
      </c>
      <c r="K420" s="79" t="s">
        <v>4180</v>
      </c>
      <c r="L420" s="79" t="s">
        <v>4181</v>
      </c>
      <c r="M420" s="79" t="s">
        <v>4186</v>
      </c>
    </row>
    <row r="421" ht="300" spans="1:13">
      <c r="A421" s="79" t="s">
        <v>4177</v>
      </c>
      <c r="B421" s="79" t="s">
        <v>4187</v>
      </c>
      <c r="C421" s="79" t="s">
        <v>4188</v>
      </c>
      <c r="D421" s="79" t="s">
        <v>2878</v>
      </c>
      <c r="E421" s="79" t="s">
        <v>4188</v>
      </c>
      <c r="F421" s="80">
        <v>38.22</v>
      </c>
      <c r="G421" s="80">
        <v>2</v>
      </c>
      <c r="H421" s="80">
        <v>76.44</v>
      </c>
      <c r="I421" s="80">
        <v>5258.34</v>
      </c>
      <c r="J421" s="79" t="s">
        <v>2835</v>
      </c>
      <c r="K421" s="79" t="s">
        <v>4180</v>
      </c>
      <c r="L421" s="79" t="s">
        <v>4181</v>
      </c>
      <c r="M421" s="79" t="s">
        <v>4189</v>
      </c>
    </row>
    <row r="422" ht="300" spans="1:13">
      <c r="A422" s="79" t="s">
        <v>4177</v>
      </c>
      <c r="B422" s="79" t="s">
        <v>4190</v>
      </c>
      <c r="C422" s="79" t="s">
        <v>4191</v>
      </c>
      <c r="D422" s="79" t="s">
        <v>4185</v>
      </c>
      <c r="E422" s="79" t="s">
        <v>4191</v>
      </c>
      <c r="F422" s="80">
        <v>49.96</v>
      </c>
      <c r="G422" s="80">
        <v>6</v>
      </c>
      <c r="H422" s="80">
        <v>299.76</v>
      </c>
      <c r="I422" s="80">
        <v>5258.34</v>
      </c>
      <c r="J422" s="79" t="s">
        <v>2835</v>
      </c>
      <c r="K422" s="79" t="s">
        <v>4180</v>
      </c>
      <c r="L422" s="79" t="s">
        <v>4181</v>
      </c>
      <c r="M422" s="79" t="s">
        <v>4192</v>
      </c>
    </row>
    <row r="423" ht="300" spans="1:13">
      <c r="A423" s="79" t="s">
        <v>4177</v>
      </c>
      <c r="B423" s="79" t="s">
        <v>3113</v>
      </c>
      <c r="C423" s="79" t="s">
        <v>3114</v>
      </c>
      <c r="D423" s="79" t="s">
        <v>3088</v>
      </c>
      <c r="E423" s="79" t="s">
        <v>3114</v>
      </c>
      <c r="F423" s="80">
        <v>7.83</v>
      </c>
      <c r="G423" s="80">
        <v>6</v>
      </c>
      <c r="H423" s="80">
        <v>46.98</v>
      </c>
      <c r="I423" s="80">
        <v>5258.34</v>
      </c>
      <c r="J423" s="79" t="s">
        <v>2835</v>
      </c>
      <c r="K423" s="79" t="s">
        <v>4180</v>
      </c>
      <c r="L423" s="79" t="s">
        <v>4181</v>
      </c>
      <c r="M423" s="79" t="s">
        <v>4193</v>
      </c>
    </row>
    <row r="424" ht="300" spans="1:13">
      <c r="A424" s="79" t="s">
        <v>4177</v>
      </c>
      <c r="B424" s="79" t="s">
        <v>4194</v>
      </c>
      <c r="C424" s="79" t="s">
        <v>4195</v>
      </c>
      <c r="D424" s="79" t="s">
        <v>2909</v>
      </c>
      <c r="E424" s="79" t="s">
        <v>4195</v>
      </c>
      <c r="F424" s="80">
        <v>10.74</v>
      </c>
      <c r="G424" s="80">
        <v>3</v>
      </c>
      <c r="H424" s="80">
        <v>32.22</v>
      </c>
      <c r="I424" s="80">
        <v>5258.34</v>
      </c>
      <c r="J424" s="79" t="s">
        <v>2835</v>
      </c>
      <c r="K424" s="79" t="s">
        <v>4180</v>
      </c>
      <c r="L424" s="79" t="s">
        <v>4181</v>
      </c>
      <c r="M424" s="79" t="s">
        <v>4196</v>
      </c>
    </row>
    <row r="425" ht="300" spans="1:13">
      <c r="A425" s="79" t="s">
        <v>4177</v>
      </c>
      <c r="B425" s="79" t="s">
        <v>3100</v>
      </c>
      <c r="C425" s="79" t="s">
        <v>3101</v>
      </c>
      <c r="D425" s="79" t="s">
        <v>3088</v>
      </c>
      <c r="E425" s="79" t="s">
        <v>3101</v>
      </c>
      <c r="F425" s="80">
        <v>7.83</v>
      </c>
      <c r="G425" s="80">
        <v>6</v>
      </c>
      <c r="H425" s="80">
        <v>46.98</v>
      </c>
      <c r="I425" s="80">
        <v>5258.34</v>
      </c>
      <c r="J425" s="79" t="s">
        <v>2835</v>
      </c>
      <c r="K425" s="79" t="s">
        <v>4180</v>
      </c>
      <c r="L425" s="79" t="s">
        <v>4181</v>
      </c>
      <c r="M425" s="79" t="s">
        <v>4197</v>
      </c>
    </row>
    <row r="426" ht="300" spans="1:13">
      <c r="A426" s="79" t="s">
        <v>4177</v>
      </c>
      <c r="B426" s="79" t="s">
        <v>4198</v>
      </c>
      <c r="C426" s="79" t="s">
        <v>4199</v>
      </c>
      <c r="D426" s="79" t="s">
        <v>3056</v>
      </c>
      <c r="E426" s="79" t="s">
        <v>4199</v>
      </c>
      <c r="F426" s="80">
        <v>7.19</v>
      </c>
      <c r="G426" s="80">
        <v>10</v>
      </c>
      <c r="H426" s="80">
        <v>71.9</v>
      </c>
      <c r="I426" s="80">
        <v>5258.34</v>
      </c>
      <c r="J426" s="79" t="s">
        <v>2835</v>
      </c>
      <c r="K426" s="79" t="s">
        <v>4180</v>
      </c>
      <c r="L426" s="79" t="s">
        <v>4181</v>
      </c>
      <c r="M426" s="79" t="s">
        <v>4200</v>
      </c>
    </row>
    <row r="427" ht="300" spans="1:13">
      <c r="A427" s="79" t="s">
        <v>4177</v>
      </c>
      <c r="B427" s="79" t="s">
        <v>4201</v>
      </c>
      <c r="C427" s="79" t="s">
        <v>4202</v>
      </c>
      <c r="D427" s="79" t="s">
        <v>4203</v>
      </c>
      <c r="E427" s="79" t="s">
        <v>4202</v>
      </c>
      <c r="F427" s="80">
        <v>2313.22</v>
      </c>
      <c r="G427" s="80">
        <v>1</v>
      </c>
      <c r="H427" s="80">
        <v>2313.22</v>
      </c>
      <c r="I427" s="80">
        <v>5258.34</v>
      </c>
      <c r="J427" s="79" t="s">
        <v>2835</v>
      </c>
      <c r="K427" s="79" t="s">
        <v>4180</v>
      </c>
      <c r="L427" s="79" t="s">
        <v>4181</v>
      </c>
      <c r="M427" s="79" t="s">
        <v>4204</v>
      </c>
    </row>
    <row r="428" ht="300" spans="1:13">
      <c r="A428" s="79" t="s">
        <v>4177</v>
      </c>
      <c r="B428" s="79" t="s">
        <v>4205</v>
      </c>
      <c r="C428" s="79" t="s">
        <v>4206</v>
      </c>
      <c r="D428" s="79" t="s">
        <v>3194</v>
      </c>
      <c r="E428" s="79" t="s">
        <v>4206</v>
      </c>
      <c r="F428" s="80">
        <v>109</v>
      </c>
      <c r="G428" s="80">
        <v>1</v>
      </c>
      <c r="H428" s="80">
        <v>109</v>
      </c>
      <c r="I428" s="80">
        <v>5258.34</v>
      </c>
      <c r="J428" s="79" t="s">
        <v>2835</v>
      </c>
      <c r="K428" s="79" t="s">
        <v>4180</v>
      </c>
      <c r="L428" s="79" t="s">
        <v>4181</v>
      </c>
      <c r="M428" s="79" t="s">
        <v>4207</v>
      </c>
    </row>
    <row r="429" ht="300" spans="1:13">
      <c r="A429" s="79" t="s">
        <v>4177</v>
      </c>
      <c r="B429" s="79" t="s">
        <v>4208</v>
      </c>
      <c r="C429" s="79" t="s">
        <v>4209</v>
      </c>
      <c r="D429" s="79" t="s">
        <v>4131</v>
      </c>
      <c r="E429" s="79" t="s">
        <v>4209</v>
      </c>
      <c r="F429" s="80">
        <v>334.79</v>
      </c>
      <c r="G429" s="80">
        <v>2</v>
      </c>
      <c r="H429" s="80">
        <v>669.58</v>
      </c>
      <c r="I429" s="80">
        <v>5258.34</v>
      </c>
      <c r="J429" s="79" t="s">
        <v>2835</v>
      </c>
      <c r="K429" s="79" t="s">
        <v>4180</v>
      </c>
      <c r="L429" s="79" t="s">
        <v>4181</v>
      </c>
      <c r="M429" s="79" t="s">
        <v>4210</v>
      </c>
    </row>
    <row r="430" ht="300" spans="1:13">
      <c r="A430" s="79" t="s">
        <v>4177</v>
      </c>
      <c r="B430" s="79" t="s">
        <v>4211</v>
      </c>
      <c r="C430" s="79" t="s">
        <v>4212</v>
      </c>
      <c r="D430" s="79" t="s">
        <v>4185</v>
      </c>
      <c r="E430" s="79" t="s">
        <v>4212</v>
      </c>
      <c r="F430" s="80">
        <v>49.96</v>
      </c>
      <c r="G430" s="80">
        <v>6</v>
      </c>
      <c r="H430" s="80">
        <v>299.76</v>
      </c>
      <c r="I430" s="80">
        <v>5258.34</v>
      </c>
      <c r="J430" s="79" t="s">
        <v>2835</v>
      </c>
      <c r="K430" s="79" t="s">
        <v>4180</v>
      </c>
      <c r="L430" s="79" t="s">
        <v>4181</v>
      </c>
      <c r="M430" s="79" t="s">
        <v>4213</v>
      </c>
    </row>
    <row r="431" ht="300" spans="1:13">
      <c r="A431" s="79" t="s">
        <v>4177</v>
      </c>
      <c r="B431" s="79" t="s">
        <v>4214</v>
      </c>
      <c r="C431" s="79" t="s">
        <v>4215</v>
      </c>
      <c r="D431" s="79" t="s">
        <v>4185</v>
      </c>
      <c r="E431" s="79" t="s">
        <v>4215</v>
      </c>
      <c r="F431" s="80">
        <v>49.96</v>
      </c>
      <c r="G431" s="80">
        <v>6</v>
      </c>
      <c r="H431" s="80">
        <v>299.76</v>
      </c>
      <c r="I431" s="80">
        <v>5258.34</v>
      </c>
      <c r="J431" s="79" t="s">
        <v>2835</v>
      </c>
      <c r="K431" s="79" t="s">
        <v>4180</v>
      </c>
      <c r="L431" s="79" t="s">
        <v>4181</v>
      </c>
      <c r="M431" s="79" t="s">
        <v>4216</v>
      </c>
    </row>
    <row r="432" ht="300" spans="1:13">
      <c r="A432" s="79" t="s">
        <v>4177</v>
      </c>
      <c r="B432" s="79" t="s">
        <v>4217</v>
      </c>
      <c r="C432" s="79" t="s">
        <v>4218</v>
      </c>
      <c r="D432" s="79" t="s">
        <v>4185</v>
      </c>
      <c r="E432" s="79" t="s">
        <v>4218</v>
      </c>
      <c r="F432" s="80">
        <v>49.96</v>
      </c>
      <c r="G432" s="80">
        <v>6</v>
      </c>
      <c r="H432" s="80">
        <v>299.76</v>
      </c>
      <c r="I432" s="80">
        <v>5258.34</v>
      </c>
      <c r="J432" s="79" t="s">
        <v>2835</v>
      </c>
      <c r="K432" s="79" t="s">
        <v>4180</v>
      </c>
      <c r="L432" s="79" t="s">
        <v>4181</v>
      </c>
      <c r="M432" s="79" t="s">
        <v>4219</v>
      </c>
    </row>
    <row r="433" ht="300" spans="1:13">
      <c r="A433" s="79" t="s">
        <v>4177</v>
      </c>
      <c r="B433" s="79" t="s">
        <v>4220</v>
      </c>
      <c r="C433" s="79" t="s">
        <v>4221</v>
      </c>
      <c r="D433" s="79" t="s">
        <v>3000</v>
      </c>
      <c r="E433" s="79" t="s">
        <v>4221</v>
      </c>
      <c r="F433" s="80">
        <v>42.68</v>
      </c>
      <c r="G433" s="80">
        <v>4</v>
      </c>
      <c r="H433" s="80">
        <v>170.72</v>
      </c>
      <c r="I433" s="80">
        <v>5258.34</v>
      </c>
      <c r="J433" s="79" t="s">
        <v>2835</v>
      </c>
      <c r="K433" s="79" t="s">
        <v>4180</v>
      </c>
      <c r="L433" s="79" t="s">
        <v>4181</v>
      </c>
      <c r="M433" s="79" t="s">
        <v>4222</v>
      </c>
    </row>
    <row r="434" ht="315" spans="1:13">
      <c r="A434" s="79" t="s">
        <v>4223</v>
      </c>
      <c r="B434" s="79" t="s">
        <v>4224</v>
      </c>
      <c r="C434" s="79" t="s">
        <v>4225</v>
      </c>
      <c r="D434" s="79" t="s">
        <v>3064</v>
      </c>
      <c r="E434" s="79" t="s">
        <v>4225</v>
      </c>
      <c r="F434" s="80">
        <v>129660</v>
      </c>
      <c r="G434" s="80">
        <v>1</v>
      </c>
      <c r="H434" s="80">
        <v>129660</v>
      </c>
      <c r="I434" s="80">
        <v>129660</v>
      </c>
      <c r="J434" s="79" t="s">
        <v>4226</v>
      </c>
      <c r="K434" s="79" t="s">
        <v>4227</v>
      </c>
      <c r="L434" s="79" t="s">
        <v>4228</v>
      </c>
      <c r="M434" s="79" t="s">
        <v>4229</v>
      </c>
    </row>
  </sheetData>
  <mergeCells count="3">
    <mergeCell ref="A1:M1"/>
    <mergeCell ref="A2:M2"/>
    <mergeCell ref="A3:M3"/>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topLeftCell="A10" workbookViewId="0">
      <selection activeCell="Z10" sqref="Z10"/>
    </sheetView>
  </sheetViews>
  <sheetFormatPr defaultColWidth="9" defaultRowHeight="14"/>
  <cols>
    <col min="1" max="16384" width="9" style="64"/>
  </cols>
  <sheetData>
    <row r="1" spans="1:68">
      <c r="A1" s="65" t="s">
        <v>4230</v>
      </c>
      <c r="B1" s="65"/>
      <c r="C1" s="65"/>
      <c r="D1" s="65"/>
      <c r="E1" s="66"/>
      <c r="F1" s="65"/>
      <c r="G1" s="65"/>
      <c r="H1" s="65"/>
      <c r="I1" s="65"/>
      <c r="J1" s="65"/>
      <c r="K1" s="65"/>
      <c r="L1" s="65"/>
      <c r="M1" s="65"/>
      <c r="N1" s="71"/>
      <c r="O1" s="72"/>
      <c r="P1" s="72"/>
      <c r="Q1" s="65"/>
      <c r="R1" s="72"/>
      <c r="S1" s="73"/>
      <c r="T1" s="65"/>
      <c r="U1" s="74"/>
      <c r="V1" s="65"/>
      <c r="W1" s="65"/>
      <c r="X1" s="65"/>
      <c r="Y1" s="65"/>
      <c r="Z1" s="65"/>
      <c r="AA1" s="65"/>
      <c r="AB1" s="65"/>
      <c r="AC1" s="66"/>
      <c r="AD1" s="66"/>
      <c r="AE1" s="65"/>
      <c r="AF1" s="65"/>
      <c r="AG1" s="65"/>
      <c r="AH1" s="65"/>
      <c r="AI1" s="65"/>
      <c r="AJ1" s="71"/>
      <c r="AK1" s="65"/>
      <c r="AL1" s="65"/>
      <c r="AM1" s="65"/>
      <c r="AN1" s="65"/>
      <c r="AO1" s="65"/>
      <c r="AP1" s="65"/>
      <c r="AQ1" s="65"/>
      <c r="AR1" s="65"/>
      <c r="AS1" s="65"/>
      <c r="AT1" s="65"/>
      <c r="AU1" s="65"/>
      <c r="AV1" s="65"/>
      <c r="AW1" s="65"/>
      <c r="AX1" s="65"/>
      <c r="AY1" s="65"/>
      <c r="AZ1" s="65"/>
      <c r="BA1" s="65"/>
      <c r="BB1" s="65"/>
      <c r="BC1" s="65"/>
      <c r="BD1" s="65"/>
      <c r="BE1" s="65"/>
      <c r="BF1" s="75"/>
      <c r="BG1" s="75"/>
      <c r="BH1" s="75"/>
      <c r="BI1" s="65"/>
      <c r="BJ1" s="65"/>
      <c r="BK1" s="65"/>
      <c r="BL1" s="65"/>
      <c r="BM1" s="65" t="s">
        <v>4231</v>
      </c>
      <c r="BN1" s="65"/>
      <c r="BO1" s="65"/>
      <c r="BP1" s="65"/>
    </row>
    <row r="2" ht="45" customHeight="1" spans="1:68">
      <c r="A2" s="67" t="s">
        <v>4232</v>
      </c>
      <c r="B2" s="65"/>
      <c r="C2" s="65"/>
      <c r="D2" s="65"/>
      <c r="E2" s="66"/>
      <c r="F2" s="65"/>
      <c r="G2" s="65"/>
      <c r="H2" s="65"/>
      <c r="I2" s="65"/>
      <c r="J2" s="65"/>
      <c r="K2" s="65"/>
      <c r="L2" s="65"/>
      <c r="M2" s="65"/>
      <c r="N2" s="71"/>
      <c r="O2" s="72"/>
      <c r="P2" s="72"/>
      <c r="Q2" s="65"/>
      <c r="R2" s="72"/>
      <c r="S2" s="73"/>
      <c r="T2" s="65"/>
      <c r="U2" s="74"/>
      <c r="V2" s="65"/>
      <c r="W2" s="65"/>
      <c r="X2" s="65"/>
      <c r="Y2" s="65"/>
      <c r="Z2" s="65"/>
      <c r="AA2" s="65"/>
      <c r="AB2" s="65"/>
      <c r="AC2" s="66"/>
      <c r="AD2" s="66"/>
      <c r="AE2" s="65"/>
      <c r="AF2" s="65"/>
      <c r="AG2" s="65"/>
      <c r="AH2" s="65"/>
      <c r="AI2" s="65"/>
      <c r="AJ2" s="71"/>
      <c r="AK2" s="65"/>
      <c r="AL2" s="65"/>
      <c r="AM2" s="65"/>
      <c r="AN2" s="65"/>
      <c r="AO2" s="65"/>
      <c r="AP2" s="65"/>
      <c r="AQ2" s="65"/>
      <c r="AR2" s="65"/>
      <c r="AS2" s="65"/>
      <c r="AT2" s="65"/>
      <c r="AU2" s="65"/>
      <c r="AV2" s="65"/>
      <c r="AW2" s="65"/>
      <c r="AX2" s="65"/>
      <c r="AY2" s="65"/>
      <c r="AZ2" s="65"/>
      <c r="BA2" s="65"/>
      <c r="BB2" s="65"/>
      <c r="BC2" s="65"/>
      <c r="BD2" s="65"/>
      <c r="BE2" s="65"/>
      <c r="BF2" s="75"/>
      <c r="BG2" s="75"/>
      <c r="BH2" s="75"/>
      <c r="BI2" s="65"/>
      <c r="BJ2" s="65"/>
      <c r="BK2" s="65"/>
      <c r="BL2" s="65"/>
      <c r="BM2" s="65"/>
      <c r="BN2" s="65"/>
      <c r="BO2" s="65"/>
      <c r="BP2" s="65"/>
    </row>
    <row r="3" spans="1:68">
      <c r="A3" s="65" t="s">
        <v>4233</v>
      </c>
      <c r="B3" s="65" t="s">
        <v>4234</v>
      </c>
      <c r="C3" s="65" t="s">
        <v>4235</v>
      </c>
      <c r="D3" s="65" t="s">
        <v>4236</v>
      </c>
      <c r="E3" s="65" t="s">
        <v>4237</v>
      </c>
      <c r="F3" s="65" t="s">
        <v>4238</v>
      </c>
      <c r="G3" s="65" t="s">
        <v>4239</v>
      </c>
      <c r="H3" s="65" t="s">
        <v>4240</v>
      </c>
      <c r="I3" s="65" t="s">
        <v>4241</v>
      </c>
      <c r="J3" s="65" t="s">
        <v>4242</v>
      </c>
      <c r="K3" s="65" t="s">
        <v>4243</v>
      </c>
      <c r="L3" s="65" t="s">
        <v>4244</v>
      </c>
      <c r="M3" s="65" t="s">
        <v>4245</v>
      </c>
      <c r="N3" s="65" t="s">
        <v>4246</v>
      </c>
      <c r="O3" s="65" t="s">
        <v>4247</v>
      </c>
      <c r="P3" s="65" t="s">
        <v>4248</v>
      </c>
      <c r="Q3" s="65" t="s">
        <v>4249</v>
      </c>
      <c r="R3" s="65" t="s">
        <v>4250</v>
      </c>
      <c r="S3" s="65" t="s">
        <v>4251</v>
      </c>
      <c r="T3" s="65" t="s">
        <v>4252</v>
      </c>
      <c r="U3" s="65" t="s">
        <v>4253</v>
      </c>
      <c r="V3" s="65" t="s">
        <v>4254</v>
      </c>
      <c r="W3" s="65" t="s">
        <v>4255</v>
      </c>
      <c r="X3" s="65" t="s">
        <v>4256</v>
      </c>
      <c r="Y3" s="65" t="s">
        <v>4257</v>
      </c>
      <c r="Z3" s="65" t="s">
        <v>4258</v>
      </c>
      <c r="AA3" s="65" t="s">
        <v>4259</v>
      </c>
      <c r="AB3" s="65" t="s">
        <v>4260</v>
      </c>
      <c r="AC3" s="65" t="s">
        <v>4261</v>
      </c>
      <c r="AD3" s="65" t="s">
        <v>4262</v>
      </c>
      <c r="AE3" s="65" t="s">
        <v>4263</v>
      </c>
      <c r="AF3" s="65" t="s">
        <v>4264</v>
      </c>
      <c r="AG3" s="65" t="s">
        <v>4265</v>
      </c>
      <c r="AH3" s="65" t="s">
        <v>4266</v>
      </c>
      <c r="AI3" s="65" t="s">
        <v>4267</v>
      </c>
      <c r="AJ3" s="65" t="s">
        <v>4268</v>
      </c>
      <c r="AK3" s="65" t="s">
        <v>4269</v>
      </c>
      <c r="AL3" s="65" t="s">
        <v>4270</v>
      </c>
      <c r="AM3" s="65" t="s">
        <v>4271</v>
      </c>
      <c r="AN3" s="65" t="s">
        <v>4272</v>
      </c>
      <c r="AO3" s="65" t="s">
        <v>4273</v>
      </c>
      <c r="AP3" s="65" t="s">
        <v>4274</v>
      </c>
      <c r="AQ3" s="65" t="s">
        <v>4275</v>
      </c>
      <c r="AR3" s="65" t="s">
        <v>4276</v>
      </c>
      <c r="AS3" s="65" t="s">
        <v>4277</v>
      </c>
      <c r="AT3" s="65" t="s">
        <v>4278</v>
      </c>
      <c r="AU3" s="65" t="s">
        <v>4279</v>
      </c>
      <c r="AV3" s="65" t="s">
        <v>4280</v>
      </c>
      <c r="AW3" s="65" t="s">
        <v>4281</v>
      </c>
      <c r="AX3" s="65" t="s">
        <v>4282</v>
      </c>
      <c r="AY3" s="65" t="s">
        <v>4283</v>
      </c>
      <c r="AZ3" s="65" t="s">
        <v>4284</v>
      </c>
      <c r="BA3" s="65" t="s">
        <v>4285</v>
      </c>
      <c r="BB3" s="65" t="s">
        <v>4286</v>
      </c>
      <c r="BC3" s="65" t="s">
        <v>4287</v>
      </c>
      <c r="BD3" s="65" t="s">
        <v>4288</v>
      </c>
      <c r="BE3" s="65" t="s">
        <v>4289</v>
      </c>
      <c r="BF3" s="65" t="s">
        <v>4290</v>
      </c>
      <c r="BG3" s="65" t="s">
        <v>4291</v>
      </c>
      <c r="BH3" s="65" t="s">
        <v>4292</v>
      </c>
      <c r="BI3" s="65" t="s">
        <v>4293</v>
      </c>
      <c r="BJ3" s="65" t="s">
        <v>4294</v>
      </c>
      <c r="BK3" s="65" t="s">
        <v>4295</v>
      </c>
      <c r="BL3" s="65" t="s">
        <v>4296</v>
      </c>
      <c r="BM3" s="65" t="s">
        <v>4297</v>
      </c>
      <c r="BN3" s="65" t="s">
        <v>4298</v>
      </c>
      <c r="BO3" s="65" t="s">
        <v>4299</v>
      </c>
      <c r="BP3" s="65" t="s">
        <v>4300</v>
      </c>
    </row>
    <row r="4" ht="14.5" spans="1:68">
      <c r="A4" s="68" t="s">
        <v>4301</v>
      </c>
      <c r="B4" s="69" t="s">
        <v>4302</v>
      </c>
      <c r="C4" s="69" t="s">
        <v>4303</v>
      </c>
      <c r="D4" s="69" t="s">
        <v>4304</v>
      </c>
      <c r="E4" s="69" t="s">
        <v>4305</v>
      </c>
      <c r="F4" s="69" t="s">
        <v>4306</v>
      </c>
      <c r="G4" s="69" t="s">
        <v>4307</v>
      </c>
      <c r="H4" s="68" t="s">
        <v>4308</v>
      </c>
      <c r="I4" s="68" t="s">
        <v>4309</v>
      </c>
      <c r="J4" s="68" t="s">
        <v>4310</v>
      </c>
      <c r="K4" s="68" t="s">
        <v>4311</v>
      </c>
      <c r="L4" s="68" t="s">
        <v>4312</v>
      </c>
      <c r="M4" s="68" t="s">
        <v>4313</v>
      </c>
      <c r="N4" s="68" t="s">
        <v>4314</v>
      </c>
      <c r="O4" s="68" t="s">
        <v>4315</v>
      </c>
      <c r="P4" s="68" t="s">
        <v>4316</v>
      </c>
      <c r="Q4" s="68" t="s">
        <v>4317</v>
      </c>
      <c r="R4" s="68" t="s">
        <v>4318</v>
      </c>
      <c r="S4" s="68" t="s">
        <v>4319</v>
      </c>
      <c r="T4" s="68" t="s">
        <v>4320</v>
      </c>
      <c r="U4" s="68" t="s">
        <v>4321</v>
      </c>
      <c r="V4" s="68" t="s">
        <v>4322</v>
      </c>
      <c r="W4" s="68" t="s">
        <v>4323</v>
      </c>
      <c r="X4" s="68" t="s">
        <v>4324</v>
      </c>
      <c r="Y4" s="68" t="s">
        <v>4325</v>
      </c>
      <c r="Z4" s="68" t="s">
        <v>4326</v>
      </c>
      <c r="AA4" s="68" t="s">
        <v>4327</v>
      </c>
      <c r="AB4" s="68" t="s">
        <v>4328</v>
      </c>
      <c r="AC4" s="68" t="s">
        <v>2760</v>
      </c>
      <c r="AD4" s="68" t="s">
        <v>4329</v>
      </c>
      <c r="AE4" s="68" t="s">
        <v>4330</v>
      </c>
      <c r="AF4" s="68" t="s">
        <v>4331</v>
      </c>
      <c r="AG4" s="68" t="s">
        <v>4332</v>
      </c>
      <c r="AH4" s="68" t="s">
        <v>4333</v>
      </c>
      <c r="AI4" s="68" t="s">
        <v>4334</v>
      </c>
      <c r="AJ4" s="68" t="s">
        <v>4335</v>
      </c>
      <c r="AK4" s="68" t="s">
        <v>4336</v>
      </c>
      <c r="AL4" s="68" t="s">
        <v>4337</v>
      </c>
      <c r="AM4" s="68" t="s">
        <v>4338</v>
      </c>
      <c r="AN4" s="68" t="s">
        <v>4339</v>
      </c>
      <c r="AO4" s="68" t="s">
        <v>4340</v>
      </c>
      <c r="AP4" s="68" t="s">
        <v>4341</v>
      </c>
      <c r="AQ4" s="68" t="s">
        <v>4342</v>
      </c>
      <c r="AR4" s="68" t="s">
        <v>4343</v>
      </c>
      <c r="AS4" s="69" t="s">
        <v>4344</v>
      </c>
      <c r="AT4" s="68" t="s">
        <v>4345</v>
      </c>
      <c r="AU4" s="68" t="s">
        <v>4346</v>
      </c>
      <c r="AV4" s="68" t="s">
        <v>4347</v>
      </c>
      <c r="AW4" s="68" t="s">
        <v>4348</v>
      </c>
      <c r="AX4" s="68" t="s">
        <v>4349</v>
      </c>
      <c r="AY4" s="68" t="s">
        <v>4350</v>
      </c>
      <c r="AZ4" s="68" t="s">
        <v>4351</v>
      </c>
      <c r="BA4" s="68" t="s">
        <v>4352</v>
      </c>
      <c r="BB4" s="68" t="s">
        <v>4353</v>
      </c>
      <c r="BC4" s="68" t="s">
        <v>4354</v>
      </c>
      <c r="BD4" s="68" t="s">
        <v>4355</v>
      </c>
      <c r="BE4" s="68" t="s">
        <v>4356</v>
      </c>
      <c r="BF4" s="68" t="s">
        <v>4357</v>
      </c>
      <c r="BG4" s="68" t="s">
        <v>4358</v>
      </c>
      <c r="BH4" s="68" t="s">
        <v>4359</v>
      </c>
      <c r="BI4" s="68" t="s">
        <v>4360</v>
      </c>
      <c r="BJ4" s="68" t="s">
        <v>4361</v>
      </c>
      <c r="BK4" s="68" t="s">
        <v>4362</v>
      </c>
      <c r="BL4" s="68" t="s">
        <v>4363</v>
      </c>
      <c r="BM4" s="68" t="s">
        <v>4301</v>
      </c>
      <c r="BN4" s="68" t="s">
        <v>4364</v>
      </c>
      <c r="BO4" s="68" t="s">
        <v>4365</v>
      </c>
      <c r="BP4" s="68" t="s">
        <v>4366</v>
      </c>
    </row>
    <row r="5" ht="123.95" customHeight="1" spans="1:68">
      <c r="A5" s="70" t="s">
        <v>4367</v>
      </c>
      <c r="B5" s="70" t="s">
        <v>2784</v>
      </c>
      <c r="C5" s="70" t="s">
        <v>4368</v>
      </c>
      <c r="D5" s="70" t="s">
        <v>4369</v>
      </c>
      <c r="E5" s="66" t="s">
        <v>4370</v>
      </c>
      <c r="F5" s="70" t="s">
        <v>4371</v>
      </c>
      <c r="G5" s="70" t="s">
        <v>4372</v>
      </c>
      <c r="H5" s="65"/>
      <c r="I5" s="65"/>
      <c r="J5" s="70" t="s">
        <v>4373</v>
      </c>
      <c r="K5" s="70" t="s">
        <v>4374</v>
      </c>
      <c r="L5" s="70" t="s">
        <v>4375</v>
      </c>
      <c r="M5" s="70" t="s">
        <v>4376</v>
      </c>
      <c r="N5" s="71"/>
      <c r="O5" s="72"/>
      <c r="P5" s="73">
        <v>38617.92</v>
      </c>
      <c r="Q5" s="70" t="s">
        <v>4377</v>
      </c>
      <c r="R5" s="73">
        <v>38617.92</v>
      </c>
      <c r="S5" s="73"/>
      <c r="T5" s="70" t="s">
        <v>4378</v>
      </c>
      <c r="U5" s="74"/>
      <c r="V5" s="70" t="s">
        <v>4379</v>
      </c>
      <c r="W5" s="70" t="s">
        <v>2346</v>
      </c>
      <c r="X5" s="70" t="s">
        <v>2350</v>
      </c>
      <c r="Y5" s="70" t="s">
        <v>2352</v>
      </c>
      <c r="Z5" s="70" t="s">
        <v>2784</v>
      </c>
      <c r="AA5" s="70" t="s">
        <v>4377</v>
      </c>
      <c r="AB5" s="70" t="s">
        <v>4377</v>
      </c>
      <c r="AC5" s="66" t="s">
        <v>4380</v>
      </c>
      <c r="AD5" s="66" t="s">
        <v>4380</v>
      </c>
      <c r="AE5" s="70" t="s">
        <v>4381</v>
      </c>
      <c r="AF5" s="70" t="s">
        <v>4382</v>
      </c>
      <c r="AG5" s="70" t="s">
        <v>4383</v>
      </c>
      <c r="AH5" s="65"/>
      <c r="AI5" s="65"/>
      <c r="AJ5" s="71"/>
      <c r="AK5" s="65"/>
      <c r="AL5" s="65"/>
      <c r="AM5" s="70" t="s">
        <v>4384</v>
      </c>
      <c r="AN5" s="70" t="s">
        <v>4385</v>
      </c>
      <c r="AO5" s="70" t="s">
        <v>4386</v>
      </c>
      <c r="AP5" s="70" t="s">
        <v>4387</v>
      </c>
      <c r="AQ5" s="70" t="s">
        <v>4388</v>
      </c>
      <c r="AR5" s="70" t="s">
        <v>4389</v>
      </c>
      <c r="AS5" s="70" t="s">
        <v>4390</v>
      </c>
      <c r="AT5" s="70" t="s">
        <v>4391</v>
      </c>
      <c r="AU5" s="70" t="s">
        <v>4392</v>
      </c>
      <c r="AV5" s="70" t="s">
        <v>742</v>
      </c>
      <c r="AW5" s="70" t="s">
        <v>742</v>
      </c>
      <c r="AX5" s="70" t="s">
        <v>4393</v>
      </c>
      <c r="AY5" s="70" t="s">
        <v>4394</v>
      </c>
      <c r="AZ5" s="70" t="s">
        <v>4395</v>
      </c>
      <c r="BA5" s="70" t="s">
        <v>4392</v>
      </c>
      <c r="BB5" s="65"/>
      <c r="BC5" s="70" t="s">
        <v>4396</v>
      </c>
      <c r="BD5" s="70" t="s">
        <v>4384</v>
      </c>
      <c r="BE5" s="70" t="s">
        <v>4385</v>
      </c>
      <c r="BF5" s="75" t="s">
        <v>4397</v>
      </c>
      <c r="BG5" s="75" t="s">
        <v>4398</v>
      </c>
      <c r="BH5" s="75" t="s">
        <v>4399</v>
      </c>
      <c r="BI5" s="70" t="s">
        <v>4400</v>
      </c>
      <c r="BJ5" s="70" t="s">
        <v>4401</v>
      </c>
      <c r="BK5" s="70" t="s">
        <v>4402</v>
      </c>
      <c r="BL5" s="70" t="s">
        <v>4403</v>
      </c>
      <c r="BM5" s="70" t="s">
        <v>4404</v>
      </c>
      <c r="BN5" s="70" t="s">
        <v>4405</v>
      </c>
      <c r="BO5" s="70" t="s">
        <v>4406</v>
      </c>
      <c r="BP5" s="70" t="s">
        <v>4406</v>
      </c>
    </row>
    <row r="6" ht="75.95" customHeight="1" spans="1:68">
      <c r="A6" s="65"/>
      <c r="B6" s="65"/>
      <c r="C6" s="65"/>
      <c r="D6" s="65"/>
      <c r="E6" s="66"/>
      <c r="F6" s="65"/>
      <c r="G6" s="65"/>
      <c r="H6" s="65"/>
      <c r="I6" s="65"/>
      <c r="J6" s="65"/>
      <c r="K6" s="65"/>
      <c r="L6" s="65"/>
      <c r="M6" s="65"/>
      <c r="N6" s="71"/>
      <c r="O6" s="72"/>
      <c r="P6" s="72"/>
      <c r="Q6" s="65"/>
      <c r="R6" s="72"/>
      <c r="S6" s="73"/>
      <c r="T6" s="65"/>
      <c r="U6" s="74"/>
      <c r="V6" s="65"/>
      <c r="W6" s="65"/>
      <c r="X6" s="65"/>
      <c r="Y6" s="65"/>
      <c r="Z6" s="65"/>
      <c r="AA6" s="65"/>
      <c r="AB6" s="65"/>
      <c r="AC6" s="66"/>
      <c r="AD6" s="66"/>
      <c r="AE6" s="65"/>
      <c r="AF6" s="65"/>
      <c r="AG6" s="65"/>
      <c r="AH6" s="65"/>
      <c r="AI6" s="65"/>
      <c r="AJ6" s="71"/>
      <c r="AK6" s="65"/>
      <c r="AL6" s="65"/>
      <c r="AM6" s="65"/>
      <c r="AN6" s="65"/>
      <c r="AO6" s="65"/>
      <c r="AP6" s="65"/>
      <c r="AQ6" s="65"/>
      <c r="AR6" s="65"/>
      <c r="AS6" s="65"/>
      <c r="AT6" s="65"/>
      <c r="AU6" s="65"/>
      <c r="AV6" s="65"/>
      <c r="AW6" s="65"/>
      <c r="AX6" s="65"/>
      <c r="AY6" s="65"/>
      <c r="AZ6" s="65"/>
      <c r="BA6" s="65"/>
      <c r="BB6" s="65"/>
      <c r="BC6" s="65"/>
      <c r="BD6" s="65"/>
      <c r="BE6" s="65"/>
      <c r="BF6" s="75"/>
      <c r="BG6" s="75"/>
      <c r="BH6" s="75"/>
      <c r="BI6" s="65"/>
      <c r="BJ6" s="65"/>
      <c r="BK6" s="65"/>
      <c r="BL6" s="65"/>
      <c r="BM6" s="70" t="s">
        <v>4407</v>
      </c>
      <c r="BN6" s="70" t="s">
        <v>4408</v>
      </c>
      <c r="BO6" s="70" t="s">
        <v>2861</v>
      </c>
      <c r="BP6" s="70" t="s">
        <v>2861</v>
      </c>
    </row>
    <row r="7" ht="78.6" customHeight="1" spans="1:68">
      <c r="A7" s="70" t="s">
        <v>4409</v>
      </c>
      <c r="B7" s="70" t="s">
        <v>2775</v>
      </c>
      <c r="C7" s="70" t="s">
        <v>4410</v>
      </c>
      <c r="D7" s="70" t="s">
        <v>4411</v>
      </c>
      <c r="E7" s="66" t="s">
        <v>4412</v>
      </c>
      <c r="F7" s="70" t="s">
        <v>4413</v>
      </c>
      <c r="G7" s="70" t="s">
        <v>4372</v>
      </c>
      <c r="H7" s="65"/>
      <c r="I7" s="65"/>
      <c r="J7" s="70" t="s">
        <v>4373</v>
      </c>
      <c r="K7" s="70" t="s">
        <v>4374</v>
      </c>
      <c r="L7" s="70" t="s">
        <v>4375</v>
      </c>
      <c r="M7" s="70" t="s">
        <v>4376</v>
      </c>
      <c r="N7" s="71">
        <v>1</v>
      </c>
      <c r="O7" s="72"/>
      <c r="P7" s="73">
        <v>1</v>
      </c>
      <c r="Q7" s="70" t="s">
        <v>4414</v>
      </c>
      <c r="R7" s="72"/>
      <c r="S7" s="73">
        <v>1</v>
      </c>
      <c r="T7" s="70" t="s">
        <v>4378</v>
      </c>
      <c r="U7" s="74"/>
      <c r="V7" s="70" t="s">
        <v>4379</v>
      </c>
      <c r="W7" s="70" t="s">
        <v>2346</v>
      </c>
      <c r="X7" s="70" t="s">
        <v>2350</v>
      </c>
      <c r="Y7" s="70" t="s">
        <v>2352</v>
      </c>
      <c r="Z7" s="70" t="s">
        <v>2775</v>
      </c>
      <c r="AA7" s="70" t="s">
        <v>4377</v>
      </c>
      <c r="AB7" s="70" t="s">
        <v>4377</v>
      </c>
      <c r="AC7" s="66" t="s">
        <v>4415</v>
      </c>
      <c r="AD7" s="66" t="s">
        <v>4415</v>
      </c>
      <c r="AE7" s="70" t="s">
        <v>4416</v>
      </c>
      <c r="AF7" s="70" t="s">
        <v>4417</v>
      </c>
      <c r="AG7" s="70" t="s">
        <v>4418</v>
      </c>
      <c r="AH7" s="70" t="s">
        <v>4419</v>
      </c>
      <c r="AI7" s="70" t="s">
        <v>4420</v>
      </c>
      <c r="AJ7" s="71"/>
      <c r="AK7" s="65"/>
      <c r="AL7" s="65"/>
      <c r="AM7" s="70" t="s">
        <v>4416</v>
      </c>
      <c r="AN7" s="70" t="s">
        <v>4417</v>
      </c>
      <c r="AO7" s="70" t="s">
        <v>4421</v>
      </c>
      <c r="AP7" s="70" t="s">
        <v>4387</v>
      </c>
      <c r="AQ7" s="70" t="s">
        <v>4422</v>
      </c>
      <c r="AR7" s="70" t="s">
        <v>4423</v>
      </c>
      <c r="AS7" s="70" t="s">
        <v>4424</v>
      </c>
      <c r="AT7" s="70" t="s">
        <v>4425</v>
      </c>
      <c r="AU7" s="70" t="s">
        <v>4426</v>
      </c>
      <c r="AV7" s="70" t="s">
        <v>747</v>
      </c>
      <c r="AW7" s="70" t="s">
        <v>742</v>
      </c>
      <c r="AX7" s="70" t="s">
        <v>4427</v>
      </c>
      <c r="AY7" s="70" t="s">
        <v>4428</v>
      </c>
      <c r="AZ7" s="70" t="s">
        <v>4395</v>
      </c>
      <c r="BA7" s="70" t="s">
        <v>4426</v>
      </c>
      <c r="BB7" s="65"/>
      <c r="BC7" s="70" t="s">
        <v>4377</v>
      </c>
      <c r="BD7" s="70" t="s">
        <v>4416</v>
      </c>
      <c r="BE7" s="70" t="s">
        <v>4417</v>
      </c>
      <c r="BF7" s="75"/>
      <c r="BG7" s="75" t="s">
        <v>4429</v>
      </c>
      <c r="BH7" s="75" t="s">
        <v>4430</v>
      </c>
      <c r="BI7" s="65"/>
      <c r="BJ7" s="65"/>
      <c r="BK7" s="70" t="s">
        <v>4431</v>
      </c>
      <c r="BL7" s="70" t="s">
        <v>4432</v>
      </c>
      <c r="BM7" s="70" t="s">
        <v>4433</v>
      </c>
      <c r="BN7" s="70" t="s">
        <v>4405</v>
      </c>
      <c r="BO7" s="70" t="s">
        <v>4406</v>
      </c>
      <c r="BP7" s="70" t="s">
        <v>4406</v>
      </c>
    </row>
    <row r="8" ht="56" spans="1:68">
      <c r="A8" s="65"/>
      <c r="B8" s="65"/>
      <c r="C8" s="65"/>
      <c r="D8" s="65"/>
      <c r="E8" s="66"/>
      <c r="F8" s="65"/>
      <c r="G8" s="65"/>
      <c r="H8" s="65"/>
      <c r="I8" s="65"/>
      <c r="J8" s="65"/>
      <c r="K8" s="65"/>
      <c r="L8" s="65"/>
      <c r="M8" s="65"/>
      <c r="N8" s="71"/>
      <c r="O8" s="72"/>
      <c r="P8" s="72"/>
      <c r="Q8" s="65"/>
      <c r="R8" s="72"/>
      <c r="S8" s="73"/>
      <c r="T8" s="65"/>
      <c r="U8" s="74"/>
      <c r="V8" s="65"/>
      <c r="W8" s="65"/>
      <c r="X8" s="65"/>
      <c r="Y8" s="65"/>
      <c r="Z8" s="65"/>
      <c r="AA8" s="65"/>
      <c r="AB8" s="65"/>
      <c r="AC8" s="66"/>
      <c r="AD8" s="66"/>
      <c r="AE8" s="65"/>
      <c r="AF8" s="65"/>
      <c r="AG8" s="65"/>
      <c r="AH8" s="65"/>
      <c r="AI8" s="65"/>
      <c r="AJ8" s="71"/>
      <c r="AK8" s="65"/>
      <c r="AL8" s="65"/>
      <c r="AM8" s="65"/>
      <c r="AN8" s="65"/>
      <c r="AO8" s="65"/>
      <c r="AP8" s="65"/>
      <c r="AQ8" s="65"/>
      <c r="AR8" s="65"/>
      <c r="AS8" s="65"/>
      <c r="AT8" s="65"/>
      <c r="AU8" s="65"/>
      <c r="AV8" s="65"/>
      <c r="AW8" s="65"/>
      <c r="AX8" s="65"/>
      <c r="AY8" s="65"/>
      <c r="AZ8" s="65"/>
      <c r="BA8" s="65"/>
      <c r="BB8" s="65"/>
      <c r="BC8" s="65"/>
      <c r="BD8" s="65"/>
      <c r="BE8" s="65"/>
      <c r="BF8" s="75"/>
      <c r="BG8" s="75"/>
      <c r="BH8" s="75"/>
      <c r="BI8" s="65"/>
      <c r="BJ8" s="65"/>
      <c r="BK8" s="65"/>
      <c r="BL8" s="65"/>
      <c r="BM8" s="70" t="s">
        <v>4434</v>
      </c>
      <c r="BN8" s="70" t="s">
        <v>4435</v>
      </c>
      <c r="BO8" s="70" t="s">
        <v>4436</v>
      </c>
      <c r="BP8" s="70" t="s">
        <v>4436</v>
      </c>
    </row>
    <row r="9" ht="241.5" customHeight="1" spans="1:68">
      <c r="A9" s="65"/>
      <c r="B9" s="65"/>
      <c r="C9" s="65"/>
      <c r="D9" s="65"/>
      <c r="E9" s="66"/>
      <c r="F9" s="65"/>
      <c r="G9" s="65"/>
      <c r="H9" s="65"/>
      <c r="I9" s="65"/>
      <c r="J9" s="65"/>
      <c r="K9" s="65"/>
      <c r="L9" s="65"/>
      <c r="M9" s="65"/>
      <c r="N9" s="71"/>
      <c r="O9" s="72"/>
      <c r="P9" s="72"/>
      <c r="Q9" s="65"/>
      <c r="R9" s="72"/>
      <c r="S9" s="73"/>
      <c r="T9" s="65"/>
      <c r="U9" s="74"/>
      <c r="V9" s="65"/>
      <c r="W9" s="65"/>
      <c r="X9" s="65"/>
      <c r="Y9" s="65"/>
      <c r="Z9" s="65"/>
      <c r="AA9" s="65"/>
      <c r="AB9" s="65"/>
      <c r="AC9" s="66"/>
      <c r="AD9" s="66"/>
      <c r="AE9" s="65"/>
      <c r="AF9" s="65"/>
      <c r="AG9" s="65"/>
      <c r="AH9" s="65"/>
      <c r="AI9" s="65"/>
      <c r="AJ9" s="71"/>
      <c r="AK9" s="65"/>
      <c r="AL9" s="65"/>
      <c r="AM9" s="65"/>
      <c r="AN9" s="65"/>
      <c r="AO9" s="65"/>
      <c r="AP9" s="65"/>
      <c r="AQ9" s="65"/>
      <c r="AR9" s="65"/>
      <c r="AS9" s="65"/>
      <c r="AT9" s="65"/>
      <c r="AU9" s="65"/>
      <c r="AV9" s="65"/>
      <c r="AW9" s="65"/>
      <c r="AX9" s="65"/>
      <c r="AY9" s="65"/>
      <c r="AZ9" s="65"/>
      <c r="BA9" s="65"/>
      <c r="BB9" s="65"/>
      <c r="BC9" s="65"/>
      <c r="BD9" s="65"/>
      <c r="BE9" s="65"/>
      <c r="BF9" s="75"/>
      <c r="BG9" s="75"/>
      <c r="BH9" s="75"/>
      <c r="BI9" s="65"/>
      <c r="BJ9" s="65"/>
      <c r="BK9" s="65"/>
      <c r="BL9" s="65"/>
      <c r="BM9" s="70" t="s">
        <v>4437</v>
      </c>
      <c r="BN9" s="70" t="s">
        <v>4438</v>
      </c>
      <c r="BO9" s="70" t="s">
        <v>4439</v>
      </c>
      <c r="BP9" s="70" t="s">
        <v>4439</v>
      </c>
    </row>
    <row r="10" ht="225.95" customHeight="1" spans="1:68">
      <c r="A10" s="70" t="s">
        <v>4440</v>
      </c>
      <c r="B10" s="70" t="s">
        <v>2773</v>
      </c>
      <c r="C10" s="70" t="s">
        <v>4368</v>
      </c>
      <c r="D10" s="70" t="s">
        <v>4441</v>
      </c>
      <c r="E10" s="66" t="s">
        <v>4442</v>
      </c>
      <c r="F10" s="70" t="s">
        <v>4371</v>
      </c>
      <c r="G10" s="70" t="s">
        <v>4443</v>
      </c>
      <c r="H10" s="65"/>
      <c r="I10" s="65"/>
      <c r="J10" s="70" t="s">
        <v>4373</v>
      </c>
      <c r="K10" s="70" t="s">
        <v>4374</v>
      </c>
      <c r="L10" s="70" t="s">
        <v>4375</v>
      </c>
      <c r="M10" s="70" t="s">
        <v>4376</v>
      </c>
      <c r="N10" s="71">
        <v>1</v>
      </c>
      <c r="O10" s="72"/>
      <c r="P10" s="73">
        <v>129660</v>
      </c>
      <c r="Q10" s="70" t="s">
        <v>4377</v>
      </c>
      <c r="R10" s="73">
        <v>129660</v>
      </c>
      <c r="S10" s="73"/>
      <c r="T10" s="70" t="s">
        <v>4378</v>
      </c>
      <c r="U10" s="74"/>
      <c r="V10" s="70" t="s">
        <v>4379</v>
      </c>
      <c r="W10" s="70" t="s">
        <v>2346</v>
      </c>
      <c r="X10" s="70" t="s">
        <v>2350</v>
      </c>
      <c r="Y10" s="70" t="s">
        <v>2352</v>
      </c>
      <c r="Z10" s="70" t="s">
        <v>2773</v>
      </c>
      <c r="AA10" s="70" t="s">
        <v>4377</v>
      </c>
      <c r="AB10" s="70" t="s">
        <v>4377</v>
      </c>
      <c r="AC10" s="66" t="s">
        <v>4444</v>
      </c>
      <c r="AD10" s="66" t="s">
        <v>4445</v>
      </c>
      <c r="AE10" s="70" t="s">
        <v>4381</v>
      </c>
      <c r="AF10" s="70" t="s">
        <v>4382</v>
      </c>
      <c r="AG10" s="70" t="s">
        <v>4383</v>
      </c>
      <c r="AH10" s="65"/>
      <c r="AI10" s="65"/>
      <c r="AJ10" s="71"/>
      <c r="AK10" s="65"/>
      <c r="AL10" s="65"/>
      <c r="AM10" s="70" t="s">
        <v>4416</v>
      </c>
      <c r="AN10" s="70" t="s">
        <v>4417</v>
      </c>
      <c r="AO10" s="70" t="s">
        <v>4386</v>
      </c>
      <c r="AP10" s="70" t="s">
        <v>4446</v>
      </c>
      <c r="AQ10" s="70" t="s">
        <v>4388</v>
      </c>
      <c r="AR10" s="70" t="s">
        <v>4389</v>
      </c>
      <c r="AS10" s="70" t="s">
        <v>4447</v>
      </c>
      <c r="AT10" s="70" t="s">
        <v>4448</v>
      </c>
      <c r="AU10" s="70" t="s">
        <v>4392</v>
      </c>
      <c r="AV10" s="70" t="s">
        <v>742</v>
      </c>
      <c r="AW10" s="70" t="s">
        <v>742</v>
      </c>
      <c r="AX10" s="70" t="s">
        <v>4449</v>
      </c>
      <c r="AY10" s="70" t="s">
        <v>4450</v>
      </c>
      <c r="AZ10" s="70" t="s">
        <v>4395</v>
      </c>
      <c r="BA10" s="70" t="s">
        <v>4392</v>
      </c>
      <c r="BB10" s="65"/>
      <c r="BC10" s="70" t="s">
        <v>4451</v>
      </c>
      <c r="BD10" s="70" t="s">
        <v>4400</v>
      </c>
      <c r="BE10" s="70" t="s">
        <v>4401</v>
      </c>
      <c r="BF10" s="75" t="s">
        <v>4452</v>
      </c>
      <c r="BG10" s="75" t="s">
        <v>4453</v>
      </c>
      <c r="BH10" s="75" t="s">
        <v>4454</v>
      </c>
      <c r="BI10" s="70" t="s">
        <v>4455</v>
      </c>
      <c r="BJ10" s="70" t="s">
        <v>4456</v>
      </c>
      <c r="BK10" s="70" t="s">
        <v>4457</v>
      </c>
      <c r="BL10" s="70" t="s">
        <v>4403</v>
      </c>
      <c r="BM10" s="70" t="s">
        <v>4458</v>
      </c>
      <c r="BN10" s="70" t="s">
        <v>4459</v>
      </c>
      <c r="BO10" s="70" t="s">
        <v>4460</v>
      </c>
      <c r="BP10" s="70" t="s">
        <v>4460</v>
      </c>
    </row>
    <row r="11" ht="42" spans="1:68">
      <c r="A11" s="65"/>
      <c r="B11" s="65"/>
      <c r="C11" s="65"/>
      <c r="D11" s="65"/>
      <c r="E11" s="66"/>
      <c r="F11" s="65"/>
      <c r="G11" s="65"/>
      <c r="H11" s="65"/>
      <c r="I11" s="65"/>
      <c r="J11" s="65"/>
      <c r="K11" s="65"/>
      <c r="L11" s="65"/>
      <c r="M11" s="65"/>
      <c r="N11" s="71"/>
      <c r="O11" s="72"/>
      <c r="P11" s="72"/>
      <c r="Q11" s="65"/>
      <c r="R11" s="72"/>
      <c r="S11" s="73"/>
      <c r="T11" s="65"/>
      <c r="U11" s="74"/>
      <c r="V11" s="65"/>
      <c r="W11" s="65"/>
      <c r="X11" s="65"/>
      <c r="Y11" s="65"/>
      <c r="Z11" s="65"/>
      <c r="AA11" s="65"/>
      <c r="AB11" s="65"/>
      <c r="AC11" s="66"/>
      <c r="AD11" s="66"/>
      <c r="AE11" s="65"/>
      <c r="AF11" s="65"/>
      <c r="AG11" s="65"/>
      <c r="AH11" s="65"/>
      <c r="AI11" s="65"/>
      <c r="AJ11" s="71"/>
      <c r="AK11" s="65"/>
      <c r="AL11" s="65"/>
      <c r="AM11" s="65"/>
      <c r="AN11" s="65"/>
      <c r="AO11" s="65"/>
      <c r="AP11" s="65"/>
      <c r="AQ11" s="65"/>
      <c r="AR11" s="65"/>
      <c r="AS11" s="65"/>
      <c r="AT11" s="65"/>
      <c r="AU11" s="65"/>
      <c r="AV11" s="65"/>
      <c r="AW11" s="65"/>
      <c r="AX11" s="65"/>
      <c r="AY11" s="65"/>
      <c r="AZ11" s="65"/>
      <c r="BA11" s="65"/>
      <c r="BB11" s="65"/>
      <c r="BC11" s="65"/>
      <c r="BD11" s="65"/>
      <c r="BE11" s="65"/>
      <c r="BF11" s="75"/>
      <c r="BG11" s="75"/>
      <c r="BH11" s="75"/>
      <c r="BI11" s="65"/>
      <c r="BJ11" s="65"/>
      <c r="BK11" s="65"/>
      <c r="BL11" s="65"/>
      <c r="BM11" s="70" t="s">
        <v>4461</v>
      </c>
      <c r="BN11" s="70" t="s">
        <v>4462</v>
      </c>
      <c r="BO11" s="70" t="s">
        <v>4226</v>
      </c>
      <c r="BP11" s="70" t="s">
        <v>4226</v>
      </c>
    </row>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I855"/>
  <sheetViews>
    <sheetView topLeftCell="A46" workbookViewId="0">
      <selection activeCell="G20" sqref="G20"/>
    </sheetView>
  </sheetViews>
  <sheetFormatPr defaultColWidth="9" defaultRowHeight="14"/>
  <cols>
    <col min="2" max="2" width="16.2727272727273" style="60" customWidth="1"/>
    <col min="3" max="3" width="10.5454545454545" style="60"/>
    <col min="4" max="4" width="9" style="60"/>
    <col min="5" max="6" width="11.8181818181818" style="60" customWidth="1"/>
    <col min="7" max="7" width="30.9090909090909" style="60" customWidth="1"/>
    <col min="8" max="8" width="18.5454545454545" style="60" customWidth="1"/>
    <col min="9" max="9" width="14.6363636363636" style="60" customWidth="1"/>
  </cols>
  <sheetData>
    <row r="1" spans="1:9">
      <c r="A1" s="62" t="s">
        <v>4463</v>
      </c>
      <c r="B1" s="59" t="s">
        <v>4464</v>
      </c>
      <c r="C1" s="59" t="s">
        <v>4465</v>
      </c>
      <c r="D1" s="59" t="s">
        <v>4466</v>
      </c>
      <c r="E1" s="59" t="s">
        <v>4467</v>
      </c>
      <c r="F1" s="59" t="s">
        <v>4468</v>
      </c>
      <c r="G1" s="59" t="s">
        <v>4469</v>
      </c>
      <c r="H1" s="59" t="s">
        <v>4326</v>
      </c>
      <c r="I1" s="59" t="s">
        <v>4470</v>
      </c>
    </row>
    <row r="2" spans="1:9">
      <c r="A2">
        <v>1</v>
      </c>
      <c r="B2" s="60" t="str">
        <f>IF(ISBLANK(IFERROR(INDEX('2-3 引出列表'!$A$2:$CE$8700,$A2,MATCH(B$1,'2-3 引出列表'!$A$1:$CD$1,0)),"")),"",IFERROR(INDEX('2-3 引出列表'!$A$2:$CE$8700,$A2,MATCH(B$1,'2-3 引出列表'!$A$1:$CD$1,0)),""))</f>
        <v/>
      </c>
      <c r="C2" s="60">
        <f>IF(ISBLANK(IFERROR(INDEX('2-3 引出列表'!$A$2:$CE$8700,$A2,MATCH(C$1,'2-3 引出列表'!$A$1:$CD$1,0)),"")),"",IFERROR(INDEX('2-3 引出列表'!$A$2:$CE$8700,$A2,MATCH(C$1,'2-3 引出列表'!$A$1:$CD$1,0)),""))</f>
        <v>10000</v>
      </c>
      <c r="D2" s="60" t="str">
        <f>IF(ISBLANK(IFERROR(INDEX('2-3 引出列表'!$A$2:$CE$8700,$A2,MATCH(D$1,'2-3 引出列表'!$A$1:$CD$1,0)),"")),"",IFERROR(INDEX('2-3 引出列表'!$A$2:$CE$8700,$A2,MATCH(D$1,'2-3 引出列表'!$A$1:$CD$1,0)),""))</f>
        <v>已审核</v>
      </c>
      <c r="E2" s="60" t="str">
        <f>IF(ISBLANK(IFERROR(INDEX('2-3 引出列表'!$A$2:$CE$8700,$A2,MATCH(E$1,'2-3 引出列表'!$A$1:$CD$1,0)),"")),"",IFERROR(INDEX('2-3 引出列表'!$A$2:$CE$8700,$A2,MATCH(E$1,'2-3 引出列表'!$A$1:$CD$1,0)),""))</f>
        <v>2025-01-03</v>
      </c>
      <c r="F2" s="63" t="str">
        <f>LEFT(E2,7)</f>
        <v>2025-01</v>
      </c>
      <c r="G2" s="60" t="str">
        <f>IF(ISBLANK(IFERROR(INDEX('2-3 引出列表'!$A$2:$CE$8700,$A2,MATCH(G$1,'2-3 引出列表'!$A$1:$CD$1,0)),"")),"",IFERROR(INDEX('2-3 引出列表'!$A$2:$CE$8700,$A2,MATCH(G$1,'2-3 引出列表'!$A$1:$CD$1,0)),""))</f>
        <v>借款.员工借款</v>
      </c>
      <c r="H2" s="60" t="str">
        <f>IF(ISBLANK(IFERROR(INDEX('2-3 引出列表'!$A$2:$CE$8700,$A2,MATCH(H$1,'2-3 引出列表'!$A$1:$CD$1,0)),"")),"",IFERROR(INDEX('2-3 引出列表'!$A$2:$CE$8700,$A2,MATCH(H$1,'2-3 引出列表'!$A$1:$CD$1,0)),""))</f>
        <v/>
      </c>
      <c r="I2" s="60" t="str">
        <f>IF(ISBLANK(IFERROR(INDEX('2-3 引出列表'!$A$2:$CE$8700,$A2,MATCH(I$1,'2-3 引出列表'!$A$1:$CD$1,0)),"")),"",IFERROR(INDEX('2-3 引出列表'!$A$2:$CE$8700,$A2,MATCH(I$1,'2-3 引出列表'!$A$1:$CD$1,0)),""))</f>
        <v/>
      </c>
    </row>
    <row r="3" spans="1:9">
      <c r="A3">
        <v>2</v>
      </c>
      <c r="B3" s="60" t="str">
        <f>IF(ISBLANK(IFERROR(INDEX('2-3 引出列表'!$A$2:$CE$8700,$A3,MATCH(B$1,'2-3 引出列表'!$A$1:$CD$1,0)),"")),"",IFERROR(INDEX('2-3 引出列表'!$A$2:$CE$8700,$A3,MATCH(B$1,'2-3 引出列表'!$A$1:$CD$1,0)),""))</f>
        <v/>
      </c>
      <c r="C3" s="60">
        <f>IF(ISBLANK(IFERROR(INDEX('2-3 引出列表'!$A$2:$CE$8700,$A3,MATCH(C$1,'2-3 引出列表'!$A$1:$CD$1,0)),"")),"",IFERROR(INDEX('2-3 引出列表'!$A$2:$CE$8700,$A3,MATCH(C$1,'2-3 引出列表'!$A$1:$CD$1,0)),""))</f>
        <v>6600</v>
      </c>
      <c r="D3" s="60" t="str">
        <f>IF(ISBLANK(IFERROR(INDEX('2-3 引出列表'!$A$2:$CE$8700,$A3,MATCH(D$1,'2-3 引出列表'!$A$1:$CD$1,0)),"")),"",IFERROR(INDEX('2-3 引出列表'!$A$2:$CE$8700,$A3,MATCH(D$1,'2-3 引出列表'!$A$1:$CD$1,0)),""))</f>
        <v>已审核</v>
      </c>
      <c r="E3" s="60" t="str">
        <f>IF(ISBLANK(IFERROR(INDEX('2-3 引出列表'!$A$2:$CE$8700,$A3,MATCH(E$1,'2-3 引出列表'!$A$1:$CD$1,0)),"")),"",IFERROR(INDEX('2-3 引出列表'!$A$2:$CE$8700,$A3,MATCH(E$1,'2-3 引出列表'!$A$1:$CD$1,0)),""))</f>
        <v>2025-01-03</v>
      </c>
      <c r="F3" s="63" t="str">
        <f t="shared" ref="F3:F34" si="0">LEFT(E3,7)</f>
        <v>2025-01</v>
      </c>
      <c r="G3" s="60" t="str">
        <f>IF(ISBLANK(IFERROR(INDEX('2-3 引出列表'!$A$2:$CE$8700,$A3,MATCH(G$1,'2-3 引出列表'!$A$1:$CD$1,0)),"")),"",IFERROR(INDEX('2-3 引出列表'!$A$2:$CE$8700,$A3,MATCH(G$1,'2-3 引出列表'!$A$1:$CD$1,0)),""))</f>
        <v>人工费用.宿舍费</v>
      </c>
      <c r="H3" s="60" t="str">
        <f>IF(ISBLANK(IFERROR(INDEX('2-3 引出列表'!$A$2:$CE$8700,$A3,MATCH(H$1,'2-3 引出列表'!$A$1:$CD$1,0)),"")),"",IFERROR(INDEX('2-3 引出列表'!$A$2:$CE$8700,$A3,MATCH(H$1,'2-3 引出列表'!$A$1:$CD$1,0)),""))</f>
        <v/>
      </c>
      <c r="I3" s="60" t="str">
        <f>IF(ISBLANK(IFERROR(INDEX('2-3 引出列表'!$A$2:$CE$8700,$A3,MATCH(I$1,'2-3 引出列表'!$A$1:$CD$1,0)),"")),"",IFERROR(INDEX('2-3 引出列表'!$A$2:$CE$8700,$A3,MATCH(I$1,'2-3 引出列表'!$A$1:$CD$1,0)),""))</f>
        <v/>
      </c>
    </row>
    <row r="4" spans="1:9">
      <c r="A4">
        <v>3</v>
      </c>
      <c r="B4" s="60" t="str">
        <f>IF(ISBLANK(IFERROR(INDEX('2-3 引出列表'!$A$2:$CE$8700,$A4,MATCH(B$1,'2-3 引出列表'!$A$1:$CD$1,0)),"")),"",IFERROR(INDEX('2-3 引出列表'!$A$2:$CE$8700,$A4,MATCH(B$1,'2-3 引出列表'!$A$1:$CD$1,0)),""))</f>
        <v/>
      </c>
      <c r="C4" s="60">
        <f>IF(ISBLANK(IFERROR(INDEX('2-3 引出列表'!$A$2:$CE$8700,$A4,MATCH(C$1,'2-3 引出列表'!$A$1:$CD$1,0)),"")),"",IFERROR(INDEX('2-3 引出列表'!$A$2:$CE$8700,$A4,MATCH(C$1,'2-3 引出列表'!$A$1:$CD$1,0)),""))</f>
        <v>6500</v>
      </c>
      <c r="D4" s="60" t="str">
        <f>IF(ISBLANK(IFERROR(INDEX('2-3 引出列表'!$A$2:$CE$8700,$A4,MATCH(D$1,'2-3 引出列表'!$A$1:$CD$1,0)),"")),"",IFERROR(INDEX('2-3 引出列表'!$A$2:$CE$8700,$A4,MATCH(D$1,'2-3 引出列表'!$A$1:$CD$1,0)),""))</f>
        <v>已审核</v>
      </c>
      <c r="E4" s="60" t="str">
        <f>IF(ISBLANK(IFERROR(INDEX('2-3 引出列表'!$A$2:$CE$8700,$A4,MATCH(E$1,'2-3 引出列表'!$A$1:$CD$1,0)),"")),"",IFERROR(INDEX('2-3 引出列表'!$A$2:$CE$8700,$A4,MATCH(E$1,'2-3 引出列表'!$A$1:$CD$1,0)),""))</f>
        <v>2025-01-03</v>
      </c>
      <c r="F4" s="63" t="str">
        <f t="shared" si="0"/>
        <v>2025-01</v>
      </c>
      <c r="G4" s="60" t="str">
        <f>IF(ISBLANK(IFERROR(INDEX('2-3 引出列表'!$A$2:$CE$8700,$A4,MATCH(G$1,'2-3 引出列表'!$A$1:$CD$1,0)),"")),"",IFERROR(INDEX('2-3 引出列表'!$A$2:$CE$8700,$A4,MATCH(G$1,'2-3 引出列表'!$A$1:$CD$1,0)),""))</f>
        <v>人工费用.宿舍费</v>
      </c>
      <c r="H4" s="60" t="str">
        <f>IF(ISBLANK(IFERROR(INDEX('2-3 引出列表'!$A$2:$CE$8700,$A4,MATCH(H$1,'2-3 引出列表'!$A$1:$CD$1,0)),"")),"",IFERROR(INDEX('2-3 引出列表'!$A$2:$CE$8700,$A4,MATCH(H$1,'2-3 引出列表'!$A$1:$CD$1,0)),""))</f>
        <v/>
      </c>
      <c r="I4" s="60" t="str">
        <f>IF(ISBLANK(IFERROR(INDEX('2-3 引出列表'!$A$2:$CE$8700,$A4,MATCH(I$1,'2-3 引出列表'!$A$1:$CD$1,0)),"")),"",IFERROR(INDEX('2-3 引出列表'!$A$2:$CE$8700,$A4,MATCH(I$1,'2-3 引出列表'!$A$1:$CD$1,0)),""))</f>
        <v/>
      </c>
    </row>
    <row r="5" spans="1:9">
      <c r="A5">
        <v>4</v>
      </c>
      <c r="B5" s="60" t="str">
        <f>IF(ISBLANK(IFERROR(INDEX('2-3 引出列表'!$A$2:$CE$8700,$A5,MATCH(B$1,'2-3 引出列表'!$A$1:$CD$1,0)),"")),"",IFERROR(INDEX('2-3 引出列表'!$A$2:$CE$8700,$A5,MATCH(B$1,'2-3 引出列表'!$A$1:$CD$1,0)),""))</f>
        <v/>
      </c>
      <c r="C5" s="60">
        <f>IF(ISBLANK(IFERROR(INDEX('2-3 引出列表'!$A$2:$CE$8700,$A5,MATCH(C$1,'2-3 引出列表'!$A$1:$CD$1,0)),"")),"",IFERROR(INDEX('2-3 引出列表'!$A$2:$CE$8700,$A5,MATCH(C$1,'2-3 引出列表'!$A$1:$CD$1,0)),""))</f>
        <v>5600</v>
      </c>
      <c r="D5" s="60" t="str">
        <f>IF(ISBLANK(IFERROR(INDEX('2-3 引出列表'!$A$2:$CE$8700,$A5,MATCH(D$1,'2-3 引出列表'!$A$1:$CD$1,0)),"")),"",IFERROR(INDEX('2-3 引出列表'!$A$2:$CE$8700,$A5,MATCH(D$1,'2-3 引出列表'!$A$1:$CD$1,0)),""))</f>
        <v>已审核</v>
      </c>
      <c r="E5" s="60" t="str">
        <f>IF(ISBLANK(IFERROR(INDEX('2-3 引出列表'!$A$2:$CE$8700,$A5,MATCH(E$1,'2-3 引出列表'!$A$1:$CD$1,0)),"")),"",IFERROR(INDEX('2-3 引出列表'!$A$2:$CE$8700,$A5,MATCH(E$1,'2-3 引出列表'!$A$1:$CD$1,0)),""))</f>
        <v>2025-01-03</v>
      </c>
      <c r="F5" s="63" t="str">
        <f t="shared" si="0"/>
        <v>2025-01</v>
      </c>
      <c r="G5" s="60" t="str">
        <f>IF(ISBLANK(IFERROR(INDEX('2-3 引出列表'!$A$2:$CE$8700,$A5,MATCH(G$1,'2-3 引出列表'!$A$1:$CD$1,0)),"")),"",IFERROR(INDEX('2-3 引出列表'!$A$2:$CE$8700,$A5,MATCH(G$1,'2-3 引出列表'!$A$1:$CD$1,0)),""))</f>
        <v>人工费用.宿舍费</v>
      </c>
      <c r="H5" s="60" t="str">
        <f>IF(ISBLANK(IFERROR(INDEX('2-3 引出列表'!$A$2:$CE$8700,$A5,MATCH(H$1,'2-3 引出列表'!$A$1:$CD$1,0)),"")),"",IFERROR(INDEX('2-3 引出列表'!$A$2:$CE$8700,$A5,MATCH(H$1,'2-3 引出列表'!$A$1:$CD$1,0)),""))</f>
        <v/>
      </c>
      <c r="I5" s="60" t="str">
        <f>IF(ISBLANK(IFERROR(INDEX('2-3 引出列表'!$A$2:$CE$8700,$A5,MATCH(I$1,'2-3 引出列表'!$A$1:$CD$1,0)),"")),"",IFERROR(INDEX('2-3 引出列表'!$A$2:$CE$8700,$A5,MATCH(I$1,'2-3 引出列表'!$A$1:$CD$1,0)),""))</f>
        <v/>
      </c>
    </row>
    <row r="6" spans="1:9">
      <c r="A6">
        <v>5</v>
      </c>
      <c r="B6" s="60" t="str">
        <f>IF(ISBLANK(IFERROR(INDEX('2-3 引出列表'!$A$2:$CE$8700,$A6,MATCH(B$1,'2-3 引出列表'!$A$1:$CD$1,0)),"")),"",IFERROR(INDEX('2-3 引出列表'!$A$2:$CE$8700,$A6,MATCH(B$1,'2-3 引出列表'!$A$1:$CD$1,0)),""))</f>
        <v/>
      </c>
      <c r="C6" s="60">
        <f>IF(ISBLANK(IFERROR(INDEX('2-3 引出列表'!$A$2:$CE$8700,$A6,MATCH(C$1,'2-3 引出列表'!$A$1:$CD$1,0)),"")),"",IFERROR(INDEX('2-3 引出列表'!$A$2:$CE$8700,$A6,MATCH(C$1,'2-3 引出列表'!$A$1:$CD$1,0)),""))</f>
        <v>907.51</v>
      </c>
      <c r="D6" s="60" t="str">
        <f>IF(ISBLANK(IFERROR(INDEX('2-3 引出列表'!$A$2:$CE$8700,$A6,MATCH(D$1,'2-3 引出列表'!$A$1:$CD$1,0)),"")),"",IFERROR(INDEX('2-3 引出列表'!$A$2:$CE$8700,$A6,MATCH(D$1,'2-3 引出列表'!$A$1:$CD$1,0)),""))</f>
        <v>已审核</v>
      </c>
      <c r="E6" s="60" t="str">
        <f>IF(ISBLANK(IFERROR(INDEX('2-3 引出列表'!$A$2:$CE$8700,$A6,MATCH(E$1,'2-3 引出列表'!$A$1:$CD$1,0)),"")),"",IFERROR(INDEX('2-3 引出列表'!$A$2:$CE$8700,$A6,MATCH(E$1,'2-3 引出列表'!$A$1:$CD$1,0)),""))</f>
        <v>2025-01-02</v>
      </c>
      <c r="F6" s="63" t="str">
        <f t="shared" si="0"/>
        <v>2025-01</v>
      </c>
      <c r="G6" s="60" t="str">
        <f>IF(ISBLANK(IFERROR(INDEX('2-3 引出列表'!$A$2:$CE$8700,$A6,MATCH(G$1,'2-3 引出列表'!$A$1:$CD$1,0)),"")),"",IFERROR(INDEX('2-3 引出列表'!$A$2:$CE$8700,$A6,MATCH(G$1,'2-3 引出列表'!$A$1:$CD$1,0)),""))</f>
        <v>人工费用.宿舍费</v>
      </c>
      <c r="H6" s="60" t="str">
        <f>IF(ISBLANK(IFERROR(INDEX('2-3 引出列表'!$A$2:$CE$8700,$A6,MATCH(H$1,'2-3 引出列表'!$A$1:$CD$1,0)),"")),"",IFERROR(INDEX('2-3 引出列表'!$A$2:$CE$8700,$A6,MATCH(H$1,'2-3 引出列表'!$A$1:$CD$1,0)),""))</f>
        <v/>
      </c>
      <c r="I6" s="60" t="str">
        <f>IF(ISBLANK(IFERROR(INDEX('2-3 引出列表'!$A$2:$CE$8700,$A6,MATCH(I$1,'2-3 引出列表'!$A$1:$CD$1,0)),"")),"",IFERROR(INDEX('2-3 引出列表'!$A$2:$CE$8700,$A6,MATCH(I$1,'2-3 引出列表'!$A$1:$CD$1,0)),""))</f>
        <v/>
      </c>
    </row>
    <row r="7" spans="1:9">
      <c r="A7">
        <v>6</v>
      </c>
      <c r="B7" s="60" t="str">
        <f>IF(ISBLANK(IFERROR(INDEX('2-3 引出列表'!$A$2:$CE$8700,$A7,MATCH(B$1,'2-3 引出列表'!$A$1:$CD$1,0)),"")),"",IFERROR(INDEX('2-3 引出列表'!$A$2:$CE$8700,$A7,MATCH(B$1,'2-3 引出列表'!$A$1:$CD$1,0)),""))</f>
        <v/>
      </c>
      <c r="C7" s="60">
        <f>IF(ISBLANK(IFERROR(INDEX('2-3 引出列表'!$A$2:$CE$8700,$A7,MATCH(C$1,'2-3 引出列表'!$A$1:$CD$1,0)),"")),"",IFERROR(INDEX('2-3 引出列表'!$A$2:$CE$8700,$A7,MATCH(C$1,'2-3 引出列表'!$A$1:$CD$1,0)),""))</f>
        <v>5600</v>
      </c>
      <c r="D7" s="60" t="str">
        <f>IF(ISBLANK(IFERROR(INDEX('2-3 引出列表'!$A$2:$CE$8700,$A7,MATCH(D$1,'2-3 引出列表'!$A$1:$CD$1,0)),"")),"",IFERROR(INDEX('2-3 引出列表'!$A$2:$CE$8700,$A7,MATCH(D$1,'2-3 引出列表'!$A$1:$CD$1,0)),""))</f>
        <v>已审核</v>
      </c>
      <c r="E7" s="60" t="str">
        <f>IF(ISBLANK(IFERROR(INDEX('2-3 引出列表'!$A$2:$CE$8700,$A7,MATCH(E$1,'2-3 引出列表'!$A$1:$CD$1,0)),"")),"",IFERROR(INDEX('2-3 引出列表'!$A$2:$CE$8700,$A7,MATCH(E$1,'2-3 引出列表'!$A$1:$CD$1,0)),""))</f>
        <v>2025-01-02</v>
      </c>
      <c r="F7" s="63" t="str">
        <f t="shared" si="0"/>
        <v>2025-01</v>
      </c>
      <c r="G7" s="60" t="str">
        <f>IF(ISBLANK(IFERROR(INDEX('2-3 引出列表'!$A$2:$CE$8700,$A7,MATCH(G$1,'2-3 引出列表'!$A$1:$CD$1,0)),"")),"",IFERROR(INDEX('2-3 引出列表'!$A$2:$CE$8700,$A7,MATCH(G$1,'2-3 引出列表'!$A$1:$CD$1,0)),""))</f>
        <v>人工费用.宿舍费</v>
      </c>
      <c r="H7" s="60" t="str">
        <f>IF(ISBLANK(IFERROR(INDEX('2-3 引出列表'!$A$2:$CE$8700,$A7,MATCH(H$1,'2-3 引出列表'!$A$1:$CD$1,0)),"")),"",IFERROR(INDEX('2-3 引出列表'!$A$2:$CE$8700,$A7,MATCH(H$1,'2-3 引出列表'!$A$1:$CD$1,0)),""))</f>
        <v/>
      </c>
      <c r="I7" s="60" t="str">
        <f>IF(ISBLANK(IFERROR(INDEX('2-3 引出列表'!$A$2:$CE$8700,$A7,MATCH(I$1,'2-3 引出列表'!$A$1:$CD$1,0)),"")),"",IFERROR(INDEX('2-3 引出列表'!$A$2:$CE$8700,$A7,MATCH(I$1,'2-3 引出列表'!$A$1:$CD$1,0)),""))</f>
        <v/>
      </c>
    </row>
    <row r="8" spans="1:9">
      <c r="A8">
        <v>7</v>
      </c>
      <c r="B8" s="60" t="str">
        <f>IF(ISBLANK(IFERROR(INDEX('2-3 引出列表'!$A$2:$CE$8700,$A8,MATCH(B$1,'2-3 引出列表'!$A$1:$CD$1,0)),"")),"",IFERROR(INDEX('2-3 引出列表'!$A$2:$CE$8700,$A8,MATCH(B$1,'2-3 引出列表'!$A$1:$CD$1,0)),""))</f>
        <v/>
      </c>
      <c r="C8" s="60">
        <f>IF(ISBLANK(IFERROR(INDEX('2-3 引出列表'!$A$2:$CE$8700,$A8,MATCH(C$1,'2-3 引出列表'!$A$1:$CD$1,0)),"")),"",IFERROR(INDEX('2-3 引出列表'!$A$2:$CE$8700,$A8,MATCH(C$1,'2-3 引出列表'!$A$1:$CD$1,0)),""))</f>
        <v>6200</v>
      </c>
      <c r="D8" s="60" t="str">
        <f>IF(ISBLANK(IFERROR(INDEX('2-3 引出列表'!$A$2:$CE$8700,$A8,MATCH(D$1,'2-3 引出列表'!$A$1:$CD$1,0)),"")),"",IFERROR(INDEX('2-3 引出列表'!$A$2:$CE$8700,$A8,MATCH(D$1,'2-3 引出列表'!$A$1:$CD$1,0)),""))</f>
        <v>已审核</v>
      </c>
      <c r="E8" s="60" t="str">
        <f>IF(ISBLANK(IFERROR(INDEX('2-3 引出列表'!$A$2:$CE$8700,$A8,MATCH(E$1,'2-3 引出列表'!$A$1:$CD$1,0)),"")),"",IFERROR(INDEX('2-3 引出列表'!$A$2:$CE$8700,$A8,MATCH(E$1,'2-3 引出列表'!$A$1:$CD$1,0)),""))</f>
        <v>2025-01-02</v>
      </c>
      <c r="F8" s="63" t="str">
        <f t="shared" si="0"/>
        <v>2025-01</v>
      </c>
      <c r="G8" s="60" t="str">
        <f>IF(ISBLANK(IFERROR(INDEX('2-3 引出列表'!$A$2:$CE$8700,$A8,MATCH(G$1,'2-3 引出列表'!$A$1:$CD$1,0)),"")),"",IFERROR(INDEX('2-3 引出列表'!$A$2:$CE$8700,$A8,MATCH(G$1,'2-3 引出列表'!$A$1:$CD$1,0)),""))</f>
        <v>人工费用.宿舍费</v>
      </c>
      <c r="H8" s="60" t="str">
        <f>IF(ISBLANK(IFERROR(INDEX('2-3 引出列表'!$A$2:$CE$8700,$A8,MATCH(H$1,'2-3 引出列表'!$A$1:$CD$1,0)),"")),"",IFERROR(INDEX('2-3 引出列表'!$A$2:$CE$8700,$A8,MATCH(H$1,'2-3 引出列表'!$A$1:$CD$1,0)),""))</f>
        <v/>
      </c>
      <c r="I8" s="60" t="str">
        <f>IF(ISBLANK(IFERROR(INDEX('2-3 引出列表'!$A$2:$CE$8700,$A8,MATCH(I$1,'2-3 引出列表'!$A$1:$CD$1,0)),"")),"",IFERROR(INDEX('2-3 引出列表'!$A$2:$CE$8700,$A8,MATCH(I$1,'2-3 引出列表'!$A$1:$CD$1,0)),""))</f>
        <v/>
      </c>
    </row>
    <row r="9" spans="1:9">
      <c r="A9">
        <v>8</v>
      </c>
      <c r="B9" s="60" t="str">
        <f>IF(ISBLANK(IFERROR(INDEX('2-3 引出列表'!$A$2:$CE$8700,$A9,MATCH(B$1,'2-3 引出列表'!$A$1:$CD$1,0)),"")),"",IFERROR(INDEX('2-3 引出列表'!$A$2:$CE$8700,$A9,MATCH(B$1,'2-3 引出列表'!$A$1:$CD$1,0)),""))</f>
        <v/>
      </c>
      <c r="C9" s="60">
        <f>IF(ISBLANK(IFERROR(INDEX('2-3 引出列表'!$A$2:$CE$8700,$A9,MATCH(C$1,'2-3 引出列表'!$A$1:$CD$1,0)),"")),"",IFERROR(INDEX('2-3 引出列表'!$A$2:$CE$8700,$A9,MATCH(C$1,'2-3 引出列表'!$A$1:$CD$1,0)),""))</f>
        <v>6100</v>
      </c>
      <c r="D9" s="60" t="str">
        <f>IF(ISBLANK(IFERROR(INDEX('2-3 引出列表'!$A$2:$CE$8700,$A9,MATCH(D$1,'2-3 引出列表'!$A$1:$CD$1,0)),"")),"",IFERROR(INDEX('2-3 引出列表'!$A$2:$CE$8700,$A9,MATCH(D$1,'2-3 引出列表'!$A$1:$CD$1,0)),""))</f>
        <v>已审核</v>
      </c>
      <c r="E9" s="60" t="str">
        <f>IF(ISBLANK(IFERROR(INDEX('2-3 引出列表'!$A$2:$CE$8700,$A9,MATCH(E$1,'2-3 引出列表'!$A$1:$CD$1,0)),"")),"",IFERROR(INDEX('2-3 引出列表'!$A$2:$CE$8700,$A9,MATCH(E$1,'2-3 引出列表'!$A$1:$CD$1,0)),""))</f>
        <v>2025-01-02</v>
      </c>
      <c r="F9" s="63" t="str">
        <f t="shared" si="0"/>
        <v>2025-01</v>
      </c>
      <c r="G9" s="60" t="str">
        <f>IF(ISBLANK(IFERROR(INDEX('2-3 引出列表'!$A$2:$CE$8700,$A9,MATCH(G$1,'2-3 引出列表'!$A$1:$CD$1,0)),"")),"",IFERROR(INDEX('2-3 引出列表'!$A$2:$CE$8700,$A9,MATCH(G$1,'2-3 引出列表'!$A$1:$CD$1,0)),""))</f>
        <v>人工费用.宿舍费</v>
      </c>
      <c r="H9" s="60" t="str">
        <f>IF(ISBLANK(IFERROR(INDEX('2-3 引出列表'!$A$2:$CE$8700,$A9,MATCH(H$1,'2-3 引出列表'!$A$1:$CD$1,0)),"")),"",IFERROR(INDEX('2-3 引出列表'!$A$2:$CE$8700,$A9,MATCH(H$1,'2-3 引出列表'!$A$1:$CD$1,0)),""))</f>
        <v/>
      </c>
      <c r="I9" s="60" t="str">
        <f>IF(ISBLANK(IFERROR(INDEX('2-3 引出列表'!$A$2:$CE$8700,$A9,MATCH(I$1,'2-3 引出列表'!$A$1:$CD$1,0)),"")),"",IFERROR(INDEX('2-3 引出列表'!$A$2:$CE$8700,$A9,MATCH(I$1,'2-3 引出列表'!$A$1:$CD$1,0)),""))</f>
        <v/>
      </c>
    </row>
    <row r="10" spans="1:9">
      <c r="A10">
        <v>9</v>
      </c>
      <c r="B10" s="60" t="str">
        <f>IF(ISBLANK(IFERROR(INDEX('2-3 引出列表'!$A$2:$CE$8700,$A10,MATCH(B$1,'2-3 引出列表'!$A$1:$CD$1,0)),"")),"",IFERROR(INDEX('2-3 引出列表'!$A$2:$CE$8700,$A10,MATCH(B$1,'2-3 引出列表'!$A$1:$CD$1,0)),""))</f>
        <v/>
      </c>
      <c r="C10" s="60">
        <f>IF(ISBLANK(IFERROR(INDEX('2-3 引出列表'!$A$2:$CE$8700,$A10,MATCH(C$1,'2-3 引出列表'!$A$1:$CD$1,0)),"")),"",IFERROR(INDEX('2-3 引出列表'!$A$2:$CE$8700,$A10,MATCH(C$1,'2-3 引出列表'!$A$1:$CD$1,0)),""))</f>
        <v>6115</v>
      </c>
      <c r="D10" s="60" t="str">
        <f>IF(ISBLANK(IFERROR(INDEX('2-3 引出列表'!$A$2:$CE$8700,$A10,MATCH(D$1,'2-3 引出列表'!$A$1:$CD$1,0)),"")),"",IFERROR(INDEX('2-3 引出列表'!$A$2:$CE$8700,$A10,MATCH(D$1,'2-3 引出列表'!$A$1:$CD$1,0)),""))</f>
        <v>已审核</v>
      </c>
      <c r="E10" s="60" t="str">
        <f>IF(ISBLANK(IFERROR(INDEX('2-3 引出列表'!$A$2:$CE$8700,$A10,MATCH(E$1,'2-3 引出列表'!$A$1:$CD$1,0)),"")),"",IFERROR(INDEX('2-3 引出列表'!$A$2:$CE$8700,$A10,MATCH(E$1,'2-3 引出列表'!$A$1:$CD$1,0)),""))</f>
        <v>2025-01-02</v>
      </c>
      <c r="F10" s="63" t="str">
        <f t="shared" si="0"/>
        <v>2025-01</v>
      </c>
      <c r="G10" s="60" t="str">
        <f>IF(ISBLANK(IFERROR(INDEX('2-3 引出列表'!$A$2:$CE$8700,$A10,MATCH(G$1,'2-3 引出列表'!$A$1:$CD$1,0)),"")),"",IFERROR(INDEX('2-3 引出列表'!$A$2:$CE$8700,$A10,MATCH(G$1,'2-3 引出列表'!$A$1:$CD$1,0)),""))</f>
        <v>人工费用.宿舍费</v>
      </c>
      <c r="H10" s="60" t="str">
        <f>IF(ISBLANK(IFERROR(INDEX('2-3 引出列表'!$A$2:$CE$8700,$A10,MATCH(H$1,'2-3 引出列表'!$A$1:$CD$1,0)),"")),"",IFERROR(INDEX('2-3 引出列表'!$A$2:$CE$8700,$A10,MATCH(H$1,'2-3 引出列表'!$A$1:$CD$1,0)),""))</f>
        <v/>
      </c>
      <c r="I10" s="60" t="str">
        <f>IF(ISBLANK(IFERROR(INDEX('2-3 引出列表'!$A$2:$CE$8700,$A10,MATCH(I$1,'2-3 引出列表'!$A$1:$CD$1,0)),"")),"",IFERROR(INDEX('2-3 引出列表'!$A$2:$CE$8700,$A10,MATCH(I$1,'2-3 引出列表'!$A$1:$CD$1,0)),""))</f>
        <v/>
      </c>
    </row>
    <row r="11" spans="1:9">
      <c r="A11">
        <v>10</v>
      </c>
      <c r="B11" s="60" t="str">
        <f>IF(ISBLANK(IFERROR(INDEX('2-3 引出列表'!$A$2:$CE$8700,$A11,MATCH(B$1,'2-3 引出列表'!$A$1:$CD$1,0)),"")),"",IFERROR(INDEX('2-3 引出列表'!$A$2:$CE$8700,$A11,MATCH(B$1,'2-3 引出列表'!$A$1:$CD$1,0)),""))</f>
        <v/>
      </c>
      <c r="C11" s="60">
        <f>IF(ISBLANK(IFERROR(INDEX('2-3 引出列表'!$A$2:$CE$8700,$A11,MATCH(C$1,'2-3 引出列表'!$A$1:$CD$1,0)),"")),"",IFERROR(INDEX('2-3 引出列表'!$A$2:$CE$8700,$A11,MATCH(C$1,'2-3 引出列表'!$A$1:$CD$1,0)),""))</f>
        <v>7000</v>
      </c>
      <c r="D11" s="60" t="str">
        <f>IF(ISBLANK(IFERROR(INDEX('2-3 引出列表'!$A$2:$CE$8700,$A11,MATCH(D$1,'2-3 引出列表'!$A$1:$CD$1,0)),"")),"",IFERROR(INDEX('2-3 引出列表'!$A$2:$CE$8700,$A11,MATCH(D$1,'2-3 引出列表'!$A$1:$CD$1,0)),""))</f>
        <v>已审核</v>
      </c>
      <c r="E11" s="60" t="str">
        <f>IF(ISBLANK(IFERROR(INDEX('2-3 引出列表'!$A$2:$CE$8700,$A11,MATCH(E$1,'2-3 引出列表'!$A$1:$CD$1,0)),"")),"",IFERROR(INDEX('2-3 引出列表'!$A$2:$CE$8700,$A11,MATCH(E$1,'2-3 引出列表'!$A$1:$CD$1,0)),""))</f>
        <v>2025-01-02</v>
      </c>
      <c r="F11" s="63" t="str">
        <f t="shared" si="0"/>
        <v>2025-01</v>
      </c>
      <c r="G11" s="60" t="str">
        <f>IF(ISBLANK(IFERROR(INDEX('2-3 引出列表'!$A$2:$CE$8700,$A11,MATCH(G$1,'2-3 引出列表'!$A$1:$CD$1,0)),"")),"",IFERROR(INDEX('2-3 引出列表'!$A$2:$CE$8700,$A11,MATCH(G$1,'2-3 引出列表'!$A$1:$CD$1,0)),""))</f>
        <v>人工费用.宿舍费</v>
      </c>
      <c r="H11" s="60" t="str">
        <f>IF(ISBLANK(IFERROR(INDEX('2-3 引出列表'!$A$2:$CE$8700,$A11,MATCH(H$1,'2-3 引出列表'!$A$1:$CD$1,0)),"")),"",IFERROR(INDEX('2-3 引出列表'!$A$2:$CE$8700,$A11,MATCH(H$1,'2-3 引出列表'!$A$1:$CD$1,0)),""))</f>
        <v/>
      </c>
      <c r="I11" s="60" t="str">
        <f>IF(ISBLANK(IFERROR(INDEX('2-3 引出列表'!$A$2:$CE$8700,$A11,MATCH(I$1,'2-3 引出列表'!$A$1:$CD$1,0)),"")),"",IFERROR(INDEX('2-3 引出列表'!$A$2:$CE$8700,$A11,MATCH(I$1,'2-3 引出列表'!$A$1:$CD$1,0)),""))</f>
        <v/>
      </c>
    </row>
    <row r="12" spans="1:9">
      <c r="A12">
        <v>11</v>
      </c>
      <c r="B12" s="60" t="str">
        <f>IF(ISBLANK(IFERROR(INDEX('2-3 引出列表'!$A$2:$CE$8700,$A12,MATCH(B$1,'2-3 引出列表'!$A$1:$CD$1,0)),"")),"",IFERROR(INDEX('2-3 引出列表'!$A$2:$CE$8700,$A12,MATCH(B$1,'2-3 引出列表'!$A$1:$CD$1,0)),""))</f>
        <v/>
      </c>
      <c r="C12" s="60">
        <f>IF(ISBLANK(IFERROR(INDEX('2-3 引出列表'!$A$2:$CE$8700,$A12,MATCH(C$1,'2-3 引出列表'!$A$1:$CD$1,0)),"")),"",IFERROR(INDEX('2-3 引出列表'!$A$2:$CE$8700,$A12,MATCH(C$1,'2-3 引出列表'!$A$1:$CD$1,0)),""))</f>
        <v>7100</v>
      </c>
      <c r="D12" s="60" t="str">
        <f>IF(ISBLANK(IFERROR(INDEX('2-3 引出列表'!$A$2:$CE$8700,$A12,MATCH(D$1,'2-3 引出列表'!$A$1:$CD$1,0)),"")),"",IFERROR(INDEX('2-3 引出列表'!$A$2:$CE$8700,$A12,MATCH(D$1,'2-3 引出列表'!$A$1:$CD$1,0)),""))</f>
        <v>已审核</v>
      </c>
      <c r="E12" s="60" t="str">
        <f>IF(ISBLANK(IFERROR(INDEX('2-3 引出列表'!$A$2:$CE$8700,$A12,MATCH(E$1,'2-3 引出列表'!$A$1:$CD$1,0)),"")),"",IFERROR(INDEX('2-3 引出列表'!$A$2:$CE$8700,$A12,MATCH(E$1,'2-3 引出列表'!$A$1:$CD$1,0)),""))</f>
        <v>2025-01-02</v>
      </c>
      <c r="F12" s="63" t="str">
        <f t="shared" si="0"/>
        <v>2025-01</v>
      </c>
      <c r="G12" s="60" t="str">
        <f>IF(ISBLANK(IFERROR(INDEX('2-3 引出列表'!$A$2:$CE$8700,$A12,MATCH(G$1,'2-3 引出列表'!$A$1:$CD$1,0)),"")),"",IFERROR(INDEX('2-3 引出列表'!$A$2:$CE$8700,$A12,MATCH(G$1,'2-3 引出列表'!$A$1:$CD$1,0)),""))</f>
        <v>人工费用.宿舍费</v>
      </c>
      <c r="H12" s="60" t="str">
        <f>IF(ISBLANK(IFERROR(INDEX('2-3 引出列表'!$A$2:$CE$8700,$A12,MATCH(H$1,'2-3 引出列表'!$A$1:$CD$1,0)),"")),"",IFERROR(INDEX('2-3 引出列表'!$A$2:$CE$8700,$A12,MATCH(H$1,'2-3 引出列表'!$A$1:$CD$1,0)),""))</f>
        <v/>
      </c>
      <c r="I12" s="60" t="str">
        <f>IF(ISBLANK(IFERROR(INDEX('2-3 引出列表'!$A$2:$CE$8700,$A12,MATCH(I$1,'2-3 引出列表'!$A$1:$CD$1,0)),"")),"",IFERROR(INDEX('2-3 引出列表'!$A$2:$CE$8700,$A12,MATCH(I$1,'2-3 引出列表'!$A$1:$CD$1,0)),""))</f>
        <v/>
      </c>
    </row>
    <row r="13" spans="1:9">
      <c r="A13">
        <v>12</v>
      </c>
      <c r="B13" s="60" t="str">
        <f>IF(ISBLANK(IFERROR(INDEX('2-3 引出列表'!$A$2:$CE$8700,$A13,MATCH(B$1,'2-3 引出列表'!$A$1:$CD$1,0)),"")),"",IFERROR(INDEX('2-3 引出列表'!$A$2:$CE$8700,$A13,MATCH(B$1,'2-3 引出列表'!$A$1:$CD$1,0)),""))</f>
        <v>FK241231000213</v>
      </c>
      <c r="C13" s="60">
        <f>IF(ISBLANK(IFERROR(INDEX('2-3 引出列表'!$A$2:$CE$8700,$A13,MATCH(C$1,'2-3 引出列表'!$A$1:$CD$1,0)),"")),"",IFERROR(INDEX('2-3 引出列表'!$A$2:$CE$8700,$A13,MATCH(C$1,'2-3 引出列表'!$A$1:$CD$1,0)),""))</f>
        <v>8816.98</v>
      </c>
      <c r="D13" s="60" t="str">
        <f>IF(ISBLANK(IFERROR(INDEX('2-3 引出列表'!$A$2:$CE$8700,$A13,MATCH(D$1,'2-3 引出列表'!$A$1:$CD$1,0)),"")),"",IFERROR(INDEX('2-3 引出列表'!$A$2:$CE$8700,$A13,MATCH(D$1,'2-3 引出列表'!$A$1:$CD$1,0)),""))</f>
        <v>已审核</v>
      </c>
      <c r="E13" s="60" t="str">
        <f>IF(ISBLANK(IFERROR(INDEX('2-3 引出列表'!$A$2:$CE$8700,$A13,MATCH(E$1,'2-3 引出列表'!$A$1:$CD$1,0)),"")),"",IFERROR(INDEX('2-3 引出列表'!$A$2:$CE$8700,$A13,MATCH(E$1,'2-3 引出列表'!$A$1:$CD$1,0)),""))</f>
        <v>2024-12-31</v>
      </c>
      <c r="F13" s="63" t="str">
        <f t="shared" si="0"/>
        <v>2024-12</v>
      </c>
      <c r="G13" s="60" t="str">
        <f>IF(ISBLANK(IFERROR(INDEX('2-3 引出列表'!$A$2:$CE$8700,$A13,MATCH(G$1,'2-3 引出列表'!$A$1:$CD$1,0)),"")),"",IFERROR(INDEX('2-3 引出列表'!$A$2:$CE$8700,$A13,MATCH(G$1,'2-3 引出列表'!$A$1:$CD$1,0)),""))</f>
        <v>物料消耗.物料消耗</v>
      </c>
      <c r="H13" s="60" t="str">
        <f>IF(ISBLANK(IFERROR(INDEX('2-3 引出列表'!$A$2:$CE$8700,$A13,MATCH(H$1,'2-3 引出列表'!$A$1:$CD$1,0)),"")),"",IFERROR(INDEX('2-3 引出列表'!$A$2:$CE$8700,$A13,MATCH(H$1,'2-3 引出列表'!$A$1:$CD$1,0)),""))</f>
        <v>XHWZ-Z-2024-0131</v>
      </c>
      <c r="I13" s="60" t="str">
        <f>IF(ISBLANK(IFERROR(INDEX('2-3 引出列表'!$A$2:$CE$8700,$A13,MATCH(I$1,'2-3 引出列表'!$A$1:$CD$1,0)),"")),"",IFERROR(INDEX('2-3 引出列表'!$A$2:$CE$8700,$A13,MATCH(I$1,'2-3 引出列表'!$A$1:$CD$1,0)),""))</f>
        <v>金采易购</v>
      </c>
    </row>
    <row r="14" spans="1:9">
      <c r="A14">
        <v>13</v>
      </c>
      <c r="B14" s="60" t="str">
        <f>IF(ISBLANK(IFERROR(INDEX('2-3 引出列表'!$A$2:$CE$8700,$A14,MATCH(B$1,'2-3 引出列表'!$A$1:$CD$1,0)),"")),"",IFERROR(INDEX('2-3 引出列表'!$A$2:$CE$8700,$A14,MATCH(B$1,'2-3 引出列表'!$A$1:$CD$1,0)),""))</f>
        <v>FK241231000213</v>
      </c>
      <c r="C14" s="60">
        <f>IF(ISBLANK(IFERROR(INDEX('2-3 引出列表'!$A$2:$CE$8700,$A14,MATCH(C$1,'2-3 引出列表'!$A$1:$CD$1,0)),"")),"",IFERROR(INDEX('2-3 引出列表'!$A$2:$CE$8700,$A14,MATCH(C$1,'2-3 引出列表'!$A$1:$CD$1,0)),""))</f>
        <v>8816.98</v>
      </c>
      <c r="D14" s="60" t="str">
        <f>IF(ISBLANK(IFERROR(INDEX('2-3 引出列表'!$A$2:$CE$8700,$A14,MATCH(D$1,'2-3 引出列表'!$A$1:$CD$1,0)),"")),"",IFERROR(INDEX('2-3 引出列表'!$A$2:$CE$8700,$A14,MATCH(D$1,'2-3 引出列表'!$A$1:$CD$1,0)),""))</f>
        <v>已审核</v>
      </c>
      <c r="E14" s="60" t="str">
        <f>IF(ISBLANK(IFERROR(INDEX('2-3 引出列表'!$A$2:$CE$8700,$A14,MATCH(E$1,'2-3 引出列表'!$A$1:$CD$1,0)),"")),"",IFERROR(INDEX('2-3 引出列表'!$A$2:$CE$8700,$A14,MATCH(E$1,'2-3 引出列表'!$A$1:$CD$1,0)),""))</f>
        <v>2024-12-31</v>
      </c>
      <c r="F14" s="63" t="str">
        <f t="shared" si="0"/>
        <v>2024-12</v>
      </c>
      <c r="G14" s="60" t="str">
        <f>IF(ISBLANK(IFERROR(INDEX('2-3 引出列表'!$A$2:$CE$8700,$A14,MATCH(G$1,'2-3 引出列表'!$A$1:$CD$1,0)),"")),"",IFERROR(INDEX('2-3 引出列表'!$A$2:$CE$8700,$A14,MATCH(G$1,'2-3 引出列表'!$A$1:$CD$1,0)),""))</f>
        <v>物料消耗.物料消耗</v>
      </c>
      <c r="H14" s="60" t="str">
        <f>IF(ISBLANK(IFERROR(INDEX('2-3 引出列表'!$A$2:$CE$8700,$A14,MATCH(H$1,'2-3 引出列表'!$A$1:$CD$1,0)),"")),"",IFERROR(INDEX('2-3 引出列表'!$A$2:$CE$8700,$A14,MATCH(H$1,'2-3 引出列表'!$A$1:$CD$1,0)),""))</f>
        <v>XHWZ-Z-2024-0131</v>
      </c>
      <c r="I14" s="60" t="str">
        <f>IF(ISBLANK(IFERROR(INDEX('2-3 引出列表'!$A$2:$CE$8700,$A14,MATCH(I$1,'2-3 引出列表'!$A$1:$CD$1,0)),"")),"",IFERROR(INDEX('2-3 引出列表'!$A$2:$CE$8700,$A14,MATCH(I$1,'2-3 引出列表'!$A$1:$CD$1,0)),""))</f>
        <v>金采易购</v>
      </c>
    </row>
    <row r="15" spans="1:9">
      <c r="A15">
        <v>14</v>
      </c>
      <c r="B15" s="60" t="str">
        <f>IF(ISBLANK(IFERROR(INDEX('2-3 引出列表'!$A$2:$CE$8700,$A15,MATCH(B$1,'2-3 引出列表'!$A$1:$CD$1,0)),"")),"",IFERROR(INDEX('2-3 引出列表'!$A$2:$CE$8700,$A15,MATCH(B$1,'2-3 引出列表'!$A$1:$CD$1,0)),""))</f>
        <v>FK241231000213</v>
      </c>
      <c r="C15" s="60">
        <f>IF(ISBLANK(IFERROR(INDEX('2-3 引出列表'!$A$2:$CE$8700,$A15,MATCH(C$1,'2-3 引出列表'!$A$1:$CD$1,0)),"")),"",IFERROR(INDEX('2-3 引出列表'!$A$2:$CE$8700,$A15,MATCH(C$1,'2-3 引出列表'!$A$1:$CD$1,0)),""))</f>
        <v>8816.98</v>
      </c>
      <c r="D15" s="60" t="str">
        <f>IF(ISBLANK(IFERROR(INDEX('2-3 引出列表'!$A$2:$CE$8700,$A15,MATCH(D$1,'2-3 引出列表'!$A$1:$CD$1,0)),"")),"",IFERROR(INDEX('2-3 引出列表'!$A$2:$CE$8700,$A15,MATCH(D$1,'2-3 引出列表'!$A$1:$CD$1,0)),""))</f>
        <v>已审核</v>
      </c>
      <c r="E15" s="60" t="str">
        <f>IF(ISBLANK(IFERROR(INDEX('2-3 引出列表'!$A$2:$CE$8700,$A15,MATCH(E$1,'2-3 引出列表'!$A$1:$CD$1,0)),"")),"",IFERROR(INDEX('2-3 引出列表'!$A$2:$CE$8700,$A15,MATCH(E$1,'2-3 引出列表'!$A$1:$CD$1,0)),""))</f>
        <v>2024-12-31</v>
      </c>
      <c r="F15" s="63" t="str">
        <f t="shared" si="0"/>
        <v>2024-12</v>
      </c>
      <c r="G15" s="60" t="str">
        <f>IF(ISBLANK(IFERROR(INDEX('2-3 引出列表'!$A$2:$CE$8700,$A15,MATCH(G$1,'2-3 引出列表'!$A$1:$CD$1,0)),"")),"",IFERROR(INDEX('2-3 引出列表'!$A$2:$CE$8700,$A15,MATCH(G$1,'2-3 引出列表'!$A$1:$CD$1,0)),""))</f>
        <v>物料消耗.物料消耗</v>
      </c>
      <c r="H15" s="60" t="str">
        <f>IF(ISBLANK(IFERROR(INDEX('2-3 引出列表'!$A$2:$CE$8700,$A15,MATCH(H$1,'2-3 引出列表'!$A$1:$CD$1,0)),"")),"",IFERROR(INDEX('2-3 引出列表'!$A$2:$CE$8700,$A15,MATCH(H$1,'2-3 引出列表'!$A$1:$CD$1,0)),""))</f>
        <v>XHWZ-Z-2024-0131</v>
      </c>
      <c r="I15" s="60" t="str">
        <f>IF(ISBLANK(IFERROR(INDEX('2-3 引出列表'!$A$2:$CE$8700,$A15,MATCH(I$1,'2-3 引出列表'!$A$1:$CD$1,0)),"")),"",IFERROR(INDEX('2-3 引出列表'!$A$2:$CE$8700,$A15,MATCH(I$1,'2-3 引出列表'!$A$1:$CD$1,0)),""))</f>
        <v>金采易购</v>
      </c>
    </row>
    <row r="16" spans="1:9">
      <c r="A16">
        <v>15</v>
      </c>
      <c r="B16" s="60" t="str">
        <f>IF(ISBLANK(IFERROR(INDEX('2-3 引出列表'!$A$2:$CE$8700,$A16,MATCH(B$1,'2-3 引出列表'!$A$1:$CD$1,0)),"")),"",IFERROR(INDEX('2-3 引出列表'!$A$2:$CE$8700,$A16,MATCH(B$1,'2-3 引出列表'!$A$1:$CD$1,0)),""))</f>
        <v>FK241231000213</v>
      </c>
      <c r="C16" s="60">
        <f>IF(ISBLANK(IFERROR(INDEX('2-3 引出列表'!$A$2:$CE$8700,$A16,MATCH(C$1,'2-3 引出列表'!$A$1:$CD$1,0)),"")),"",IFERROR(INDEX('2-3 引出列表'!$A$2:$CE$8700,$A16,MATCH(C$1,'2-3 引出列表'!$A$1:$CD$1,0)),""))</f>
        <v>8816.98</v>
      </c>
      <c r="D16" s="60" t="str">
        <f>IF(ISBLANK(IFERROR(INDEX('2-3 引出列表'!$A$2:$CE$8700,$A16,MATCH(D$1,'2-3 引出列表'!$A$1:$CD$1,0)),"")),"",IFERROR(INDEX('2-3 引出列表'!$A$2:$CE$8700,$A16,MATCH(D$1,'2-3 引出列表'!$A$1:$CD$1,0)),""))</f>
        <v>已审核</v>
      </c>
      <c r="E16" s="60" t="str">
        <f>IF(ISBLANK(IFERROR(INDEX('2-3 引出列表'!$A$2:$CE$8700,$A16,MATCH(E$1,'2-3 引出列表'!$A$1:$CD$1,0)),"")),"",IFERROR(INDEX('2-3 引出列表'!$A$2:$CE$8700,$A16,MATCH(E$1,'2-3 引出列表'!$A$1:$CD$1,0)),""))</f>
        <v>2024-12-31</v>
      </c>
      <c r="F16" s="63" t="str">
        <f t="shared" si="0"/>
        <v>2024-12</v>
      </c>
      <c r="G16" s="60" t="str">
        <f>IF(ISBLANK(IFERROR(INDEX('2-3 引出列表'!$A$2:$CE$8700,$A16,MATCH(G$1,'2-3 引出列表'!$A$1:$CD$1,0)),"")),"",IFERROR(INDEX('2-3 引出列表'!$A$2:$CE$8700,$A16,MATCH(G$1,'2-3 引出列表'!$A$1:$CD$1,0)),""))</f>
        <v>物料消耗.物料消耗</v>
      </c>
      <c r="H16" s="60" t="str">
        <f>IF(ISBLANK(IFERROR(INDEX('2-3 引出列表'!$A$2:$CE$8700,$A16,MATCH(H$1,'2-3 引出列表'!$A$1:$CD$1,0)),"")),"",IFERROR(INDEX('2-3 引出列表'!$A$2:$CE$8700,$A16,MATCH(H$1,'2-3 引出列表'!$A$1:$CD$1,0)),""))</f>
        <v>XHWZ-Z-2024-0131</v>
      </c>
      <c r="I16" s="60" t="str">
        <f>IF(ISBLANK(IFERROR(INDEX('2-3 引出列表'!$A$2:$CE$8700,$A16,MATCH(I$1,'2-3 引出列表'!$A$1:$CD$1,0)),"")),"",IFERROR(INDEX('2-3 引出列表'!$A$2:$CE$8700,$A16,MATCH(I$1,'2-3 引出列表'!$A$1:$CD$1,0)),""))</f>
        <v>金采易购</v>
      </c>
    </row>
    <row r="17" spans="1:9">
      <c r="A17">
        <v>16</v>
      </c>
      <c r="B17" s="60" t="str">
        <f>IF(ISBLANK(IFERROR(INDEX('2-3 引出列表'!$A$2:$CE$8700,$A17,MATCH(B$1,'2-3 引出列表'!$A$1:$CD$1,0)),"")),"",IFERROR(INDEX('2-3 引出列表'!$A$2:$CE$8700,$A17,MATCH(B$1,'2-3 引出列表'!$A$1:$CD$1,0)),""))</f>
        <v>FK241231000213</v>
      </c>
      <c r="C17" s="60">
        <f>IF(ISBLANK(IFERROR(INDEX('2-3 引出列表'!$A$2:$CE$8700,$A17,MATCH(C$1,'2-3 引出列表'!$A$1:$CD$1,0)),"")),"",IFERROR(INDEX('2-3 引出列表'!$A$2:$CE$8700,$A17,MATCH(C$1,'2-3 引出列表'!$A$1:$CD$1,0)),""))</f>
        <v>8816.98</v>
      </c>
      <c r="D17" s="60" t="str">
        <f>IF(ISBLANK(IFERROR(INDEX('2-3 引出列表'!$A$2:$CE$8700,$A17,MATCH(D$1,'2-3 引出列表'!$A$1:$CD$1,0)),"")),"",IFERROR(INDEX('2-3 引出列表'!$A$2:$CE$8700,$A17,MATCH(D$1,'2-3 引出列表'!$A$1:$CD$1,0)),""))</f>
        <v>已审核</v>
      </c>
      <c r="E17" s="60" t="str">
        <f>IF(ISBLANK(IFERROR(INDEX('2-3 引出列表'!$A$2:$CE$8700,$A17,MATCH(E$1,'2-3 引出列表'!$A$1:$CD$1,0)),"")),"",IFERROR(INDEX('2-3 引出列表'!$A$2:$CE$8700,$A17,MATCH(E$1,'2-3 引出列表'!$A$1:$CD$1,0)),""))</f>
        <v>2024-12-31</v>
      </c>
      <c r="F17" s="63" t="str">
        <f t="shared" si="0"/>
        <v>2024-12</v>
      </c>
      <c r="G17" s="60" t="str">
        <f>IF(ISBLANK(IFERROR(INDEX('2-3 引出列表'!$A$2:$CE$8700,$A17,MATCH(G$1,'2-3 引出列表'!$A$1:$CD$1,0)),"")),"",IFERROR(INDEX('2-3 引出列表'!$A$2:$CE$8700,$A17,MATCH(G$1,'2-3 引出列表'!$A$1:$CD$1,0)),""))</f>
        <v>物料消耗.物料消耗</v>
      </c>
      <c r="H17" s="60" t="str">
        <f>IF(ISBLANK(IFERROR(INDEX('2-3 引出列表'!$A$2:$CE$8700,$A17,MATCH(H$1,'2-3 引出列表'!$A$1:$CD$1,0)),"")),"",IFERROR(INDEX('2-3 引出列表'!$A$2:$CE$8700,$A17,MATCH(H$1,'2-3 引出列表'!$A$1:$CD$1,0)),""))</f>
        <v>XHWZ-Z-2024-0131</v>
      </c>
      <c r="I17" s="60" t="str">
        <f>IF(ISBLANK(IFERROR(INDEX('2-3 引出列表'!$A$2:$CE$8700,$A17,MATCH(I$1,'2-3 引出列表'!$A$1:$CD$1,0)),"")),"",IFERROR(INDEX('2-3 引出列表'!$A$2:$CE$8700,$A17,MATCH(I$1,'2-3 引出列表'!$A$1:$CD$1,0)),""))</f>
        <v>金采易购</v>
      </c>
    </row>
    <row r="18" spans="1:9">
      <c r="A18">
        <v>17</v>
      </c>
      <c r="B18" s="60" t="str">
        <f>IF(ISBLANK(IFERROR(INDEX('2-3 引出列表'!$A$2:$CE$8700,$A18,MATCH(B$1,'2-3 引出列表'!$A$1:$CD$1,0)),"")),"",IFERROR(INDEX('2-3 引出列表'!$A$2:$CE$8700,$A18,MATCH(B$1,'2-3 引出列表'!$A$1:$CD$1,0)),""))</f>
        <v>FK241231000213</v>
      </c>
      <c r="C18" s="60">
        <f>IF(ISBLANK(IFERROR(INDEX('2-3 引出列表'!$A$2:$CE$8700,$A18,MATCH(C$1,'2-3 引出列表'!$A$1:$CD$1,0)),"")),"",IFERROR(INDEX('2-3 引出列表'!$A$2:$CE$8700,$A18,MATCH(C$1,'2-3 引出列表'!$A$1:$CD$1,0)),""))</f>
        <v>8816.98</v>
      </c>
      <c r="D18" s="60" t="str">
        <f>IF(ISBLANK(IFERROR(INDEX('2-3 引出列表'!$A$2:$CE$8700,$A18,MATCH(D$1,'2-3 引出列表'!$A$1:$CD$1,0)),"")),"",IFERROR(INDEX('2-3 引出列表'!$A$2:$CE$8700,$A18,MATCH(D$1,'2-3 引出列表'!$A$1:$CD$1,0)),""))</f>
        <v>已审核</v>
      </c>
      <c r="E18" s="60" t="str">
        <f>IF(ISBLANK(IFERROR(INDEX('2-3 引出列表'!$A$2:$CE$8700,$A18,MATCH(E$1,'2-3 引出列表'!$A$1:$CD$1,0)),"")),"",IFERROR(INDEX('2-3 引出列表'!$A$2:$CE$8700,$A18,MATCH(E$1,'2-3 引出列表'!$A$1:$CD$1,0)),""))</f>
        <v>2024-12-31</v>
      </c>
      <c r="F18" s="63" t="str">
        <f t="shared" si="0"/>
        <v>2024-12</v>
      </c>
      <c r="G18" s="60" t="str">
        <f>IF(ISBLANK(IFERROR(INDEX('2-3 引出列表'!$A$2:$CE$8700,$A18,MATCH(G$1,'2-3 引出列表'!$A$1:$CD$1,0)),"")),"",IFERROR(INDEX('2-3 引出列表'!$A$2:$CE$8700,$A18,MATCH(G$1,'2-3 引出列表'!$A$1:$CD$1,0)),""))</f>
        <v>物料消耗.物料消耗</v>
      </c>
      <c r="H18" s="60" t="str">
        <f>IF(ISBLANK(IFERROR(INDEX('2-3 引出列表'!$A$2:$CE$8700,$A18,MATCH(H$1,'2-3 引出列表'!$A$1:$CD$1,0)),"")),"",IFERROR(INDEX('2-3 引出列表'!$A$2:$CE$8700,$A18,MATCH(H$1,'2-3 引出列表'!$A$1:$CD$1,0)),""))</f>
        <v>XHWZ-Z-2024-0131</v>
      </c>
      <c r="I18" s="60" t="str">
        <f>IF(ISBLANK(IFERROR(INDEX('2-3 引出列表'!$A$2:$CE$8700,$A18,MATCH(I$1,'2-3 引出列表'!$A$1:$CD$1,0)),"")),"",IFERROR(INDEX('2-3 引出列表'!$A$2:$CE$8700,$A18,MATCH(I$1,'2-3 引出列表'!$A$1:$CD$1,0)),""))</f>
        <v>金采易购</v>
      </c>
    </row>
    <row r="19" spans="1:9">
      <c r="A19">
        <v>18</v>
      </c>
      <c r="B19" s="60" t="str">
        <f>IF(ISBLANK(IFERROR(INDEX('2-3 引出列表'!$A$2:$CE$8700,$A19,MATCH(B$1,'2-3 引出列表'!$A$1:$CD$1,0)),"")),"",IFERROR(INDEX('2-3 引出列表'!$A$2:$CE$8700,$A19,MATCH(B$1,'2-3 引出列表'!$A$1:$CD$1,0)),""))</f>
        <v>FK241231000213</v>
      </c>
      <c r="C19" s="60">
        <f>IF(ISBLANK(IFERROR(INDEX('2-3 引出列表'!$A$2:$CE$8700,$A19,MATCH(C$1,'2-3 引出列表'!$A$1:$CD$1,0)),"")),"",IFERROR(INDEX('2-3 引出列表'!$A$2:$CE$8700,$A19,MATCH(C$1,'2-3 引出列表'!$A$1:$CD$1,0)),""))</f>
        <v>8816.98</v>
      </c>
      <c r="D19" s="60" t="str">
        <f>IF(ISBLANK(IFERROR(INDEX('2-3 引出列表'!$A$2:$CE$8700,$A19,MATCH(D$1,'2-3 引出列表'!$A$1:$CD$1,0)),"")),"",IFERROR(INDEX('2-3 引出列表'!$A$2:$CE$8700,$A19,MATCH(D$1,'2-3 引出列表'!$A$1:$CD$1,0)),""))</f>
        <v>已审核</v>
      </c>
      <c r="E19" s="60" t="str">
        <f>IF(ISBLANK(IFERROR(INDEX('2-3 引出列表'!$A$2:$CE$8700,$A19,MATCH(E$1,'2-3 引出列表'!$A$1:$CD$1,0)),"")),"",IFERROR(INDEX('2-3 引出列表'!$A$2:$CE$8700,$A19,MATCH(E$1,'2-3 引出列表'!$A$1:$CD$1,0)),""))</f>
        <v>2024-12-31</v>
      </c>
      <c r="F19" s="63" t="str">
        <f t="shared" si="0"/>
        <v>2024-12</v>
      </c>
      <c r="G19" s="60" t="str">
        <f>IF(ISBLANK(IFERROR(INDEX('2-3 引出列表'!$A$2:$CE$8700,$A19,MATCH(G$1,'2-3 引出列表'!$A$1:$CD$1,0)),"")),"",IFERROR(INDEX('2-3 引出列表'!$A$2:$CE$8700,$A19,MATCH(G$1,'2-3 引出列表'!$A$1:$CD$1,0)),""))</f>
        <v>物料消耗.物料消耗</v>
      </c>
      <c r="H19" s="60" t="str">
        <f>IF(ISBLANK(IFERROR(INDEX('2-3 引出列表'!$A$2:$CE$8700,$A19,MATCH(H$1,'2-3 引出列表'!$A$1:$CD$1,0)),"")),"",IFERROR(INDEX('2-3 引出列表'!$A$2:$CE$8700,$A19,MATCH(H$1,'2-3 引出列表'!$A$1:$CD$1,0)),""))</f>
        <v>XHWZ-Z-2024-0131</v>
      </c>
      <c r="I19" s="60" t="str">
        <f>IF(ISBLANK(IFERROR(INDEX('2-3 引出列表'!$A$2:$CE$8700,$A19,MATCH(I$1,'2-3 引出列表'!$A$1:$CD$1,0)),"")),"",IFERROR(INDEX('2-3 引出列表'!$A$2:$CE$8700,$A19,MATCH(I$1,'2-3 引出列表'!$A$1:$CD$1,0)),""))</f>
        <v>金采易购</v>
      </c>
    </row>
    <row r="20" spans="1:9">
      <c r="A20">
        <v>19</v>
      </c>
      <c r="B20" s="60" t="str">
        <f>IF(ISBLANK(IFERROR(INDEX('2-3 引出列表'!$A$2:$CE$8700,$A20,MATCH(B$1,'2-3 引出列表'!$A$1:$CD$1,0)),"")),"",IFERROR(INDEX('2-3 引出列表'!$A$2:$CE$8700,$A20,MATCH(B$1,'2-3 引出列表'!$A$1:$CD$1,0)),""))</f>
        <v>FK241231000213</v>
      </c>
      <c r="C20" s="60">
        <f>IF(ISBLANK(IFERROR(INDEX('2-3 引出列表'!$A$2:$CE$8700,$A20,MATCH(C$1,'2-3 引出列表'!$A$1:$CD$1,0)),"")),"",IFERROR(INDEX('2-3 引出列表'!$A$2:$CE$8700,$A20,MATCH(C$1,'2-3 引出列表'!$A$1:$CD$1,0)),""))</f>
        <v>8816.98</v>
      </c>
      <c r="D20" s="60" t="str">
        <f>IF(ISBLANK(IFERROR(INDEX('2-3 引出列表'!$A$2:$CE$8700,$A20,MATCH(D$1,'2-3 引出列表'!$A$1:$CD$1,0)),"")),"",IFERROR(INDEX('2-3 引出列表'!$A$2:$CE$8700,$A20,MATCH(D$1,'2-3 引出列表'!$A$1:$CD$1,0)),""))</f>
        <v>已审核</v>
      </c>
      <c r="E20" s="60" t="str">
        <f>IF(ISBLANK(IFERROR(INDEX('2-3 引出列表'!$A$2:$CE$8700,$A20,MATCH(E$1,'2-3 引出列表'!$A$1:$CD$1,0)),"")),"",IFERROR(INDEX('2-3 引出列表'!$A$2:$CE$8700,$A20,MATCH(E$1,'2-3 引出列表'!$A$1:$CD$1,0)),""))</f>
        <v>2024-12-31</v>
      </c>
      <c r="F20" s="63" t="str">
        <f t="shared" si="0"/>
        <v>2024-12</v>
      </c>
      <c r="G20" s="60" t="str">
        <f>IF(ISBLANK(IFERROR(INDEX('2-3 引出列表'!$A$2:$CE$8700,$A20,MATCH(G$1,'2-3 引出列表'!$A$1:$CD$1,0)),"")),"",IFERROR(INDEX('2-3 引出列表'!$A$2:$CE$8700,$A20,MATCH(G$1,'2-3 引出列表'!$A$1:$CD$1,0)),""))</f>
        <v>物料消耗.物料消耗</v>
      </c>
      <c r="H20" s="60" t="str">
        <f>IF(ISBLANK(IFERROR(INDEX('2-3 引出列表'!$A$2:$CE$8700,$A20,MATCH(H$1,'2-3 引出列表'!$A$1:$CD$1,0)),"")),"",IFERROR(INDEX('2-3 引出列表'!$A$2:$CE$8700,$A20,MATCH(H$1,'2-3 引出列表'!$A$1:$CD$1,0)),""))</f>
        <v>XHWZ-Z-2024-0131</v>
      </c>
      <c r="I20" s="60" t="str">
        <f>IF(ISBLANK(IFERROR(INDEX('2-3 引出列表'!$A$2:$CE$8700,$A20,MATCH(I$1,'2-3 引出列表'!$A$1:$CD$1,0)),"")),"",IFERROR(INDEX('2-3 引出列表'!$A$2:$CE$8700,$A20,MATCH(I$1,'2-3 引出列表'!$A$1:$CD$1,0)),""))</f>
        <v>金采易购</v>
      </c>
    </row>
    <row r="21" spans="1:9">
      <c r="A21">
        <v>20</v>
      </c>
      <c r="B21" s="60" t="str">
        <f>IF(ISBLANK(IFERROR(INDEX('2-3 引出列表'!$A$2:$CE$8700,$A21,MATCH(B$1,'2-3 引出列表'!$A$1:$CD$1,0)),"")),"",IFERROR(INDEX('2-3 引出列表'!$A$2:$CE$8700,$A21,MATCH(B$1,'2-3 引出列表'!$A$1:$CD$1,0)),""))</f>
        <v>FK241231000213</v>
      </c>
      <c r="C21" s="60">
        <f>IF(ISBLANK(IFERROR(INDEX('2-3 引出列表'!$A$2:$CE$8700,$A21,MATCH(C$1,'2-3 引出列表'!$A$1:$CD$1,0)),"")),"",IFERROR(INDEX('2-3 引出列表'!$A$2:$CE$8700,$A21,MATCH(C$1,'2-3 引出列表'!$A$1:$CD$1,0)),""))</f>
        <v>8816.98</v>
      </c>
      <c r="D21" s="60" t="str">
        <f>IF(ISBLANK(IFERROR(INDEX('2-3 引出列表'!$A$2:$CE$8700,$A21,MATCH(D$1,'2-3 引出列表'!$A$1:$CD$1,0)),"")),"",IFERROR(INDEX('2-3 引出列表'!$A$2:$CE$8700,$A21,MATCH(D$1,'2-3 引出列表'!$A$1:$CD$1,0)),""))</f>
        <v>已审核</v>
      </c>
      <c r="E21" s="60" t="str">
        <f>IF(ISBLANK(IFERROR(INDEX('2-3 引出列表'!$A$2:$CE$8700,$A21,MATCH(E$1,'2-3 引出列表'!$A$1:$CD$1,0)),"")),"",IFERROR(INDEX('2-3 引出列表'!$A$2:$CE$8700,$A21,MATCH(E$1,'2-3 引出列表'!$A$1:$CD$1,0)),""))</f>
        <v>2024-12-31</v>
      </c>
      <c r="F21" s="63" t="str">
        <f t="shared" si="0"/>
        <v>2024-12</v>
      </c>
      <c r="G21" s="60" t="str">
        <f>IF(ISBLANK(IFERROR(INDEX('2-3 引出列表'!$A$2:$CE$8700,$A21,MATCH(G$1,'2-3 引出列表'!$A$1:$CD$1,0)),"")),"",IFERROR(INDEX('2-3 引出列表'!$A$2:$CE$8700,$A21,MATCH(G$1,'2-3 引出列表'!$A$1:$CD$1,0)),""))</f>
        <v>物料消耗.物料消耗</v>
      </c>
      <c r="H21" s="60" t="str">
        <f>IF(ISBLANK(IFERROR(INDEX('2-3 引出列表'!$A$2:$CE$8700,$A21,MATCH(H$1,'2-3 引出列表'!$A$1:$CD$1,0)),"")),"",IFERROR(INDEX('2-3 引出列表'!$A$2:$CE$8700,$A21,MATCH(H$1,'2-3 引出列表'!$A$1:$CD$1,0)),""))</f>
        <v>XHWZ-Z-2024-0131</v>
      </c>
      <c r="I21" s="60" t="str">
        <f>IF(ISBLANK(IFERROR(INDEX('2-3 引出列表'!$A$2:$CE$8700,$A21,MATCH(I$1,'2-3 引出列表'!$A$1:$CD$1,0)),"")),"",IFERROR(INDEX('2-3 引出列表'!$A$2:$CE$8700,$A21,MATCH(I$1,'2-3 引出列表'!$A$1:$CD$1,0)),""))</f>
        <v>金采易购</v>
      </c>
    </row>
    <row r="22" spans="1:9">
      <c r="A22">
        <v>21</v>
      </c>
      <c r="B22" s="60" t="str">
        <f>IF(ISBLANK(IFERROR(INDEX('2-3 引出列表'!$A$2:$CE$8700,$A22,MATCH(B$1,'2-3 引出列表'!$A$1:$CD$1,0)),"")),"",IFERROR(INDEX('2-3 引出列表'!$A$2:$CE$8700,$A22,MATCH(B$1,'2-3 引出列表'!$A$1:$CD$1,0)),""))</f>
        <v>FK241231000213</v>
      </c>
      <c r="C22" s="60">
        <f>IF(ISBLANK(IFERROR(INDEX('2-3 引出列表'!$A$2:$CE$8700,$A22,MATCH(C$1,'2-3 引出列表'!$A$1:$CD$1,0)),"")),"",IFERROR(INDEX('2-3 引出列表'!$A$2:$CE$8700,$A22,MATCH(C$1,'2-3 引出列表'!$A$1:$CD$1,0)),""))</f>
        <v>8816.98</v>
      </c>
      <c r="D22" s="60" t="str">
        <f>IF(ISBLANK(IFERROR(INDEX('2-3 引出列表'!$A$2:$CE$8700,$A22,MATCH(D$1,'2-3 引出列表'!$A$1:$CD$1,0)),"")),"",IFERROR(INDEX('2-3 引出列表'!$A$2:$CE$8700,$A22,MATCH(D$1,'2-3 引出列表'!$A$1:$CD$1,0)),""))</f>
        <v>已审核</v>
      </c>
      <c r="E22" s="60" t="str">
        <f>IF(ISBLANK(IFERROR(INDEX('2-3 引出列表'!$A$2:$CE$8700,$A22,MATCH(E$1,'2-3 引出列表'!$A$1:$CD$1,0)),"")),"",IFERROR(INDEX('2-3 引出列表'!$A$2:$CE$8700,$A22,MATCH(E$1,'2-3 引出列表'!$A$1:$CD$1,0)),""))</f>
        <v>2024-12-31</v>
      </c>
      <c r="F22" s="63" t="str">
        <f t="shared" si="0"/>
        <v>2024-12</v>
      </c>
      <c r="G22" s="60" t="str">
        <f>IF(ISBLANK(IFERROR(INDEX('2-3 引出列表'!$A$2:$CE$8700,$A22,MATCH(G$1,'2-3 引出列表'!$A$1:$CD$1,0)),"")),"",IFERROR(INDEX('2-3 引出列表'!$A$2:$CE$8700,$A22,MATCH(G$1,'2-3 引出列表'!$A$1:$CD$1,0)),""))</f>
        <v>物料消耗.物料消耗</v>
      </c>
      <c r="H22" s="60" t="str">
        <f>IF(ISBLANK(IFERROR(INDEX('2-3 引出列表'!$A$2:$CE$8700,$A22,MATCH(H$1,'2-3 引出列表'!$A$1:$CD$1,0)),"")),"",IFERROR(INDEX('2-3 引出列表'!$A$2:$CE$8700,$A22,MATCH(H$1,'2-3 引出列表'!$A$1:$CD$1,0)),""))</f>
        <v>XHWZ-Z-2024-0131</v>
      </c>
      <c r="I22" s="60" t="str">
        <f>IF(ISBLANK(IFERROR(INDEX('2-3 引出列表'!$A$2:$CE$8700,$A22,MATCH(I$1,'2-3 引出列表'!$A$1:$CD$1,0)),"")),"",IFERROR(INDEX('2-3 引出列表'!$A$2:$CE$8700,$A22,MATCH(I$1,'2-3 引出列表'!$A$1:$CD$1,0)),""))</f>
        <v>金采易购</v>
      </c>
    </row>
    <row r="23" spans="1:9">
      <c r="A23">
        <v>22</v>
      </c>
      <c r="B23" s="60" t="str">
        <f>IF(ISBLANK(IFERROR(INDEX('2-3 引出列表'!$A$2:$CE$8700,$A23,MATCH(B$1,'2-3 引出列表'!$A$1:$CD$1,0)),"")),"",IFERROR(INDEX('2-3 引出列表'!$A$2:$CE$8700,$A23,MATCH(B$1,'2-3 引出列表'!$A$1:$CD$1,0)),""))</f>
        <v>FK241231000213</v>
      </c>
      <c r="C23" s="60">
        <f>IF(ISBLANK(IFERROR(INDEX('2-3 引出列表'!$A$2:$CE$8700,$A23,MATCH(C$1,'2-3 引出列表'!$A$1:$CD$1,0)),"")),"",IFERROR(INDEX('2-3 引出列表'!$A$2:$CE$8700,$A23,MATCH(C$1,'2-3 引出列表'!$A$1:$CD$1,0)),""))</f>
        <v>8816.98</v>
      </c>
      <c r="D23" s="60" t="str">
        <f>IF(ISBLANK(IFERROR(INDEX('2-3 引出列表'!$A$2:$CE$8700,$A23,MATCH(D$1,'2-3 引出列表'!$A$1:$CD$1,0)),"")),"",IFERROR(INDEX('2-3 引出列表'!$A$2:$CE$8700,$A23,MATCH(D$1,'2-3 引出列表'!$A$1:$CD$1,0)),""))</f>
        <v>已审核</v>
      </c>
      <c r="E23" s="60" t="str">
        <f>IF(ISBLANK(IFERROR(INDEX('2-3 引出列表'!$A$2:$CE$8700,$A23,MATCH(E$1,'2-3 引出列表'!$A$1:$CD$1,0)),"")),"",IFERROR(INDEX('2-3 引出列表'!$A$2:$CE$8700,$A23,MATCH(E$1,'2-3 引出列表'!$A$1:$CD$1,0)),""))</f>
        <v>2024-12-31</v>
      </c>
      <c r="F23" s="63" t="str">
        <f t="shared" si="0"/>
        <v>2024-12</v>
      </c>
      <c r="G23" s="60" t="str">
        <f>IF(ISBLANK(IFERROR(INDEX('2-3 引出列表'!$A$2:$CE$8700,$A23,MATCH(G$1,'2-3 引出列表'!$A$1:$CD$1,0)),"")),"",IFERROR(INDEX('2-3 引出列表'!$A$2:$CE$8700,$A23,MATCH(G$1,'2-3 引出列表'!$A$1:$CD$1,0)),""))</f>
        <v>物料消耗.物料消耗</v>
      </c>
      <c r="H23" s="60" t="str">
        <f>IF(ISBLANK(IFERROR(INDEX('2-3 引出列表'!$A$2:$CE$8700,$A23,MATCH(H$1,'2-3 引出列表'!$A$1:$CD$1,0)),"")),"",IFERROR(INDEX('2-3 引出列表'!$A$2:$CE$8700,$A23,MATCH(H$1,'2-3 引出列表'!$A$1:$CD$1,0)),""))</f>
        <v>XHWZ-Z-2024-0131</v>
      </c>
      <c r="I23" s="60" t="str">
        <f>IF(ISBLANK(IFERROR(INDEX('2-3 引出列表'!$A$2:$CE$8700,$A23,MATCH(I$1,'2-3 引出列表'!$A$1:$CD$1,0)),"")),"",IFERROR(INDEX('2-3 引出列表'!$A$2:$CE$8700,$A23,MATCH(I$1,'2-3 引出列表'!$A$1:$CD$1,0)),""))</f>
        <v>金采易购</v>
      </c>
    </row>
    <row r="24" spans="1:9">
      <c r="A24">
        <v>23</v>
      </c>
      <c r="B24" s="60" t="str">
        <f>IF(ISBLANK(IFERROR(INDEX('2-3 引出列表'!$A$2:$CE$8700,$A24,MATCH(B$1,'2-3 引出列表'!$A$1:$CD$1,0)),"")),"",IFERROR(INDEX('2-3 引出列表'!$A$2:$CE$8700,$A24,MATCH(B$1,'2-3 引出列表'!$A$1:$CD$1,0)),""))</f>
        <v>FK241231000213</v>
      </c>
      <c r="C24" s="60">
        <f>IF(ISBLANK(IFERROR(INDEX('2-3 引出列表'!$A$2:$CE$8700,$A24,MATCH(C$1,'2-3 引出列表'!$A$1:$CD$1,0)),"")),"",IFERROR(INDEX('2-3 引出列表'!$A$2:$CE$8700,$A24,MATCH(C$1,'2-3 引出列表'!$A$1:$CD$1,0)),""))</f>
        <v>8816.98</v>
      </c>
      <c r="D24" s="60" t="str">
        <f>IF(ISBLANK(IFERROR(INDEX('2-3 引出列表'!$A$2:$CE$8700,$A24,MATCH(D$1,'2-3 引出列表'!$A$1:$CD$1,0)),"")),"",IFERROR(INDEX('2-3 引出列表'!$A$2:$CE$8700,$A24,MATCH(D$1,'2-3 引出列表'!$A$1:$CD$1,0)),""))</f>
        <v>已审核</v>
      </c>
      <c r="E24" s="60" t="str">
        <f>IF(ISBLANK(IFERROR(INDEX('2-3 引出列表'!$A$2:$CE$8700,$A24,MATCH(E$1,'2-3 引出列表'!$A$1:$CD$1,0)),"")),"",IFERROR(INDEX('2-3 引出列表'!$A$2:$CE$8700,$A24,MATCH(E$1,'2-3 引出列表'!$A$1:$CD$1,0)),""))</f>
        <v>2024-12-31</v>
      </c>
      <c r="F24" s="63" t="str">
        <f t="shared" si="0"/>
        <v>2024-12</v>
      </c>
      <c r="G24" s="60" t="str">
        <f>IF(ISBLANK(IFERROR(INDEX('2-3 引出列表'!$A$2:$CE$8700,$A24,MATCH(G$1,'2-3 引出列表'!$A$1:$CD$1,0)),"")),"",IFERROR(INDEX('2-3 引出列表'!$A$2:$CE$8700,$A24,MATCH(G$1,'2-3 引出列表'!$A$1:$CD$1,0)),""))</f>
        <v>物料消耗.物料消耗</v>
      </c>
      <c r="H24" s="60" t="str">
        <f>IF(ISBLANK(IFERROR(INDEX('2-3 引出列表'!$A$2:$CE$8700,$A24,MATCH(H$1,'2-3 引出列表'!$A$1:$CD$1,0)),"")),"",IFERROR(INDEX('2-3 引出列表'!$A$2:$CE$8700,$A24,MATCH(H$1,'2-3 引出列表'!$A$1:$CD$1,0)),""))</f>
        <v>XHWZ-Z-2024-0131</v>
      </c>
      <c r="I24" s="60" t="str">
        <f>IF(ISBLANK(IFERROR(INDEX('2-3 引出列表'!$A$2:$CE$8700,$A24,MATCH(I$1,'2-3 引出列表'!$A$1:$CD$1,0)),"")),"",IFERROR(INDEX('2-3 引出列表'!$A$2:$CE$8700,$A24,MATCH(I$1,'2-3 引出列表'!$A$1:$CD$1,0)),""))</f>
        <v>金采易购</v>
      </c>
    </row>
    <row r="25" spans="1:9">
      <c r="A25">
        <v>24</v>
      </c>
      <c r="B25" s="60" t="str">
        <f>IF(ISBLANK(IFERROR(INDEX('2-3 引出列表'!$A$2:$CE$8700,$A25,MATCH(B$1,'2-3 引出列表'!$A$1:$CD$1,0)),"")),"",IFERROR(INDEX('2-3 引出列表'!$A$2:$CE$8700,$A25,MATCH(B$1,'2-3 引出列表'!$A$1:$CD$1,0)),""))</f>
        <v>FK241231000158</v>
      </c>
      <c r="C25" s="60">
        <f>IF(ISBLANK(IFERROR(INDEX('2-3 引出列表'!$A$2:$CE$8700,$A25,MATCH(C$1,'2-3 引出列表'!$A$1:$CD$1,0)),"")),"",IFERROR(INDEX('2-3 引出列表'!$A$2:$CE$8700,$A25,MATCH(C$1,'2-3 引出列表'!$A$1:$CD$1,0)),""))</f>
        <v>1560</v>
      </c>
      <c r="D25" s="60" t="str">
        <f>IF(ISBLANK(IFERROR(INDEX('2-3 引出列表'!$A$2:$CE$8700,$A25,MATCH(D$1,'2-3 引出列表'!$A$1:$CD$1,0)),"")),"",IFERROR(INDEX('2-3 引出列表'!$A$2:$CE$8700,$A25,MATCH(D$1,'2-3 引出列表'!$A$1:$CD$1,0)),""))</f>
        <v>已审核</v>
      </c>
      <c r="E25" s="60" t="str">
        <f>IF(ISBLANK(IFERROR(INDEX('2-3 引出列表'!$A$2:$CE$8700,$A25,MATCH(E$1,'2-3 引出列表'!$A$1:$CD$1,0)),"")),"",IFERROR(INDEX('2-3 引出列表'!$A$2:$CE$8700,$A25,MATCH(E$1,'2-3 引出列表'!$A$1:$CD$1,0)),""))</f>
        <v>2024-12-31</v>
      </c>
      <c r="F25" s="63" t="str">
        <f t="shared" si="0"/>
        <v>2024-12</v>
      </c>
      <c r="G25" s="60" t="str">
        <f>IF(ISBLANK(IFERROR(INDEX('2-3 引出列表'!$A$2:$CE$8700,$A25,MATCH(G$1,'2-3 引出列表'!$A$1:$CD$1,0)),"")),"",IFERROR(INDEX('2-3 引出列表'!$A$2:$CE$8700,$A25,MATCH(G$1,'2-3 引出列表'!$A$1:$CD$1,0)),""))</f>
        <v>外包服务费.生活垃圾清运外包</v>
      </c>
      <c r="H25" s="60" t="str">
        <f>IF(ISBLANK(IFERROR(INDEX('2-3 引出列表'!$A$2:$CE$8700,$A25,MATCH(H$1,'2-3 引出列表'!$A$1:$CD$1,0)),"")),"",IFERROR(INDEX('2-3 引出列表'!$A$2:$CE$8700,$A25,MATCH(H$1,'2-3 引出列表'!$A$1:$CD$1,0)),""))</f>
        <v>HJFW-Z-2024-3249</v>
      </c>
      <c r="I25" s="60" t="str">
        <f>IF(ISBLANK(IFERROR(INDEX('2-3 引出列表'!$A$2:$CE$8700,$A25,MATCH(I$1,'2-3 引出列表'!$A$1:$CD$1,0)),"")),"",IFERROR(INDEX('2-3 引出列表'!$A$2:$CE$8700,$A25,MATCH(I$1,'2-3 引出列表'!$A$1:$CD$1,0)),""))</f>
        <v>金采易购</v>
      </c>
    </row>
    <row r="26" spans="1:9">
      <c r="A26">
        <v>25</v>
      </c>
      <c r="B26" s="60" t="str">
        <f>IF(ISBLANK(IFERROR(INDEX('2-3 引出列表'!$A$2:$CE$8700,$A26,MATCH(B$1,'2-3 引出列表'!$A$1:$CD$1,0)),"")),"",IFERROR(INDEX('2-3 引出列表'!$A$2:$CE$8700,$A26,MATCH(B$1,'2-3 引出列表'!$A$1:$CD$1,0)),""))</f>
        <v>FK241230000563</v>
      </c>
      <c r="C26" s="60">
        <f>IF(ISBLANK(IFERROR(INDEX('2-3 引出列表'!$A$2:$CE$8700,$A26,MATCH(C$1,'2-3 引出列表'!$A$1:$CD$1,0)),"")),"",IFERROR(INDEX('2-3 引出列表'!$A$2:$CE$8700,$A26,MATCH(C$1,'2-3 引出列表'!$A$1:$CD$1,0)),""))</f>
        <v>172730.77</v>
      </c>
      <c r="D26" s="60" t="str">
        <f>IF(ISBLANK(IFERROR(INDEX('2-3 引出列表'!$A$2:$CE$8700,$A26,MATCH(D$1,'2-3 引出列表'!$A$1:$CD$1,0)),"")),"",IFERROR(INDEX('2-3 引出列表'!$A$2:$CE$8700,$A26,MATCH(D$1,'2-3 引出列表'!$A$1:$CD$1,0)),""))</f>
        <v>已审核</v>
      </c>
      <c r="E26" s="60" t="str">
        <f>IF(ISBLANK(IFERROR(INDEX('2-3 引出列表'!$A$2:$CE$8700,$A26,MATCH(E$1,'2-3 引出列表'!$A$1:$CD$1,0)),"")),"",IFERROR(INDEX('2-3 引出列表'!$A$2:$CE$8700,$A26,MATCH(E$1,'2-3 引出列表'!$A$1:$CD$1,0)),""))</f>
        <v>2024-12-30</v>
      </c>
      <c r="F26" s="63" t="str">
        <f t="shared" si="0"/>
        <v>2024-12</v>
      </c>
      <c r="G26" s="60" t="str">
        <f>IF(ISBLANK(IFERROR(INDEX('2-3 引出列表'!$A$2:$CE$8700,$A26,MATCH(G$1,'2-3 引出列表'!$A$1:$CD$1,0)),"")),"",IFERROR(INDEX('2-3 引出列表'!$A$2:$CE$8700,$A26,MATCH(G$1,'2-3 引出列表'!$A$1:$CD$1,0)),""))</f>
        <v>外包服务费.安全外包</v>
      </c>
      <c r="H26" s="60" t="str">
        <f>IF(ISBLANK(IFERROR(INDEX('2-3 引出列表'!$A$2:$CE$8700,$A26,MATCH(H$1,'2-3 引出列表'!$A$1:$CD$1,0)),"")),"",IFERROR(INDEX('2-3 引出列表'!$A$2:$CE$8700,$A26,MATCH(H$1,'2-3 引出列表'!$A$1:$CD$1,0)),""))</f>
        <v>AQFW-Z-2024-0410</v>
      </c>
      <c r="I26" s="60" t="str">
        <f>IF(ISBLANK(IFERROR(INDEX('2-3 引出列表'!$A$2:$CE$8700,$A26,MATCH(I$1,'2-3 引出列表'!$A$1:$CD$1,0)),"")),"",IFERROR(INDEX('2-3 引出列表'!$A$2:$CE$8700,$A26,MATCH(I$1,'2-3 引出列表'!$A$1:$CD$1,0)),""))</f>
        <v>金采易购</v>
      </c>
    </row>
    <row r="27" spans="1:9">
      <c r="A27">
        <v>26</v>
      </c>
      <c r="B27" s="60" t="str">
        <f>IF(ISBLANK(IFERROR(INDEX('2-3 引出列表'!$A$2:$CE$8700,$A27,MATCH(B$1,'2-3 引出列表'!$A$1:$CD$1,0)),"")),"",IFERROR(INDEX('2-3 引出列表'!$A$2:$CE$8700,$A27,MATCH(B$1,'2-3 引出列表'!$A$1:$CD$1,0)),""))</f>
        <v>FK241227000305</v>
      </c>
      <c r="C27" s="60">
        <f>IF(ISBLANK(IFERROR(INDEX('2-3 引出列表'!$A$2:$CE$8700,$A27,MATCH(C$1,'2-3 引出列表'!$A$1:$CD$1,0)),"")),"",IFERROR(INDEX('2-3 引出列表'!$A$2:$CE$8700,$A27,MATCH(C$1,'2-3 引出列表'!$A$1:$CD$1,0)),""))</f>
        <v>625482.7</v>
      </c>
      <c r="D27" s="60" t="str">
        <f>IF(ISBLANK(IFERROR(INDEX('2-3 引出列表'!$A$2:$CE$8700,$A27,MATCH(D$1,'2-3 引出列表'!$A$1:$CD$1,0)),"")),"",IFERROR(INDEX('2-3 引出列表'!$A$2:$CE$8700,$A27,MATCH(D$1,'2-3 引出列表'!$A$1:$CD$1,0)),""))</f>
        <v>已审核</v>
      </c>
      <c r="E27" s="60" t="str">
        <f>IF(ISBLANK(IFERROR(INDEX('2-3 引出列表'!$A$2:$CE$8700,$A27,MATCH(E$1,'2-3 引出列表'!$A$1:$CD$1,0)),"")),"",IFERROR(INDEX('2-3 引出列表'!$A$2:$CE$8700,$A27,MATCH(E$1,'2-3 引出列表'!$A$1:$CD$1,0)),""))</f>
        <v>2024-12-27</v>
      </c>
      <c r="F27" s="63" t="str">
        <f t="shared" si="0"/>
        <v>2024-12</v>
      </c>
      <c r="G27" s="60" t="str">
        <f>IF(ISBLANK(IFERROR(INDEX('2-3 引出列表'!$A$2:$CE$8700,$A27,MATCH(G$1,'2-3 引出列表'!$A$1:$CD$1,0)),"")),"",IFERROR(INDEX('2-3 引出列表'!$A$2:$CE$8700,$A27,MATCH(G$1,'2-3 引出列表'!$A$1:$CD$1,0)),""))</f>
        <v>外包服务费.保洁外包</v>
      </c>
      <c r="H27" s="60" t="str">
        <f>IF(ISBLANK(IFERROR(INDEX('2-3 引出列表'!$A$2:$CE$8700,$A27,MATCH(H$1,'2-3 引出列表'!$A$1:$CD$1,0)),"")),"",IFERROR(INDEX('2-3 引出列表'!$A$2:$CE$8700,$A27,MATCH(H$1,'2-3 引出列表'!$A$1:$CD$1,0)),""))</f>
        <v>HJFW-Z-2024-3105</v>
      </c>
      <c r="I27" s="60" t="str">
        <f>IF(ISBLANK(IFERROR(INDEX('2-3 引出列表'!$A$2:$CE$8700,$A27,MATCH(I$1,'2-3 引出列表'!$A$1:$CD$1,0)),"")),"",IFERROR(INDEX('2-3 引出列表'!$A$2:$CE$8700,$A27,MATCH(I$1,'2-3 引出列表'!$A$1:$CD$1,0)),""))</f>
        <v>金采易购</v>
      </c>
    </row>
    <row r="28" spans="1:9">
      <c r="A28">
        <v>27</v>
      </c>
      <c r="B28" s="60" t="str">
        <f>IF(ISBLANK(IFERROR(INDEX('2-3 引出列表'!$A$2:$CE$8700,$A28,MATCH(B$1,'2-3 引出列表'!$A$1:$CD$1,0)),"")),"",IFERROR(INDEX('2-3 引出列表'!$A$2:$CE$8700,$A28,MATCH(B$1,'2-3 引出列表'!$A$1:$CD$1,0)),""))</f>
        <v>FK241227000305</v>
      </c>
      <c r="C28" s="60">
        <f>IF(ISBLANK(IFERROR(INDEX('2-3 引出列表'!$A$2:$CE$8700,$A28,MATCH(C$1,'2-3 引出列表'!$A$1:$CD$1,0)),"")),"",IFERROR(INDEX('2-3 引出列表'!$A$2:$CE$8700,$A28,MATCH(C$1,'2-3 引出列表'!$A$1:$CD$1,0)),""))</f>
        <v>625482.7</v>
      </c>
      <c r="D28" s="60" t="str">
        <f>IF(ISBLANK(IFERROR(INDEX('2-3 引出列表'!$A$2:$CE$8700,$A28,MATCH(D$1,'2-3 引出列表'!$A$1:$CD$1,0)),"")),"",IFERROR(INDEX('2-3 引出列表'!$A$2:$CE$8700,$A28,MATCH(D$1,'2-3 引出列表'!$A$1:$CD$1,0)),""))</f>
        <v>已审核</v>
      </c>
      <c r="E28" s="60" t="str">
        <f>IF(ISBLANK(IFERROR(INDEX('2-3 引出列表'!$A$2:$CE$8700,$A28,MATCH(E$1,'2-3 引出列表'!$A$1:$CD$1,0)),"")),"",IFERROR(INDEX('2-3 引出列表'!$A$2:$CE$8700,$A28,MATCH(E$1,'2-3 引出列表'!$A$1:$CD$1,0)),""))</f>
        <v>2024-12-27</v>
      </c>
      <c r="F28" s="63" t="str">
        <f t="shared" si="0"/>
        <v>2024-12</v>
      </c>
      <c r="G28" s="60" t="str">
        <f>IF(ISBLANK(IFERROR(INDEX('2-3 引出列表'!$A$2:$CE$8700,$A28,MATCH(G$1,'2-3 引出列表'!$A$1:$CD$1,0)),"")),"",IFERROR(INDEX('2-3 引出列表'!$A$2:$CE$8700,$A28,MATCH(G$1,'2-3 引出列表'!$A$1:$CD$1,0)),""))</f>
        <v>外包服务费.保洁外包</v>
      </c>
      <c r="H28" s="60" t="str">
        <f>IF(ISBLANK(IFERROR(INDEX('2-3 引出列表'!$A$2:$CE$8700,$A28,MATCH(H$1,'2-3 引出列表'!$A$1:$CD$1,0)),"")),"",IFERROR(INDEX('2-3 引出列表'!$A$2:$CE$8700,$A28,MATCH(H$1,'2-3 引出列表'!$A$1:$CD$1,0)),""))</f>
        <v>HJFW-Z-2024-3105</v>
      </c>
      <c r="I28" s="60" t="str">
        <f>IF(ISBLANK(IFERROR(INDEX('2-3 引出列表'!$A$2:$CE$8700,$A28,MATCH(I$1,'2-3 引出列表'!$A$1:$CD$1,0)),"")),"",IFERROR(INDEX('2-3 引出列表'!$A$2:$CE$8700,$A28,MATCH(I$1,'2-3 引出列表'!$A$1:$CD$1,0)),""))</f>
        <v>金采易购</v>
      </c>
    </row>
    <row r="29" spans="1:9">
      <c r="A29">
        <v>28</v>
      </c>
      <c r="B29" s="60" t="str">
        <f>IF(ISBLANK(IFERROR(INDEX('2-3 引出列表'!$A$2:$CE$8700,$A29,MATCH(B$1,'2-3 引出列表'!$A$1:$CD$1,0)),"")),"",IFERROR(INDEX('2-3 引出列表'!$A$2:$CE$8700,$A29,MATCH(B$1,'2-3 引出列表'!$A$1:$CD$1,0)),""))</f>
        <v>FK241227000305</v>
      </c>
      <c r="C29" s="60">
        <f>IF(ISBLANK(IFERROR(INDEX('2-3 引出列表'!$A$2:$CE$8700,$A29,MATCH(C$1,'2-3 引出列表'!$A$1:$CD$1,0)),"")),"",IFERROR(INDEX('2-3 引出列表'!$A$2:$CE$8700,$A29,MATCH(C$1,'2-3 引出列表'!$A$1:$CD$1,0)),""))</f>
        <v>625482.7</v>
      </c>
      <c r="D29" s="60" t="str">
        <f>IF(ISBLANK(IFERROR(INDEX('2-3 引出列表'!$A$2:$CE$8700,$A29,MATCH(D$1,'2-3 引出列表'!$A$1:$CD$1,0)),"")),"",IFERROR(INDEX('2-3 引出列表'!$A$2:$CE$8700,$A29,MATCH(D$1,'2-3 引出列表'!$A$1:$CD$1,0)),""))</f>
        <v>已审核</v>
      </c>
      <c r="E29" s="60" t="str">
        <f>IF(ISBLANK(IFERROR(INDEX('2-3 引出列表'!$A$2:$CE$8700,$A29,MATCH(E$1,'2-3 引出列表'!$A$1:$CD$1,0)),"")),"",IFERROR(INDEX('2-3 引出列表'!$A$2:$CE$8700,$A29,MATCH(E$1,'2-3 引出列表'!$A$1:$CD$1,0)),""))</f>
        <v>2024-12-27</v>
      </c>
      <c r="F29" s="63" t="str">
        <f t="shared" si="0"/>
        <v>2024-12</v>
      </c>
      <c r="G29" s="60" t="str">
        <f>IF(ISBLANK(IFERROR(INDEX('2-3 引出列表'!$A$2:$CE$8700,$A29,MATCH(G$1,'2-3 引出列表'!$A$1:$CD$1,0)),"")),"",IFERROR(INDEX('2-3 引出列表'!$A$2:$CE$8700,$A29,MATCH(G$1,'2-3 引出列表'!$A$1:$CD$1,0)),""))</f>
        <v>外包服务费.保洁外包</v>
      </c>
      <c r="H29" s="60" t="str">
        <f>IF(ISBLANK(IFERROR(INDEX('2-3 引出列表'!$A$2:$CE$8700,$A29,MATCH(H$1,'2-3 引出列表'!$A$1:$CD$1,0)),"")),"",IFERROR(INDEX('2-3 引出列表'!$A$2:$CE$8700,$A29,MATCH(H$1,'2-3 引出列表'!$A$1:$CD$1,0)),""))</f>
        <v>HJFW-Z-2024-3105</v>
      </c>
      <c r="I29" s="60" t="str">
        <f>IF(ISBLANK(IFERROR(INDEX('2-3 引出列表'!$A$2:$CE$8700,$A29,MATCH(I$1,'2-3 引出列表'!$A$1:$CD$1,0)),"")),"",IFERROR(INDEX('2-3 引出列表'!$A$2:$CE$8700,$A29,MATCH(I$1,'2-3 引出列表'!$A$1:$CD$1,0)),""))</f>
        <v>金采易购</v>
      </c>
    </row>
    <row r="30" spans="1:9">
      <c r="A30">
        <v>29</v>
      </c>
      <c r="B30" s="60" t="str">
        <f>IF(ISBLANK(IFERROR(INDEX('2-3 引出列表'!$A$2:$CE$8700,$A30,MATCH(B$1,'2-3 引出列表'!$A$1:$CD$1,0)),"")),"",IFERROR(INDEX('2-3 引出列表'!$A$2:$CE$8700,$A30,MATCH(B$1,'2-3 引出列表'!$A$1:$CD$1,0)),""))</f>
        <v>FK241226000451</v>
      </c>
      <c r="C30" s="60">
        <f>IF(ISBLANK(IFERROR(INDEX('2-3 引出列表'!$A$2:$CE$8700,$A30,MATCH(C$1,'2-3 引出列表'!$A$1:$CD$1,0)),"")),"",IFERROR(INDEX('2-3 引出列表'!$A$2:$CE$8700,$A30,MATCH(C$1,'2-3 引出列表'!$A$1:$CD$1,0)),""))</f>
        <v>1067.81</v>
      </c>
      <c r="D30" s="60" t="str">
        <f>IF(ISBLANK(IFERROR(INDEX('2-3 引出列表'!$A$2:$CE$8700,$A30,MATCH(D$1,'2-3 引出列表'!$A$1:$CD$1,0)),"")),"",IFERROR(INDEX('2-3 引出列表'!$A$2:$CE$8700,$A30,MATCH(D$1,'2-3 引出列表'!$A$1:$CD$1,0)),""))</f>
        <v>已审核</v>
      </c>
      <c r="E30" s="60" t="str">
        <f>IF(ISBLANK(IFERROR(INDEX('2-3 引出列表'!$A$2:$CE$8700,$A30,MATCH(E$1,'2-3 引出列表'!$A$1:$CD$1,0)),"")),"",IFERROR(INDEX('2-3 引出列表'!$A$2:$CE$8700,$A30,MATCH(E$1,'2-3 引出列表'!$A$1:$CD$1,0)),""))</f>
        <v>2024-12-26</v>
      </c>
      <c r="F30" s="63" t="str">
        <f t="shared" si="0"/>
        <v>2024-12</v>
      </c>
      <c r="G30" s="60" t="str">
        <f>IF(ISBLANK(IFERROR(INDEX('2-3 引出列表'!$A$2:$CE$8700,$A30,MATCH(G$1,'2-3 引出列表'!$A$1:$CD$1,0)),"")),"",IFERROR(INDEX('2-3 引出列表'!$A$2:$CE$8700,$A30,MATCH(G$1,'2-3 引出列表'!$A$1:$CD$1,0)),""))</f>
        <v>物料消耗.物料消耗</v>
      </c>
      <c r="H30" s="60" t="str">
        <f>IF(ISBLANK(IFERROR(INDEX('2-3 引出列表'!$A$2:$CE$8700,$A30,MATCH(H$1,'2-3 引出列表'!$A$1:$CD$1,0)),"")),"",IFERROR(INDEX('2-3 引出列表'!$A$2:$CE$8700,$A30,MATCH(H$1,'2-3 引出列表'!$A$1:$CD$1,0)),""))</f>
        <v>ZB20210901JCWZ02</v>
      </c>
      <c r="I30" s="60" t="str">
        <f>IF(ISBLANK(IFERROR(INDEX('2-3 引出列表'!$A$2:$CE$8700,$A30,MATCH(I$1,'2-3 引出列表'!$A$1:$CD$1,0)),"")),"",IFERROR(INDEX('2-3 引出列表'!$A$2:$CE$8700,$A30,MATCH(I$1,'2-3 引出列表'!$A$1:$CD$1,0)),""))</f>
        <v>金采易购</v>
      </c>
    </row>
    <row r="31" spans="1:9">
      <c r="A31">
        <v>30</v>
      </c>
      <c r="B31" s="60" t="str">
        <f>IF(ISBLANK(IFERROR(INDEX('2-3 引出列表'!$A$2:$CE$8700,$A31,MATCH(B$1,'2-3 引出列表'!$A$1:$CD$1,0)),"")),"",IFERROR(INDEX('2-3 引出列表'!$A$2:$CE$8700,$A31,MATCH(B$1,'2-3 引出列表'!$A$1:$CD$1,0)),""))</f>
        <v>FK241226000451</v>
      </c>
      <c r="C31" s="60">
        <f>IF(ISBLANK(IFERROR(INDEX('2-3 引出列表'!$A$2:$CE$8700,$A31,MATCH(C$1,'2-3 引出列表'!$A$1:$CD$1,0)),"")),"",IFERROR(INDEX('2-3 引出列表'!$A$2:$CE$8700,$A31,MATCH(C$1,'2-3 引出列表'!$A$1:$CD$1,0)),""))</f>
        <v>1067.81</v>
      </c>
      <c r="D31" s="60" t="str">
        <f>IF(ISBLANK(IFERROR(INDEX('2-3 引出列表'!$A$2:$CE$8700,$A31,MATCH(D$1,'2-3 引出列表'!$A$1:$CD$1,0)),"")),"",IFERROR(INDEX('2-3 引出列表'!$A$2:$CE$8700,$A31,MATCH(D$1,'2-3 引出列表'!$A$1:$CD$1,0)),""))</f>
        <v>已审核</v>
      </c>
      <c r="E31" s="60" t="str">
        <f>IF(ISBLANK(IFERROR(INDEX('2-3 引出列表'!$A$2:$CE$8700,$A31,MATCH(E$1,'2-3 引出列表'!$A$1:$CD$1,0)),"")),"",IFERROR(INDEX('2-3 引出列表'!$A$2:$CE$8700,$A31,MATCH(E$1,'2-3 引出列表'!$A$1:$CD$1,0)),""))</f>
        <v>2024-12-26</v>
      </c>
      <c r="F31" s="63" t="str">
        <f t="shared" si="0"/>
        <v>2024-12</v>
      </c>
      <c r="G31" s="60" t="str">
        <f>IF(ISBLANK(IFERROR(INDEX('2-3 引出列表'!$A$2:$CE$8700,$A31,MATCH(G$1,'2-3 引出列表'!$A$1:$CD$1,0)),"")),"",IFERROR(INDEX('2-3 引出列表'!$A$2:$CE$8700,$A31,MATCH(G$1,'2-3 引出列表'!$A$1:$CD$1,0)),""))</f>
        <v>物料消耗.物料消耗</v>
      </c>
      <c r="H31" s="60" t="str">
        <f>IF(ISBLANK(IFERROR(INDEX('2-3 引出列表'!$A$2:$CE$8700,$A31,MATCH(H$1,'2-3 引出列表'!$A$1:$CD$1,0)),"")),"",IFERROR(INDEX('2-3 引出列表'!$A$2:$CE$8700,$A31,MATCH(H$1,'2-3 引出列表'!$A$1:$CD$1,0)),""))</f>
        <v>ZB20210901JCWZ02</v>
      </c>
      <c r="I31" s="60" t="str">
        <f>IF(ISBLANK(IFERROR(INDEX('2-3 引出列表'!$A$2:$CE$8700,$A31,MATCH(I$1,'2-3 引出列表'!$A$1:$CD$1,0)),"")),"",IFERROR(INDEX('2-3 引出列表'!$A$2:$CE$8700,$A31,MATCH(I$1,'2-3 引出列表'!$A$1:$CD$1,0)),""))</f>
        <v>金采易购</v>
      </c>
    </row>
    <row r="32" spans="1:9">
      <c r="A32">
        <v>31</v>
      </c>
      <c r="B32" s="60" t="str">
        <f>IF(ISBLANK(IFERROR(INDEX('2-3 引出列表'!$A$2:$CE$8700,$A32,MATCH(B$1,'2-3 引出列表'!$A$1:$CD$1,0)),"")),"",IFERROR(INDEX('2-3 引出列表'!$A$2:$CE$8700,$A32,MATCH(B$1,'2-3 引出列表'!$A$1:$CD$1,0)),""))</f>
        <v>FK241226000338</v>
      </c>
      <c r="C32" s="60">
        <f>IF(ISBLANK(IFERROR(INDEX('2-3 引出列表'!$A$2:$CE$8700,$A32,MATCH(C$1,'2-3 引出列表'!$A$1:$CD$1,0)),"")),"",IFERROR(INDEX('2-3 引出列表'!$A$2:$CE$8700,$A32,MATCH(C$1,'2-3 引出列表'!$A$1:$CD$1,0)),""))</f>
        <v>1676</v>
      </c>
      <c r="D32" s="60" t="str">
        <f>IF(ISBLANK(IFERROR(INDEX('2-3 引出列表'!$A$2:$CE$8700,$A32,MATCH(D$1,'2-3 引出列表'!$A$1:$CD$1,0)),"")),"",IFERROR(INDEX('2-3 引出列表'!$A$2:$CE$8700,$A32,MATCH(D$1,'2-3 引出列表'!$A$1:$CD$1,0)),""))</f>
        <v>已审核</v>
      </c>
      <c r="E32" s="60" t="str">
        <f>IF(ISBLANK(IFERROR(INDEX('2-3 引出列表'!$A$2:$CE$8700,$A32,MATCH(E$1,'2-3 引出列表'!$A$1:$CD$1,0)),"")),"",IFERROR(INDEX('2-3 引出列表'!$A$2:$CE$8700,$A32,MATCH(E$1,'2-3 引出列表'!$A$1:$CD$1,0)),""))</f>
        <v>2024-12-26</v>
      </c>
      <c r="F32" s="63" t="str">
        <f t="shared" si="0"/>
        <v>2024-12</v>
      </c>
      <c r="G32" s="60" t="str">
        <f>IF(ISBLANK(IFERROR(INDEX('2-3 引出列表'!$A$2:$CE$8700,$A32,MATCH(G$1,'2-3 引出列表'!$A$1:$CD$1,0)),"")),"",IFERROR(INDEX('2-3 引出列表'!$A$2:$CE$8700,$A32,MATCH(G$1,'2-3 引出列表'!$A$1:$CD$1,0)),""))</f>
        <v>物料消耗.物料消耗</v>
      </c>
      <c r="H32" s="60" t="str">
        <f>IF(ISBLANK(IFERROR(INDEX('2-3 引出列表'!$A$2:$CE$8700,$A32,MATCH(H$1,'2-3 引出列表'!$A$1:$CD$1,0)),"")),"",IFERROR(INDEX('2-3 引出列表'!$A$2:$CE$8700,$A32,MATCH(H$1,'2-3 引出列表'!$A$1:$CD$1,0)),""))</f>
        <v>XHWZ-Z-2024-0131</v>
      </c>
      <c r="I32" s="60" t="str">
        <f>IF(ISBLANK(IFERROR(INDEX('2-3 引出列表'!$A$2:$CE$8700,$A32,MATCH(I$1,'2-3 引出列表'!$A$1:$CD$1,0)),"")),"",IFERROR(INDEX('2-3 引出列表'!$A$2:$CE$8700,$A32,MATCH(I$1,'2-3 引出列表'!$A$1:$CD$1,0)),""))</f>
        <v>金采易购</v>
      </c>
    </row>
    <row r="33" spans="1:9">
      <c r="A33">
        <v>32</v>
      </c>
      <c r="B33" s="60" t="str">
        <f>IF(ISBLANK(IFERROR(INDEX('2-3 引出列表'!$A$2:$CE$8700,$A33,MATCH(B$1,'2-3 引出列表'!$A$1:$CD$1,0)),"")),"",IFERROR(INDEX('2-3 引出列表'!$A$2:$CE$8700,$A33,MATCH(B$1,'2-3 引出列表'!$A$1:$CD$1,0)),""))</f>
        <v>FK241226000338</v>
      </c>
      <c r="C33" s="60">
        <f>IF(ISBLANK(IFERROR(INDEX('2-3 引出列表'!$A$2:$CE$8700,$A33,MATCH(C$1,'2-3 引出列表'!$A$1:$CD$1,0)),"")),"",IFERROR(INDEX('2-3 引出列表'!$A$2:$CE$8700,$A33,MATCH(C$1,'2-3 引出列表'!$A$1:$CD$1,0)),""))</f>
        <v>1676</v>
      </c>
      <c r="D33" s="60" t="str">
        <f>IF(ISBLANK(IFERROR(INDEX('2-3 引出列表'!$A$2:$CE$8700,$A33,MATCH(D$1,'2-3 引出列表'!$A$1:$CD$1,0)),"")),"",IFERROR(INDEX('2-3 引出列表'!$A$2:$CE$8700,$A33,MATCH(D$1,'2-3 引出列表'!$A$1:$CD$1,0)),""))</f>
        <v>已审核</v>
      </c>
      <c r="E33" s="60" t="str">
        <f>IF(ISBLANK(IFERROR(INDEX('2-3 引出列表'!$A$2:$CE$8700,$A33,MATCH(E$1,'2-3 引出列表'!$A$1:$CD$1,0)),"")),"",IFERROR(INDEX('2-3 引出列表'!$A$2:$CE$8700,$A33,MATCH(E$1,'2-3 引出列表'!$A$1:$CD$1,0)),""))</f>
        <v>2024-12-26</v>
      </c>
      <c r="F33" s="63" t="str">
        <f t="shared" si="0"/>
        <v>2024-12</v>
      </c>
      <c r="G33" s="60" t="str">
        <f>IF(ISBLANK(IFERROR(INDEX('2-3 引出列表'!$A$2:$CE$8700,$A33,MATCH(G$1,'2-3 引出列表'!$A$1:$CD$1,0)),"")),"",IFERROR(INDEX('2-3 引出列表'!$A$2:$CE$8700,$A33,MATCH(G$1,'2-3 引出列表'!$A$1:$CD$1,0)),""))</f>
        <v>物料消耗.物料消耗</v>
      </c>
      <c r="H33" s="60" t="str">
        <f>IF(ISBLANK(IFERROR(INDEX('2-3 引出列表'!$A$2:$CE$8700,$A33,MATCH(H$1,'2-3 引出列表'!$A$1:$CD$1,0)),"")),"",IFERROR(INDEX('2-3 引出列表'!$A$2:$CE$8700,$A33,MATCH(H$1,'2-3 引出列表'!$A$1:$CD$1,0)),""))</f>
        <v>XHWZ-Z-2024-0131</v>
      </c>
      <c r="I33" s="60" t="str">
        <f>IF(ISBLANK(IFERROR(INDEX('2-3 引出列表'!$A$2:$CE$8700,$A33,MATCH(I$1,'2-3 引出列表'!$A$1:$CD$1,0)),"")),"",IFERROR(INDEX('2-3 引出列表'!$A$2:$CE$8700,$A33,MATCH(I$1,'2-3 引出列表'!$A$1:$CD$1,0)),""))</f>
        <v>金采易购</v>
      </c>
    </row>
    <row r="34" spans="1:9">
      <c r="A34">
        <v>33</v>
      </c>
      <c r="B34" s="60" t="str">
        <f>IF(ISBLANK(IFERROR(INDEX('2-3 引出列表'!$A$2:$CE$8700,$A34,MATCH(B$1,'2-3 引出列表'!$A$1:$CD$1,0)),"")),"",IFERROR(INDEX('2-3 引出列表'!$A$2:$CE$8700,$A34,MATCH(B$1,'2-3 引出列表'!$A$1:$CD$1,0)),""))</f>
        <v>FK241226000338</v>
      </c>
      <c r="C34" s="60">
        <f>IF(ISBLANK(IFERROR(INDEX('2-3 引出列表'!$A$2:$CE$8700,$A34,MATCH(C$1,'2-3 引出列表'!$A$1:$CD$1,0)),"")),"",IFERROR(INDEX('2-3 引出列表'!$A$2:$CE$8700,$A34,MATCH(C$1,'2-3 引出列表'!$A$1:$CD$1,0)),""))</f>
        <v>1676</v>
      </c>
      <c r="D34" s="60" t="str">
        <f>IF(ISBLANK(IFERROR(INDEX('2-3 引出列表'!$A$2:$CE$8700,$A34,MATCH(D$1,'2-3 引出列表'!$A$1:$CD$1,0)),"")),"",IFERROR(INDEX('2-3 引出列表'!$A$2:$CE$8700,$A34,MATCH(D$1,'2-3 引出列表'!$A$1:$CD$1,0)),""))</f>
        <v>已审核</v>
      </c>
      <c r="E34" s="60" t="str">
        <f>IF(ISBLANK(IFERROR(INDEX('2-3 引出列表'!$A$2:$CE$8700,$A34,MATCH(E$1,'2-3 引出列表'!$A$1:$CD$1,0)),"")),"",IFERROR(INDEX('2-3 引出列表'!$A$2:$CE$8700,$A34,MATCH(E$1,'2-3 引出列表'!$A$1:$CD$1,0)),""))</f>
        <v>2024-12-26</v>
      </c>
      <c r="F34" s="63" t="str">
        <f t="shared" si="0"/>
        <v>2024-12</v>
      </c>
      <c r="G34" s="60" t="str">
        <f>IF(ISBLANK(IFERROR(INDEX('2-3 引出列表'!$A$2:$CE$8700,$A34,MATCH(G$1,'2-3 引出列表'!$A$1:$CD$1,0)),"")),"",IFERROR(INDEX('2-3 引出列表'!$A$2:$CE$8700,$A34,MATCH(G$1,'2-3 引出列表'!$A$1:$CD$1,0)),""))</f>
        <v>物料消耗.物料消耗</v>
      </c>
      <c r="H34" s="60" t="str">
        <f>IF(ISBLANK(IFERROR(INDEX('2-3 引出列表'!$A$2:$CE$8700,$A34,MATCH(H$1,'2-3 引出列表'!$A$1:$CD$1,0)),"")),"",IFERROR(INDEX('2-3 引出列表'!$A$2:$CE$8700,$A34,MATCH(H$1,'2-3 引出列表'!$A$1:$CD$1,0)),""))</f>
        <v>XHWZ-Z-2024-0131</v>
      </c>
      <c r="I34" s="60" t="str">
        <f>IF(ISBLANK(IFERROR(INDEX('2-3 引出列表'!$A$2:$CE$8700,$A34,MATCH(I$1,'2-3 引出列表'!$A$1:$CD$1,0)),"")),"",IFERROR(INDEX('2-3 引出列表'!$A$2:$CE$8700,$A34,MATCH(I$1,'2-3 引出列表'!$A$1:$CD$1,0)),""))</f>
        <v>金采易购</v>
      </c>
    </row>
    <row r="35" spans="1:9">
      <c r="A35">
        <v>34</v>
      </c>
      <c r="B35" s="60" t="str">
        <f>IF(ISBLANK(IFERROR(INDEX('2-3 引出列表'!$A$2:$CE$8700,$A35,MATCH(B$1,'2-3 引出列表'!$A$1:$CD$1,0)),"")),"",IFERROR(INDEX('2-3 引出列表'!$A$2:$CE$8700,$A35,MATCH(B$1,'2-3 引出列表'!$A$1:$CD$1,0)),""))</f>
        <v>FK241226000338</v>
      </c>
      <c r="C35" s="60">
        <f>IF(ISBLANK(IFERROR(INDEX('2-3 引出列表'!$A$2:$CE$8700,$A35,MATCH(C$1,'2-3 引出列表'!$A$1:$CD$1,0)),"")),"",IFERROR(INDEX('2-3 引出列表'!$A$2:$CE$8700,$A35,MATCH(C$1,'2-3 引出列表'!$A$1:$CD$1,0)),""))</f>
        <v>1676</v>
      </c>
      <c r="D35" s="60" t="str">
        <f>IF(ISBLANK(IFERROR(INDEX('2-3 引出列表'!$A$2:$CE$8700,$A35,MATCH(D$1,'2-3 引出列表'!$A$1:$CD$1,0)),"")),"",IFERROR(INDEX('2-3 引出列表'!$A$2:$CE$8700,$A35,MATCH(D$1,'2-3 引出列表'!$A$1:$CD$1,0)),""))</f>
        <v>已审核</v>
      </c>
      <c r="E35" s="60" t="str">
        <f>IF(ISBLANK(IFERROR(INDEX('2-3 引出列表'!$A$2:$CE$8700,$A35,MATCH(E$1,'2-3 引出列表'!$A$1:$CD$1,0)),"")),"",IFERROR(INDEX('2-3 引出列表'!$A$2:$CE$8700,$A35,MATCH(E$1,'2-3 引出列表'!$A$1:$CD$1,0)),""))</f>
        <v>2024-12-26</v>
      </c>
      <c r="F35" s="63" t="str">
        <f t="shared" ref="F35:F69" si="1">LEFT(E35,7)</f>
        <v>2024-12</v>
      </c>
      <c r="G35" s="60" t="str">
        <f>IF(ISBLANK(IFERROR(INDEX('2-3 引出列表'!$A$2:$CE$8700,$A35,MATCH(G$1,'2-3 引出列表'!$A$1:$CD$1,0)),"")),"",IFERROR(INDEX('2-3 引出列表'!$A$2:$CE$8700,$A35,MATCH(G$1,'2-3 引出列表'!$A$1:$CD$1,0)),""))</f>
        <v>物料消耗.物料消耗</v>
      </c>
      <c r="H35" s="60" t="str">
        <f>IF(ISBLANK(IFERROR(INDEX('2-3 引出列表'!$A$2:$CE$8700,$A35,MATCH(H$1,'2-3 引出列表'!$A$1:$CD$1,0)),"")),"",IFERROR(INDEX('2-3 引出列表'!$A$2:$CE$8700,$A35,MATCH(H$1,'2-3 引出列表'!$A$1:$CD$1,0)),""))</f>
        <v>XHWZ-Z-2024-0131</v>
      </c>
      <c r="I35" s="60" t="str">
        <f>IF(ISBLANK(IFERROR(INDEX('2-3 引出列表'!$A$2:$CE$8700,$A35,MATCH(I$1,'2-3 引出列表'!$A$1:$CD$1,0)),"")),"",IFERROR(INDEX('2-3 引出列表'!$A$2:$CE$8700,$A35,MATCH(I$1,'2-3 引出列表'!$A$1:$CD$1,0)),""))</f>
        <v>金采易购</v>
      </c>
    </row>
    <row r="36" spans="1:9">
      <c r="A36">
        <v>35</v>
      </c>
      <c r="B36" s="60" t="str">
        <f>IF(ISBLANK(IFERROR(INDEX('2-3 引出列表'!$A$2:$CE$8700,$A36,MATCH(B$1,'2-3 引出列表'!$A$1:$CD$1,0)),"")),"",IFERROR(INDEX('2-3 引出列表'!$A$2:$CE$8700,$A36,MATCH(B$1,'2-3 引出列表'!$A$1:$CD$1,0)),""))</f>
        <v>FK241226000325</v>
      </c>
      <c r="C36" s="60">
        <f>IF(ISBLANK(IFERROR(INDEX('2-3 引出列表'!$A$2:$CE$8700,$A36,MATCH(C$1,'2-3 引出列表'!$A$1:$CD$1,0)),"")),"",IFERROR(INDEX('2-3 引出列表'!$A$2:$CE$8700,$A36,MATCH(C$1,'2-3 引出列表'!$A$1:$CD$1,0)),""))</f>
        <v>7000</v>
      </c>
      <c r="D36" s="60" t="str">
        <f>IF(ISBLANK(IFERROR(INDEX('2-3 引出列表'!$A$2:$CE$8700,$A36,MATCH(D$1,'2-3 引出列表'!$A$1:$CD$1,0)),"")),"",IFERROR(INDEX('2-3 引出列表'!$A$2:$CE$8700,$A36,MATCH(D$1,'2-3 引出列表'!$A$1:$CD$1,0)),""))</f>
        <v>已审核</v>
      </c>
      <c r="E36" s="60" t="str">
        <f>IF(ISBLANK(IFERROR(INDEX('2-3 引出列表'!$A$2:$CE$8700,$A36,MATCH(E$1,'2-3 引出列表'!$A$1:$CD$1,0)),"")),"",IFERROR(INDEX('2-3 引出列表'!$A$2:$CE$8700,$A36,MATCH(E$1,'2-3 引出列表'!$A$1:$CD$1,0)),""))</f>
        <v>2024-12-26</v>
      </c>
      <c r="F36" s="63" t="str">
        <f t="shared" si="1"/>
        <v>2024-12</v>
      </c>
      <c r="G36" s="60" t="str">
        <f>IF(ISBLANK(IFERROR(INDEX('2-3 引出列表'!$A$2:$CE$8700,$A36,MATCH(G$1,'2-3 引出列表'!$A$1:$CD$1,0)),"")),"",IFERROR(INDEX('2-3 引出列表'!$A$2:$CE$8700,$A36,MATCH(G$1,'2-3 引出列表'!$A$1:$CD$1,0)),""))</f>
        <v>外包服务费.消杀外包</v>
      </c>
      <c r="H36" s="60" t="str">
        <f>IF(ISBLANK(IFERROR(INDEX('2-3 引出列表'!$A$2:$CE$8700,$A36,MATCH(H$1,'2-3 引出列表'!$A$1:$CD$1,0)),"")),"",IFERROR(INDEX('2-3 引出列表'!$A$2:$CE$8700,$A36,MATCH(H$1,'2-3 引出列表'!$A$1:$CD$1,0)),""))</f>
        <v>HJFW-Z-2024-4218</v>
      </c>
      <c r="I36" s="60" t="str">
        <f>IF(ISBLANK(IFERROR(INDEX('2-3 引出列表'!$A$2:$CE$8700,$A36,MATCH(I$1,'2-3 引出列表'!$A$1:$CD$1,0)),"")),"",IFERROR(INDEX('2-3 引出列表'!$A$2:$CE$8700,$A36,MATCH(I$1,'2-3 引出列表'!$A$1:$CD$1,0)),""))</f>
        <v>金采易购</v>
      </c>
    </row>
    <row r="37" spans="1:9">
      <c r="A37">
        <v>36</v>
      </c>
      <c r="B37" s="60" t="str">
        <f>IF(ISBLANK(IFERROR(INDEX('2-3 引出列表'!$A$2:$CE$8700,$A37,MATCH(B$1,'2-3 引出列表'!$A$1:$CD$1,0)),"")),"",IFERROR(INDEX('2-3 引出列表'!$A$2:$CE$8700,$A37,MATCH(B$1,'2-3 引出列表'!$A$1:$CD$1,0)),""))</f>
        <v>FK241225000258</v>
      </c>
      <c r="C37" s="60">
        <f>IF(ISBLANK(IFERROR(INDEX('2-3 引出列表'!$A$2:$CE$8700,$A37,MATCH(C$1,'2-3 引出列表'!$A$1:$CD$1,0)),"")),"",IFERROR(INDEX('2-3 引出列表'!$A$2:$CE$8700,$A37,MATCH(C$1,'2-3 引出列表'!$A$1:$CD$1,0)),""))</f>
        <v>3485.05</v>
      </c>
      <c r="D37" s="60" t="str">
        <f>IF(ISBLANK(IFERROR(INDEX('2-3 引出列表'!$A$2:$CE$8700,$A37,MATCH(D$1,'2-3 引出列表'!$A$1:$CD$1,0)),"")),"",IFERROR(INDEX('2-3 引出列表'!$A$2:$CE$8700,$A37,MATCH(D$1,'2-3 引出列表'!$A$1:$CD$1,0)),""))</f>
        <v>已审核</v>
      </c>
      <c r="E37" s="60" t="str">
        <f>IF(ISBLANK(IFERROR(INDEX('2-3 引出列表'!$A$2:$CE$8700,$A37,MATCH(E$1,'2-3 引出列表'!$A$1:$CD$1,0)),"")),"",IFERROR(INDEX('2-3 引出列表'!$A$2:$CE$8700,$A37,MATCH(E$1,'2-3 引出列表'!$A$1:$CD$1,0)),""))</f>
        <v>2024-12-25</v>
      </c>
      <c r="F37" s="63" t="str">
        <f t="shared" si="1"/>
        <v>2024-12</v>
      </c>
      <c r="G37" s="60" t="str">
        <f>IF(ISBLANK(IFERROR(INDEX('2-3 引出列表'!$A$2:$CE$8700,$A37,MATCH(G$1,'2-3 引出列表'!$A$1:$CD$1,0)),"")),"",IFERROR(INDEX('2-3 引出列表'!$A$2:$CE$8700,$A37,MATCH(G$1,'2-3 引出列表'!$A$1:$CD$1,0)),""))</f>
        <v>物料消耗.物料消耗</v>
      </c>
      <c r="H37" s="60" t="str">
        <f>IF(ISBLANK(IFERROR(INDEX('2-3 引出列表'!$A$2:$CE$8700,$A37,MATCH(H$1,'2-3 引出列表'!$A$1:$CD$1,0)),"")),"",IFERROR(INDEX('2-3 引出列表'!$A$2:$CE$8700,$A37,MATCH(H$1,'2-3 引出列表'!$A$1:$CD$1,0)),""))</f>
        <v>ZB20210901JCWZ02</v>
      </c>
      <c r="I37" s="60" t="str">
        <f>IF(ISBLANK(IFERROR(INDEX('2-3 引出列表'!$A$2:$CE$8700,$A37,MATCH(I$1,'2-3 引出列表'!$A$1:$CD$1,0)),"")),"",IFERROR(INDEX('2-3 引出列表'!$A$2:$CE$8700,$A37,MATCH(I$1,'2-3 引出列表'!$A$1:$CD$1,0)),""))</f>
        <v>金采易购</v>
      </c>
    </row>
    <row r="38" spans="1:9">
      <c r="A38">
        <v>37</v>
      </c>
      <c r="B38" s="60" t="str">
        <f>IF(ISBLANK(IFERROR(INDEX('2-3 引出列表'!$A$2:$CE$8700,$A38,MATCH(B$1,'2-3 引出列表'!$A$1:$CD$1,0)),"")),"",IFERROR(INDEX('2-3 引出列表'!$A$2:$CE$8700,$A38,MATCH(B$1,'2-3 引出列表'!$A$1:$CD$1,0)),""))</f>
        <v>FK241225000258</v>
      </c>
      <c r="C38" s="60">
        <f>IF(ISBLANK(IFERROR(INDEX('2-3 引出列表'!$A$2:$CE$8700,$A38,MATCH(C$1,'2-3 引出列表'!$A$1:$CD$1,0)),"")),"",IFERROR(INDEX('2-3 引出列表'!$A$2:$CE$8700,$A38,MATCH(C$1,'2-3 引出列表'!$A$1:$CD$1,0)),""))</f>
        <v>3485.05</v>
      </c>
      <c r="D38" s="60" t="str">
        <f>IF(ISBLANK(IFERROR(INDEX('2-3 引出列表'!$A$2:$CE$8700,$A38,MATCH(D$1,'2-3 引出列表'!$A$1:$CD$1,0)),"")),"",IFERROR(INDEX('2-3 引出列表'!$A$2:$CE$8700,$A38,MATCH(D$1,'2-3 引出列表'!$A$1:$CD$1,0)),""))</f>
        <v>已审核</v>
      </c>
      <c r="E38" s="60" t="str">
        <f>IF(ISBLANK(IFERROR(INDEX('2-3 引出列表'!$A$2:$CE$8700,$A38,MATCH(E$1,'2-3 引出列表'!$A$1:$CD$1,0)),"")),"",IFERROR(INDEX('2-3 引出列表'!$A$2:$CE$8700,$A38,MATCH(E$1,'2-3 引出列表'!$A$1:$CD$1,0)),""))</f>
        <v>2024-12-25</v>
      </c>
      <c r="F38" s="63" t="str">
        <f t="shared" si="1"/>
        <v>2024-12</v>
      </c>
      <c r="G38" s="60" t="str">
        <f>IF(ISBLANK(IFERROR(INDEX('2-3 引出列表'!$A$2:$CE$8700,$A38,MATCH(G$1,'2-3 引出列表'!$A$1:$CD$1,0)),"")),"",IFERROR(INDEX('2-3 引出列表'!$A$2:$CE$8700,$A38,MATCH(G$1,'2-3 引出列表'!$A$1:$CD$1,0)),""))</f>
        <v>物料消耗.物料消耗</v>
      </c>
      <c r="H38" s="60" t="str">
        <f>IF(ISBLANK(IFERROR(INDEX('2-3 引出列表'!$A$2:$CE$8700,$A38,MATCH(H$1,'2-3 引出列表'!$A$1:$CD$1,0)),"")),"",IFERROR(INDEX('2-3 引出列表'!$A$2:$CE$8700,$A38,MATCH(H$1,'2-3 引出列表'!$A$1:$CD$1,0)),""))</f>
        <v>ZB20210901JCWZ02</v>
      </c>
      <c r="I38" s="60" t="str">
        <f>IF(ISBLANK(IFERROR(INDEX('2-3 引出列表'!$A$2:$CE$8700,$A38,MATCH(I$1,'2-3 引出列表'!$A$1:$CD$1,0)),"")),"",IFERROR(INDEX('2-3 引出列表'!$A$2:$CE$8700,$A38,MATCH(I$1,'2-3 引出列表'!$A$1:$CD$1,0)),""))</f>
        <v>金采易购</v>
      </c>
    </row>
    <row r="39" spans="1:9">
      <c r="A39">
        <v>38</v>
      </c>
      <c r="B39" s="60" t="str">
        <f>IF(ISBLANK(IFERROR(INDEX('2-3 引出列表'!$A$2:$CE$8700,$A39,MATCH(B$1,'2-3 引出列表'!$A$1:$CD$1,0)),"")),"",IFERROR(INDEX('2-3 引出列表'!$A$2:$CE$8700,$A39,MATCH(B$1,'2-3 引出列表'!$A$1:$CD$1,0)),""))</f>
        <v>FK241225000258</v>
      </c>
      <c r="C39" s="60">
        <f>IF(ISBLANK(IFERROR(INDEX('2-3 引出列表'!$A$2:$CE$8700,$A39,MATCH(C$1,'2-3 引出列表'!$A$1:$CD$1,0)),"")),"",IFERROR(INDEX('2-3 引出列表'!$A$2:$CE$8700,$A39,MATCH(C$1,'2-3 引出列表'!$A$1:$CD$1,0)),""))</f>
        <v>3485.05</v>
      </c>
      <c r="D39" s="60" t="str">
        <f>IF(ISBLANK(IFERROR(INDEX('2-3 引出列表'!$A$2:$CE$8700,$A39,MATCH(D$1,'2-3 引出列表'!$A$1:$CD$1,0)),"")),"",IFERROR(INDEX('2-3 引出列表'!$A$2:$CE$8700,$A39,MATCH(D$1,'2-3 引出列表'!$A$1:$CD$1,0)),""))</f>
        <v>已审核</v>
      </c>
      <c r="E39" s="60" t="str">
        <f>IF(ISBLANK(IFERROR(INDEX('2-3 引出列表'!$A$2:$CE$8700,$A39,MATCH(E$1,'2-3 引出列表'!$A$1:$CD$1,0)),"")),"",IFERROR(INDEX('2-3 引出列表'!$A$2:$CE$8700,$A39,MATCH(E$1,'2-3 引出列表'!$A$1:$CD$1,0)),""))</f>
        <v>2024-12-25</v>
      </c>
      <c r="F39" s="63" t="str">
        <f t="shared" si="1"/>
        <v>2024-12</v>
      </c>
      <c r="G39" s="60" t="str">
        <f>IF(ISBLANK(IFERROR(INDEX('2-3 引出列表'!$A$2:$CE$8700,$A39,MATCH(G$1,'2-3 引出列表'!$A$1:$CD$1,0)),"")),"",IFERROR(INDEX('2-3 引出列表'!$A$2:$CE$8700,$A39,MATCH(G$1,'2-3 引出列表'!$A$1:$CD$1,0)),""))</f>
        <v>物料消耗.物料消耗</v>
      </c>
      <c r="H39" s="60" t="str">
        <f>IF(ISBLANK(IFERROR(INDEX('2-3 引出列表'!$A$2:$CE$8700,$A39,MATCH(H$1,'2-3 引出列表'!$A$1:$CD$1,0)),"")),"",IFERROR(INDEX('2-3 引出列表'!$A$2:$CE$8700,$A39,MATCH(H$1,'2-3 引出列表'!$A$1:$CD$1,0)),""))</f>
        <v>ZB20210901JCWZ02</v>
      </c>
      <c r="I39" s="60" t="str">
        <f>IF(ISBLANK(IFERROR(INDEX('2-3 引出列表'!$A$2:$CE$8700,$A39,MATCH(I$1,'2-3 引出列表'!$A$1:$CD$1,0)),"")),"",IFERROR(INDEX('2-3 引出列表'!$A$2:$CE$8700,$A39,MATCH(I$1,'2-3 引出列表'!$A$1:$CD$1,0)),""))</f>
        <v>金采易购</v>
      </c>
    </row>
    <row r="40" spans="1:9">
      <c r="A40">
        <v>39</v>
      </c>
      <c r="B40" s="60" t="str">
        <f>IF(ISBLANK(IFERROR(INDEX('2-3 引出列表'!$A$2:$CE$8700,$A40,MATCH(B$1,'2-3 引出列表'!$A$1:$CD$1,0)),"")),"",IFERROR(INDEX('2-3 引出列表'!$A$2:$CE$8700,$A40,MATCH(B$1,'2-3 引出列表'!$A$1:$CD$1,0)),""))</f>
        <v>FK241225000258</v>
      </c>
      <c r="C40" s="60">
        <f>IF(ISBLANK(IFERROR(INDEX('2-3 引出列表'!$A$2:$CE$8700,$A40,MATCH(C$1,'2-3 引出列表'!$A$1:$CD$1,0)),"")),"",IFERROR(INDEX('2-3 引出列表'!$A$2:$CE$8700,$A40,MATCH(C$1,'2-3 引出列表'!$A$1:$CD$1,0)),""))</f>
        <v>3485.05</v>
      </c>
      <c r="D40" s="60" t="str">
        <f>IF(ISBLANK(IFERROR(INDEX('2-3 引出列表'!$A$2:$CE$8700,$A40,MATCH(D$1,'2-3 引出列表'!$A$1:$CD$1,0)),"")),"",IFERROR(INDEX('2-3 引出列表'!$A$2:$CE$8700,$A40,MATCH(D$1,'2-3 引出列表'!$A$1:$CD$1,0)),""))</f>
        <v>已审核</v>
      </c>
      <c r="E40" s="60" t="str">
        <f>IF(ISBLANK(IFERROR(INDEX('2-3 引出列表'!$A$2:$CE$8700,$A40,MATCH(E$1,'2-3 引出列表'!$A$1:$CD$1,0)),"")),"",IFERROR(INDEX('2-3 引出列表'!$A$2:$CE$8700,$A40,MATCH(E$1,'2-3 引出列表'!$A$1:$CD$1,0)),""))</f>
        <v>2024-12-25</v>
      </c>
      <c r="F40" s="63" t="str">
        <f t="shared" si="1"/>
        <v>2024-12</v>
      </c>
      <c r="G40" s="60" t="str">
        <f>IF(ISBLANK(IFERROR(INDEX('2-3 引出列表'!$A$2:$CE$8700,$A40,MATCH(G$1,'2-3 引出列表'!$A$1:$CD$1,0)),"")),"",IFERROR(INDEX('2-3 引出列表'!$A$2:$CE$8700,$A40,MATCH(G$1,'2-3 引出列表'!$A$1:$CD$1,0)),""))</f>
        <v>物料消耗.物料消耗</v>
      </c>
      <c r="H40" s="60" t="str">
        <f>IF(ISBLANK(IFERROR(INDEX('2-3 引出列表'!$A$2:$CE$8700,$A40,MATCH(H$1,'2-3 引出列表'!$A$1:$CD$1,0)),"")),"",IFERROR(INDEX('2-3 引出列表'!$A$2:$CE$8700,$A40,MATCH(H$1,'2-3 引出列表'!$A$1:$CD$1,0)),""))</f>
        <v>ZB20210901JCWZ02</v>
      </c>
      <c r="I40" s="60" t="str">
        <f>IF(ISBLANK(IFERROR(INDEX('2-3 引出列表'!$A$2:$CE$8700,$A40,MATCH(I$1,'2-3 引出列表'!$A$1:$CD$1,0)),"")),"",IFERROR(INDEX('2-3 引出列表'!$A$2:$CE$8700,$A40,MATCH(I$1,'2-3 引出列表'!$A$1:$CD$1,0)),""))</f>
        <v>金采易购</v>
      </c>
    </row>
    <row r="41" spans="1:9">
      <c r="A41">
        <v>40</v>
      </c>
      <c r="B41" s="60" t="str">
        <f>IF(ISBLANK(IFERROR(INDEX('2-3 引出列表'!$A$2:$CE$8700,$A41,MATCH(B$1,'2-3 引出列表'!$A$1:$CD$1,0)),"")),"",IFERROR(INDEX('2-3 引出列表'!$A$2:$CE$8700,$A41,MATCH(B$1,'2-3 引出列表'!$A$1:$CD$1,0)),""))</f>
        <v>FK241225000258</v>
      </c>
      <c r="C41" s="60">
        <f>IF(ISBLANK(IFERROR(INDEX('2-3 引出列表'!$A$2:$CE$8700,$A41,MATCH(C$1,'2-3 引出列表'!$A$1:$CD$1,0)),"")),"",IFERROR(INDEX('2-3 引出列表'!$A$2:$CE$8700,$A41,MATCH(C$1,'2-3 引出列表'!$A$1:$CD$1,0)),""))</f>
        <v>3485.05</v>
      </c>
      <c r="D41" s="60" t="str">
        <f>IF(ISBLANK(IFERROR(INDEX('2-3 引出列表'!$A$2:$CE$8700,$A41,MATCH(D$1,'2-3 引出列表'!$A$1:$CD$1,0)),"")),"",IFERROR(INDEX('2-3 引出列表'!$A$2:$CE$8700,$A41,MATCH(D$1,'2-3 引出列表'!$A$1:$CD$1,0)),""))</f>
        <v>已审核</v>
      </c>
      <c r="E41" s="60" t="str">
        <f>IF(ISBLANK(IFERROR(INDEX('2-3 引出列表'!$A$2:$CE$8700,$A41,MATCH(E$1,'2-3 引出列表'!$A$1:$CD$1,0)),"")),"",IFERROR(INDEX('2-3 引出列表'!$A$2:$CE$8700,$A41,MATCH(E$1,'2-3 引出列表'!$A$1:$CD$1,0)),""))</f>
        <v>2024-12-25</v>
      </c>
      <c r="F41" s="63" t="str">
        <f t="shared" si="1"/>
        <v>2024-12</v>
      </c>
      <c r="G41" s="60" t="str">
        <f>IF(ISBLANK(IFERROR(INDEX('2-3 引出列表'!$A$2:$CE$8700,$A41,MATCH(G$1,'2-3 引出列表'!$A$1:$CD$1,0)),"")),"",IFERROR(INDEX('2-3 引出列表'!$A$2:$CE$8700,$A41,MATCH(G$1,'2-3 引出列表'!$A$1:$CD$1,0)),""))</f>
        <v>物料消耗.物料消耗</v>
      </c>
      <c r="H41" s="60" t="str">
        <f>IF(ISBLANK(IFERROR(INDEX('2-3 引出列表'!$A$2:$CE$8700,$A41,MATCH(H$1,'2-3 引出列表'!$A$1:$CD$1,0)),"")),"",IFERROR(INDEX('2-3 引出列表'!$A$2:$CE$8700,$A41,MATCH(H$1,'2-3 引出列表'!$A$1:$CD$1,0)),""))</f>
        <v>ZB20210901JCWZ02</v>
      </c>
      <c r="I41" s="60" t="str">
        <f>IF(ISBLANK(IFERROR(INDEX('2-3 引出列表'!$A$2:$CE$8700,$A41,MATCH(I$1,'2-3 引出列表'!$A$1:$CD$1,0)),"")),"",IFERROR(INDEX('2-3 引出列表'!$A$2:$CE$8700,$A41,MATCH(I$1,'2-3 引出列表'!$A$1:$CD$1,0)),""))</f>
        <v>金采易购</v>
      </c>
    </row>
    <row r="42" spans="1:9">
      <c r="A42">
        <v>41</v>
      </c>
      <c r="B42" s="60" t="str">
        <f>IF(ISBLANK(IFERROR(INDEX('2-3 引出列表'!$A$2:$CE$8700,$A42,MATCH(B$1,'2-3 引出列表'!$A$1:$CD$1,0)),"")),"",IFERROR(INDEX('2-3 引出列表'!$A$2:$CE$8700,$A42,MATCH(B$1,'2-3 引出列表'!$A$1:$CD$1,0)),""))</f>
        <v>FK241225000258</v>
      </c>
      <c r="C42" s="60">
        <f>IF(ISBLANK(IFERROR(INDEX('2-3 引出列表'!$A$2:$CE$8700,$A42,MATCH(C$1,'2-3 引出列表'!$A$1:$CD$1,0)),"")),"",IFERROR(INDEX('2-3 引出列表'!$A$2:$CE$8700,$A42,MATCH(C$1,'2-3 引出列表'!$A$1:$CD$1,0)),""))</f>
        <v>3485.05</v>
      </c>
      <c r="D42" s="60" t="str">
        <f>IF(ISBLANK(IFERROR(INDEX('2-3 引出列表'!$A$2:$CE$8700,$A42,MATCH(D$1,'2-3 引出列表'!$A$1:$CD$1,0)),"")),"",IFERROR(INDEX('2-3 引出列表'!$A$2:$CE$8700,$A42,MATCH(D$1,'2-3 引出列表'!$A$1:$CD$1,0)),""))</f>
        <v>已审核</v>
      </c>
      <c r="E42" s="60" t="str">
        <f>IF(ISBLANK(IFERROR(INDEX('2-3 引出列表'!$A$2:$CE$8700,$A42,MATCH(E$1,'2-3 引出列表'!$A$1:$CD$1,0)),"")),"",IFERROR(INDEX('2-3 引出列表'!$A$2:$CE$8700,$A42,MATCH(E$1,'2-3 引出列表'!$A$1:$CD$1,0)),""))</f>
        <v>2024-12-25</v>
      </c>
      <c r="F42" s="63" t="str">
        <f t="shared" si="1"/>
        <v>2024-12</v>
      </c>
      <c r="G42" s="60" t="str">
        <f>IF(ISBLANK(IFERROR(INDEX('2-3 引出列表'!$A$2:$CE$8700,$A42,MATCH(G$1,'2-3 引出列表'!$A$1:$CD$1,0)),"")),"",IFERROR(INDEX('2-3 引出列表'!$A$2:$CE$8700,$A42,MATCH(G$1,'2-3 引出列表'!$A$1:$CD$1,0)),""))</f>
        <v>物料消耗.物料消耗</v>
      </c>
      <c r="H42" s="60" t="str">
        <f>IF(ISBLANK(IFERROR(INDEX('2-3 引出列表'!$A$2:$CE$8700,$A42,MATCH(H$1,'2-3 引出列表'!$A$1:$CD$1,0)),"")),"",IFERROR(INDEX('2-3 引出列表'!$A$2:$CE$8700,$A42,MATCH(H$1,'2-3 引出列表'!$A$1:$CD$1,0)),""))</f>
        <v>ZB20210901JCWZ02</v>
      </c>
      <c r="I42" s="60" t="str">
        <f>IF(ISBLANK(IFERROR(INDEX('2-3 引出列表'!$A$2:$CE$8700,$A42,MATCH(I$1,'2-3 引出列表'!$A$1:$CD$1,0)),"")),"",IFERROR(INDEX('2-3 引出列表'!$A$2:$CE$8700,$A42,MATCH(I$1,'2-3 引出列表'!$A$1:$CD$1,0)),""))</f>
        <v>金采易购</v>
      </c>
    </row>
    <row r="43" spans="1:9">
      <c r="A43">
        <v>42</v>
      </c>
      <c r="B43" s="60" t="str">
        <f>IF(ISBLANK(IFERROR(INDEX('2-3 引出列表'!$A$2:$CE$8700,$A43,MATCH(B$1,'2-3 引出列表'!$A$1:$CD$1,0)),"")),"",IFERROR(INDEX('2-3 引出列表'!$A$2:$CE$8700,$A43,MATCH(B$1,'2-3 引出列表'!$A$1:$CD$1,0)),""))</f>
        <v>FK241225000258</v>
      </c>
      <c r="C43" s="60">
        <f>IF(ISBLANK(IFERROR(INDEX('2-3 引出列表'!$A$2:$CE$8700,$A43,MATCH(C$1,'2-3 引出列表'!$A$1:$CD$1,0)),"")),"",IFERROR(INDEX('2-3 引出列表'!$A$2:$CE$8700,$A43,MATCH(C$1,'2-3 引出列表'!$A$1:$CD$1,0)),""))</f>
        <v>3485.05</v>
      </c>
      <c r="D43" s="60" t="str">
        <f>IF(ISBLANK(IFERROR(INDEX('2-3 引出列表'!$A$2:$CE$8700,$A43,MATCH(D$1,'2-3 引出列表'!$A$1:$CD$1,0)),"")),"",IFERROR(INDEX('2-3 引出列表'!$A$2:$CE$8700,$A43,MATCH(D$1,'2-3 引出列表'!$A$1:$CD$1,0)),""))</f>
        <v>已审核</v>
      </c>
      <c r="E43" s="60" t="str">
        <f>IF(ISBLANK(IFERROR(INDEX('2-3 引出列表'!$A$2:$CE$8700,$A43,MATCH(E$1,'2-3 引出列表'!$A$1:$CD$1,0)),"")),"",IFERROR(INDEX('2-3 引出列表'!$A$2:$CE$8700,$A43,MATCH(E$1,'2-3 引出列表'!$A$1:$CD$1,0)),""))</f>
        <v>2024-12-25</v>
      </c>
      <c r="F43" s="63" t="str">
        <f t="shared" si="1"/>
        <v>2024-12</v>
      </c>
      <c r="G43" s="60" t="str">
        <f>IF(ISBLANK(IFERROR(INDEX('2-3 引出列表'!$A$2:$CE$8700,$A43,MATCH(G$1,'2-3 引出列表'!$A$1:$CD$1,0)),"")),"",IFERROR(INDEX('2-3 引出列表'!$A$2:$CE$8700,$A43,MATCH(G$1,'2-3 引出列表'!$A$1:$CD$1,0)),""))</f>
        <v>物料消耗.物料消耗</v>
      </c>
      <c r="H43" s="60" t="str">
        <f>IF(ISBLANK(IFERROR(INDEX('2-3 引出列表'!$A$2:$CE$8700,$A43,MATCH(H$1,'2-3 引出列表'!$A$1:$CD$1,0)),"")),"",IFERROR(INDEX('2-3 引出列表'!$A$2:$CE$8700,$A43,MATCH(H$1,'2-3 引出列表'!$A$1:$CD$1,0)),""))</f>
        <v>ZB20210901JCWZ02</v>
      </c>
      <c r="I43" s="60" t="str">
        <f>IF(ISBLANK(IFERROR(INDEX('2-3 引出列表'!$A$2:$CE$8700,$A43,MATCH(I$1,'2-3 引出列表'!$A$1:$CD$1,0)),"")),"",IFERROR(INDEX('2-3 引出列表'!$A$2:$CE$8700,$A43,MATCH(I$1,'2-3 引出列表'!$A$1:$CD$1,0)),""))</f>
        <v>金采易购</v>
      </c>
    </row>
    <row r="44" spans="1:9">
      <c r="A44">
        <v>43</v>
      </c>
      <c r="B44" s="60" t="str">
        <f>IF(ISBLANK(IFERROR(INDEX('2-3 引出列表'!$A$2:$CE$8700,$A44,MATCH(B$1,'2-3 引出列表'!$A$1:$CD$1,0)),"")),"",IFERROR(INDEX('2-3 引出列表'!$A$2:$CE$8700,$A44,MATCH(B$1,'2-3 引出列表'!$A$1:$CD$1,0)),""))</f>
        <v>FK241225000258</v>
      </c>
      <c r="C44" s="60">
        <f>IF(ISBLANK(IFERROR(INDEX('2-3 引出列表'!$A$2:$CE$8700,$A44,MATCH(C$1,'2-3 引出列表'!$A$1:$CD$1,0)),"")),"",IFERROR(INDEX('2-3 引出列表'!$A$2:$CE$8700,$A44,MATCH(C$1,'2-3 引出列表'!$A$1:$CD$1,0)),""))</f>
        <v>3485.05</v>
      </c>
      <c r="D44" s="60" t="str">
        <f>IF(ISBLANK(IFERROR(INDEX('2-3 引出列表'!$A$2:$CE$8700,$A44,MATCH(D$1,'2-3 引出列表'!$A$1:$CD$1,0)),"")),"",IFERROR(INDEX('2-3 引出列表'!$A$2:$CE$8700,$A44,MATCH(D$1,'2-3 引出列表'!$A$1:$CD$1,0)),""))</f>
        <v>已审核</v>
      </c>
      <c r="E44" s="60" t="str">
        <f>IF(ISBLANK(IFERROR(INDEX('2-3 引出列表'!$A$2:$CE$8700,$A44,MATCH(E$1,'2-3 引出列表'!$A$1:$CD$1,0)),"")),"",IFERROR(INDEX('2-3 引出列表'!$A$2:$CE$8700,$A44,MATCH(E$1,'2-3 引出列表'!$A$1:$CD$1,0)),""))</f>
        <v>2024-12-25</v>
      </c>
      <c r="F44" s="63" t="str">
        <f t="shared" si="1"/>
        <v>2024-12</v>
      </c>
      <c r="G44" s="60" t="str">
        <f>IF(ISBLANK(IFERROR(INDEX('2-3 引出列表'!$A$2:$CE$8700,$A44,MATCH(G$1,'2-3 引出列表'!$A$1:$CD$1,0)),"")),"",IFERROR(INDEX('2-3 引出列表'!$A$2:$CE$8700,$A44,MATCH(G$1,'2-3 引出列表'!$A$1:$CD$1,0)),""))</f>
        <v>物料消耗.物料消耗</v>
      </c>
      <c r="H44" s="60" t="str">
        <f>IF(ISBLANK(IFERROR(INDEX('2-3 引出列表'!$A$2:$CE$8700,$A44,MATCH(H$1,'2-3 引出列表'!$A$1:$CD$1,0)),"")),"",IFERROR(INDEX('2-3 引出列表'!$A$2:$CE$8700,$A44,MATCH(H$1,'2-3 引出列表'!$A$1:$CD$1,0)),""))</f>
        <v>ZB20210901JCWZ02</v>
      </c>
      <c r="I44" s="60" t="str">
        <f>IF(ISBLANK(IFERROR(INDEX('2-3 引出列表'!$A$2:$CE$8700,$A44,MATCH(I$1,'2-3 引出列表'!$A$1:$CD$1,0)),"")),"",IFERROR(INDEX('2-3 引出列表'!$A$2:$CE$8700,$A44,MATCH(I$1,'2-3 引出列表'!$A$1:$CD$1,0)),""))</f>
        <v>金采易购</v>
      </c>
    </row>
    <row r="45" spans="1:9">
      <c r="A45">
        <v>44</v>
      </c>
      <c r="B45" s="60" t="str">
        <f>IF(ISBLANK(IFERROR(INDEX('2-3 引出列表'!$A$2:$CE$8700,$A45,MATCH(B$1,'2-3 引出列表'!$A$1:$CD$1,0)),"")),"",IFERROR(INDEX('2-3 引出列表'!$A$2:$CE$8700,$A45,MATCH(B$1,'2-3 引出列表'!$A$1:$CD$1,0)),""))</f>
        <v>FK241225000258</v>
      </c>
      <c r="C45" s="60">
        <f>IF(ISBLANK(IFERROR(INDEX('2-3 引出列表'!$A$2:$CE$8700,$A45,MATCH(C$1,'2-3 引出列表'!$A$1:$CD$1,0)),"")),"",IFERROR(INDEX('2-3 引出列表'!$A$2:$CE$8700,$A45,MATCH(C$1,'2-3 引出列表'!$A$1:$CD$1,0)),""))</f>
        <v>3485.05</v>
      </c>
      <c r="D45" s="60" t="str">
        <f>IF(ISBLANK(IFERROR(INDEX('2-3 引出列表'!$A$2:$CE$8700,$A45,MATCH(D$1,'2-3 引出列表'!$A$1:$CD$1,0)),"")),"",IFERROR(INDEX('2-3 引出列表'!$A$2:$CE$8700,$A45,MATCH(D$1,'2-3 引出列表'!$A$1:$CD$1,0)),""))</f>
        <v>已审核</v>
      </c>
      <c r="E45" s="60" t="str">
        <f>IF(ISBLANK(IFERROR(INDEX('2-3 引出列表'!$A$2:$CE$8700,$A45,MATCH(E$1,'2-3 引出列表'!$A$1:$CD$1,0)),"")),"",IFERROR(INDEX('2-3 引出列表'!$A$2:$CE$8700,$A45,MATCH(E$1,'2-3 引出列表'!$A$1:$CD$1,0)),""))</f>
        <v>2024-12-25</v>
      </c>
      <c r="F45" s="63" t="str">
        <f t="shared" si="1"/>
        <v>2024-12</v>
      </c>
      <c r="G45" s="60" t="str">
        <f>IF(ISBLANK(IFERROR(INDEX('2-3 引出列表'!$A$2:$CE$8700,$A45,MATCH(G$1,'2-3 引出列表'!$A$1:$CD$1,0)),"")),"",IFERROR(INDEX('2-3 引出列表'!$A$2:$CE$8700,$A45,MATCH(G$1,'2-3 引出列表'!$A$1:$CD$1,0)),""))</f>
        <v>物料消耗.物料消耗</v>
      </c>
      <c r="H45" s="60" t="str">
        <f>IF(ISBLANK(IFERROR(INDEX('2-3 引出列表'!$A$2:$CE$8700,$A45,MATCH(H$1,'2-3 引出列表'!$A$1:$CD$1,0)),"")),"",IFERROR(INDEX('2-3 引出列表'!$A$2:$CE$8700,$A45,MATCH(H$1,'2-3 引出列表'!$A$1:$CD$1,0)),""))</f>
        <v>ZB20210901JCWZ02</v>
      </c>
      <c r="I45" s="60" t="str">
        <f>IF(ISBLANK(IFERROR(INDEX('2-3 引出列表'!$A$2:$CE$8700,$A45,MATCH(I$1,'2-3 引出列表'!$A$1:$CD$1,0)),"")),"",IFERROR(INDEX('2-3 引出列表'!$A$2:$CE$8700,$A45,MATCH(I$1,'2-3 引出列表'!$A$1:$CD$1,0)),""))</f>
        <v>金采易购</v>
      </c>
    </row>
    <row r="46" spans="1:9">
      <c r="A46">
        <v>45</v>
      </c>
      <c r="B46" s="60" t="str">
        <f>IF(ISBLANK(IFERROR(INDEX('2-3 引出列表'!$A$2:$CE$8700,$A46,MATCH(B$1,'2-3 引出列表'!$A$1:$CD$1,0)),"")),"",IFERROR(INDEX('2-3 引出列表'!$A$2:$CE$8700,$A46,MATCH(B$1,'2-3 引出列表'!$A$1:$CD$1,0)),""))</f>
        <v>FK241225000048</v>
      </c>
      <c r="C46" s="60">
        <f>IF(ISBLANK(IFERROR(INDEX('2-3 引出列表'!$A$2:$CE$8700,$A46,MATCH(C$1,'2-3 引出列表'!$A$1:$CD$1,0)),"")),"",IFERROR(INDEX('2-3 引出列表'!$A$2:$CE$8700,$A46,MATCH(C$1,'2-3 引出列表'!$A$1:$CD$1,0)),""))</f>
        <v>4318</v>
      </c>
      <c r="D46" s="60" t="str">
        <f>IF(ISBLANK(IFERROR(INDEX('2-3 引出列表'!$A$2:$CE$8700,$A46,MATCH(D$1,'2-3 引出列表'!$A$1:$CD$1,0)),"")),"",IFERROR(INDEX('2-3 引出列表'!$A$2:$CE$8700,$A46,MATCH(D$1,'2-3 引出列表'!$A$1:$CD$1,0)),""))</f>
        <v>已审核</v>
      </c>
      <c r="E46" s="60" t="str">
        <f>IF(ISBLANK(IFERROR(INDEX('2-3 引出列表'!$A$2:$CE$8700,$A46,MATCH(E$1,'2-3 引出列表'!$A$1:$CD$1,0)),"")),"",IFERROR(INDEX('2-3 引出列表'!$A$2:$CE$8700,$A46,MATCH(E$1,'2-3 引出列表'!$A$1:$CD$1,0)),""))</f>
        <v>2024-12-25</v>
      </c>
      <c r="F46" s="63" t="str">
        <f t="shared" si="1"/>
        <v>2024-12</v>
      </c>
      <c r="G46" s="60" t="str">
        <f>IF(ISBLANK(IFERROR(INDEX('2-3 引出列表'!$A$2:$CE$8700,$A46,MATCH(G$1,'2-3 引出列表'!$A$1:$CD$1,0)),"")),"",IFERROR(INDEX('2-3 引出列表'!$A$2:$CE$8700,$A46,MATCH(G$1,'2-3 引出列表'!$A$1:$CD$1,0)),""))</f>
        <v>物料消耗.物料消耗</v>
      </c>
      <c r="H46" s="60" t="str">
        <f>IF(ISBLANK(IFERROR(INDEX('2-3 引出列表'!$A$2:$CE$8700,$A46,MATCH(H$1,'2-3 引出列表'!$A$1:$CD$1,0)),"")),"",IFERROR(INDEX('2-3 引出列表'!$A$2:$CE$8700,$A46,MATCH(H$1,'2-3 引出列表'!$A$1:$CD$1,0)),""))</f>
        <v>ZB20220930JCWZ01</v>
      </c>
      <c r="I46" s="60" t="str">
        <f>IF(ISBLANK(IFERROR(INDEX('2-3 引出列表'!$A$2:$CE$8700,$A46,MATCH(I$1,'2-3 引出列表'!$A$1:$CD$1,0)),"")),"",IFERROR(INDEX('2-3 引出列表'!$A$2:$CE$8700,$A46,MATCH(I$1,'2-3 引出列表'!$A$1:$CD$1,0)),""))</f>
        <v>金采易购</v>
      </c>
    </row>
    <row r="47" spans="1:9">
      <c r="A47">
        <v>46</v>
      </c>
      <c r="B47" s="60" t="str">
        <f>IF(ISBLANK(IFERROR(INDEX('2-3 引出列表'!$A$2:$CE$8700,$A47,MATCH(B$1,'2-3 引出列表'!$A$1:$CD$1,0)),"")),"",IFERROR(INDEX('2-3 引出列表'!$A$2:$CE$8700,$A47,MATCH(B$1,'2-3 引出列表'!$A$1:$CD$1,0)),""))</f>
        <v>FK241225000048</v>
      </c>
      <c r="C47" s="60">
        <f>IF(ISBLANK(IFERROR(INDEX('2-3 引出列表'!$A$2:$CE$8700,$A47,MATCH(C$1,'2-3 引出列表'!$A$1:$CD$1,0)),"")),"",IFERROR(INDEX('2-3 引出列表'!$A$2:$CE$8700,$A47,MATCH(C$1,'2-3 引出列表'!$A$1:$CD$1,0)),""))</f>
        <v>4318</v>
      </c>
      <c r="D47" s="60" t="str">
        <f>IF(ISBLANK(IFERROR(INDEX('2-3 引出列表'!$A$2:$CE$8700,$A47,MATCH(D$1,'2-3 引出列表'!$A$1:$CD$1,0)),"")),"",IFERROR(INDEX('2-3 引出列表'!$A$2:$CE$8700,$A47,MATCH(D$1,'2-3 引出列表'!$A$1:$CD$1,0)),""))</f>
        <v>已审核</v>
      </c>
      <c r="E47" s="60" t="str">
        <f>IF(ISBLANK(IFERROR(INDEX('2-3 引出列表'!$A$2:$CE$8700,$A47,MATCH(E$1,'2-3 引出列表'!$A$1:$CD$1,0)),"")),"",IFERROR(INDEX('2-3 引出列表'!$A$2:$CE$8700,$A47,MATCH(E$1,'2-3 引出列表'!$A$1:$CD$1,0)),""))</f>
        <v>2024-12-25</v>
      </c>
      <c r="F47" s="63" t="str">
        <f t="shared" si="1"/>
        <v>2024-12</v>
      </c>
      <c r="G47" s="60" t="str">
        <f>IF(ISBLANK(IFERROR(INDEX('2-3 引出列表'!$A$2:$CE$8700,$A47,MATCH(G$1,'2-3 引出列表'!$A$1:$CD$1,0)),"")),"",IFERROR(INDEX('2-3 引出列表'!$A$2:$CE$8700,$A47,MATCH(G$1,'2-3 引出列表'!$A$1:$CD$1,0)),""))</f>
        <v>物料消耗.物料消耗</v>
      </c>
      <c r="H47" s="60" t="str">
        <f>IF(ISBLANK(IFERROR(INDEX('2-3 引出列表'!$A$2:$CE$8700,$A47,MATCH(H$1,'2-3 引出列表'!$A$1:$CD$1,0)),"")),"",IFERROR(INDEX('2-3 引出列表'!$A$2:$CE$8700,$A47,MATCH(H$1,'2-3 引出列表'!$A$1:$CD$1,0)),""))</f>
        <v>ZB20220930JCWZ01</v>
      </c>
      <c r="I47" s="60" t="str">
        <f>IF(ISBLANK(IFERROR(INDEX('2-3 引出列表'!$A$2:$CE$8700,$A47,MATCH(I$1,'2-3 引出列表'!$A$1:$CD$1,0)),"")),"",IFERROR(INDEX('2-3 引出列表'!$A$2:$CE$8700,$A47,MATCH(I$1,'2-3 引出列表'!$A$1:$CD$1,0)),""))</f>
        <v>金采易购</v>
      </c>
    </row>
    <row r="48" spans="1:9">
      <c r="A48">
        <v>47</v>
      </c>
      <c r="B48" s="60" t="str">
        <f>IF(ISBLANK(IFERROR(INDEX('2-3 引出列表'!$A$2:$CE$8700,$A48,MATCH(B$1,'2-3 引出列表'!$A$1:$CD$1,0)),"")),"",IFERROR(INDEX('2-3 引出列表'!$A$2:$CE$8700,$A48,MATCH(B$1,'2-3 引出列表'!$A$1:$CD$1,0)),""))</f>
        <v>FK241225000048</v>
      </c>
      <c r="C48" s="60">
        <f>IF(ISBLANK(IFERROR(INDEX('2-3 引出列表'!$A$2:$CE$8700,$A48,MATCH(C$1,'2-3 引出列表'!$A$1:$CD$1,0)),"")),"",IFERROR(INDEX('2-3 引出列表'!$A$2:$CE$8700,$A48,MATCH(C$1,'2-3 引出列表'!$A$1:$CD$1,0)),""))</f>
        <v>4318</v>
      </c>
      <c r="D48" s="60" t="str">
        <f>IF(ISBLANK(IFERROR(INDEX('2-3 引出列表'!$A$2:$CE$8700,$A48,MATCH(D$1,'2-3 引出列表'!$A$1:$CD$1,0)),"")),"",IFERROR(INDEX('2-3 引出列表'!$A$2:$CE$8700,$A48,MATCH(D$1,'2-3 引出列表'!$A$1:$CD$1,0)),""))</f>
        <v>已审核</v>
      </c>
      <c r="E48" s="60" t="str">
        <f>IF(ISBLANK(IFERROR(INDEX('2-3 引出列表'!$A$2:$CE$8700,$A48,MATCH(E$1,'2-3 引出列表'!$A$1:$CD$1,0)),"")),"",IFERROR(INDEX('2-3 引出列表'!$A$2:$CE$8700,$A48,MATCH(E$1,'2-3 引出列表'!$A$1:$CD$1,0)),""))</f>
        <v>2024-12-25</v>
      </c>
      <c r="F48" s="63" t="str">
        <f t="shared" si="1"/>
        <v>2024-12</v>
      </c>
      <c r="G48" s="60" t="str">
        <f>IF(ISBLANK(IFERROR(INDEX('2-3 引出列表'!$A$2:$CE$8700,$A48,MATCH(G$1,'2-3 引出列表'!$A$1:$CD$1,0)),"")),"",IFERROR(INDEX('2-3 引出列表'!$A$2:$CE$8700,$A48,MATCH(G$1,'2-3 引出列表'!$A$1:$CD$1,0)),""))</f>
        <v>物料消耗.物料消耗</v>
      </c>
      <c r="H48" s="60" t="str">
        <f>IF(ISBLANK(IFERROR(INDEX('2-3 引出列表'!$A$2:$CE$8700,$A48,MATCH(H$1,'2-3 引出列表'!$A$1:$CD$1,0)),"")),"",IFERROR(INDEX('2-3 引出列表'!$A$2:$CE$8700,$A48,MATCH(H$1,'2-3 引出列表'!$A$1:$CD$1,0)),""))</f>
        <v>ZB20220930JCWZ01</v>
      </c>
      <c r="I48" s="60" t="str">
        <f>IF(ISBLANK(IFERROR(INDEX('2-3 引出列表'!$A$2:$CE$8700,$A48,MATCH(I$1,'2-3 引出列表'!$A$1:$CD$1,0)),"")),"",IFERROR(INDEX('2-3 引出列表'!$A$2:$CE$8700,$A48,MATCH(I$1,'2-3 引出列表'!$A$1:$CD$1,0)),""))</f>
        <v>金采易购</v>
      </c>
    </row>
    <row r="49" spans="1:9">
      <c r="A49">
        <v>48</v>
      </c>
      <c r="B49" s="60" t="str">
        <f>IF(ISBLANK(IFERROR(INDEX('2-3 引出列表'!$A$2:$CE$8700,$A49,MATCH(B$1,'2-3 引出列表'!$A$1:$CD$1,0)),"")),"",IFERROR(INDEX('2-3 引出列表'!$A$2:$CE$8700,$A49,MATCH(B$1,'2-3 引出列表'!$A$1:$CD$1,0)),""))</f>
        <v>FK241225000048</v>
      </c>
      <c r="C49" s="60">
        <f>IF(ISBLANK(IFERROR(INDEX('2-3 引出列表'!$A$2:$CE$8700,$A49,MATCH(C$1,'2-3 引出列表'!$A$1:$CD$1,0)),"")),"",IFERROR(INDEX('2-3 引出列表'!$A$2:$CE$8700,$A49,MATCH(C$1,'2-3 引出列表'!$A$1:$CD$1,0)),""))</f>
        <v>4318</v>
      </c>
      <c r="D49" s="60" t="str">
        <f>IF(ISBLANK(IFERROR(INDEX('2-3 引出列表'!$A$2:$CE$8700,$A49,MATCH(D$1,'2-3 引出列表'!$A$1:$CD$1,0)),"")),"",IFERROR(INDEX('2-3 引出列表'!$A$2:$CE$8700,$A49,MATCH(D$1,'2-3 引出列表'!$A$1:$CD$1,0)),""))</f>
        <v>已审核</v>
      </c>
      <c r="E49" s="60" t="str">
        <f>IF(ISBLANK(IFERROR(INDEX('2-3 引出列表'!$A$2:$CE$8700,$A49,MATCH(E$1,'2-3 引出列表'!$A$1:$CD$1,0)),"")),"",IFERROR(INDEX('2-3 引出列表'!$A$2:$CE$8700,$A49,MATCH(E$1,'2-3 引出列表'!$A$1:$CD$1,0)),""))</f>
        <v>2024-12-25</v>
      </c>
      <c r="F49" s="63" t="str">
        <f t="shared" si="1"/>
        <v>2024-12</v>
      </c>
      <c r="G49" s="60" t="str">
        <f>IF(ISBLANK(IFERROR(INDEX('2-3 引出列表'!$A$2:$CE$8700,$A49,MATCH(G$1,'2-3 引出列表'!$A$1:$CD$1,0)),"")),"",IFERROR(INDEX('2-3 引出列表'!$A$2:$CE$8700,$A49,MATCH(G$1,'2-3 引出列表'!$A$1:$CD$1,0)),""))</f>
        <v>物料消耗.物料消耗</v>
      </c>
      <c r="H49" s="60" t="str">
        <f>IF(ISBLANK(IFERROR(INDEX('2-3 引出列表'!$A$2:$CE$8700,$A49,MATCH(H$1,'2-3 引出列表'!$A$1:$CD$1,0)),"")),"",IFERROR(INDEX('2-3 引出列表'!$A$2:$CE$8700,$A49,MATCH(H$1,'2-3 引出列表'!$A$1:$CD$1,0)),""))</f>
        <v>ZB20220930JCWZ01</v>
      </c>
      <c r="I49" s="60" t="str">
        <f>IF(ISBLANK(IFERROR(INDEX('2-3 引出列表'!$A$2:$CE$8700,$A49,MATCH(I$1,'2-3 引出列表'!$A$1:$CD$1,0)),"")),"",IFERROR(INDEX('2-3 引出列表'!$A$2:$CE$8700,$A49,MATCH(I$1,'2-3 引出列表'!$A$1:$CD$1,0)),""))</f>
        <v>金采易购</v>
      </c>
    </row>
    <row r="50" spans="1:9">
      <c r="A50">
        <v>49</v>
      </c>
      <c r="B50" s="60" t="str">
        <f>IF(ISBLANK(IFERROR(INDEX('2-3 引出列表'!$A$2:$CE$8700,$A50,MATCH(B$1,'2-3 引出列表'!$A$1:$CD$1,0)),"")),"",IFERROR(INDEX('2-3 引出列表'!$A$2:$CE$8700,$A50,MATCH(B$1,'2-3 引出列表'!$A$1:$CD$1,0)),""))</f>
        <v>FK241224000590</v>
      </c>
      <c r="C50" s="60">
        <f>IF(ISBLANK(IFERROR(INDEX('2-3 引出列表'!$A$2:$CE$8700,$A50,MATCH(C$1,'2-3 引出列表'!$A$1:$CD$1,0)),"")),"",IFERROR(INDEX('2-3 引出列表'!$A$2:$CE$8700,$A50,MATCH(C$1,'2-3 引出列表'!$A$1:$CD$1,0)),""))</f>
        <v>3801.32</v>
      </c>
      <c r="D50" s="60" t="str">
        <f>IF(ISBLANK(IFERROR(INDEX('2-3 引出列表'!$A$2:$CE$8700,$A50,MATCH(D$1,'2-3 引出列表'!$A$1:$CD$1,0)),"")),"",IFERROR(INDEX('2-3 引出列表'!$A$2:$CE$8700,$A50,MATCH(D$1,'2-3 引出列表'!$A$1:$CD$1,0)),""))</f>
        <v>已审核</v>
      </c>
      <c r="E50" s="60" t="str">
        <f>IF(ISBLANK(IFERROR(INDEX('2-3 引出列表'!$A$2:$CE$8700,$A50,MATCH(E$1,'2-3 引出列表'!$A$1:$CD$1,0)),"")),"",IFERROR(INDEX('2-3 引出列表'!$A$2:$CE$8700,$A50,MATCH(E$1,'2-3 引出列表'!$A$1:$CD$1,0)),""))</f>
        <v>2024-12-24</v>
      </c>
      <c r="F50" s="63" t="str">
        <f t="shared" si="1"/>
        <v>2024-12</v>
      </c>
      <c r="G50" s="60" t="str">
        <f>IF(ISBLANK(IFERROR(INDEX('2-3 引出列表'!$A$2:$CE$8700,$A50,MATCH(G$1,'2-3 引出列表'!$A$1:$CD$1,0)),"")),"",IFERROR(INDEX('2-3 引出列表'!$A$2:$CE$8700,$A50,MATCH(G$1,'2-3 引出列表'!$A$1:$CD$1,0)),""))</f>
        <v>物料消耗.物料消耗</v>
      </c>
      <c r="H50" s="60" t="str">
        <f>IF(ISBLANK(IFERROR(INDEX('2-3 引出列表'!$A$2:$CE$8700,$A50,MATCH(H$1,'2-3 引出列表'!$A$1:$CD$1,0)),"")),"",IFERROR(INDEX('2-3 引出列表'!$A$2:$CE$8700,$A50,MATCH(H$1,'2-3 引出列表'!$A$1:$CD$1,0)),""))</f>
        <v>XHWZ-Z-2024-0138</v>
      </c>
      <c r="I50" s="60" t="str">
        <f>IF(ISBLANK(IFERROR(INDEX('2-3 引出列表'!$A$2:$CE$8700,$A50,MATCH(I$1,'2-3 引出列表'!$A$1:$CD$1,0)),"")),"",IFERROR(INDEX('2-3 引出列表'!$A$2:$CE$8700,$A50,MATCH(I$1,'2-3 引出列表'!$A$1:$CD$1,0)),""))</f>
        <v>金采易购</v>
      </c>
    </row>
    <row r="51" spans="1:9">
      <c r="A51">
        <v>50</v>
      </c>
      <c r="B51" s="60" t="str">
        <f>IF(ISBLANK(IFERROR(INDEX('2-3 引出列表'!$A$2:$CE$8700,$A51,MATCH(B$1,'2-3 引出列表'!$A$1:$CD$1,0)),"")),"",IFERROR(INDEX('2-3 引出列表'!$A$2:$CE$8700,$A51,MATCH(B$1,'2-3 引出列表'!$A$1:$CD$1,0)),""))</f>
        <v>FK241224000590</v>
      </c>
      <c r="C51" s="60">
        <f>IF(ISBLANK(IFERROR(INDEX('2-3 引出列表'!$A$2:$CE$8700,$A51,MATCH(C$1,'2-3 引出列表'!$A$1:$CD$1,0)),"")),"",IFERROR(INDEX('2-3 引出列表'!$A$2:$CE$8700,$A51,MATCH(C$1,'2-3 引出列表'!$A$1:$CD$1,0)),""))</f>
        <v>3801.32</v>
      </c>
      <c r="D51" s="60" t="str">
        <f>IF(ISBLANK(IFERROR(INDEX('2-3 引出列表'!$A$2:$CE$8700,$A51,MATCH(D$1,'2-3 引出列表'!$A$1:$CD$1,0)),"")),"",IFERROR(INDEX('2-3 引出列表'!$A$2:$CE$8700,$A51,MATCH(D$1,'2-3 引出列表'!$A$1:$CD$1,0)),""))</f>
        <v>已审核</v>
      </c>
      <c r="E51" s="60" t="str">
        <f>IF(ISBLANK(IFERROR(INDEX('2-3 引出列表'!$A$2:$CE$8700,$A51,MATCH(E$1,'2-3 引出列表'!$A$1:$CD$1,0)),"")),"",IFERROR(INDEX('2-3 引出列表'!$A$2:$CE$8700,$A51,MATCH(E$1,'2-3 引出列表'!$A$1:$CD$1,0)),""))</f>
        <v>2024-12-24</v>
      </c>
      <c r="F51" s="63" t="str">
        <f t="shared" si="1"/>
        <v>2024-12</v>
      </c>
      <c r="G51" s="60" t="str">
        <f>IF(ISBLANK(IFERROR(INDEX('2-3 引出列表'!$A$2:$CE$8700,$A51,MATCH(G$1,'2-3 引出列表'!$A$1:$CD$1,0)),"")),"",IFERROR(INDEX('2-3 引出列表'!$A$2:$CE$8700,$A51,MATCH(G$1,'2-3 引出列表'!$A$1:$CD$1,0)),""))</f>
        <v>物料消耗.物料消耗</v>
      </c>
      <c r="H51" s="60" t="str">
        <f>IF(ISBLANK(IFERROR(INDEX('2-3 引出列表'!$A$2:$CE$8700,$A51,MATCH(H$1,'2-3 引出列表'!$A$1:$CD$1,0)),"")),"",IFERROR(INDEX('2-3 引出列表'!$A$2:$CE$8700,$A51,MATCH(H$1,'2-3 引出列表'!$A$1:$CD$1,0)),""))</f>
        <v>XHWZ-Z-2024-0138</v>
      </c>
      <c r="I51" s="60" t="str">
        <f>IF(ISBLANK(IFERROR(INDEX('2-3 引出列表'!$A$2:$CE$8700,$A51,MATCH(I$1,'2-3 引出列表'!$A$1:$CD$1,0)),"")),"",IFERROR(INDEX('2-3 引出列表'!$A$2:$CE$8700,$A51,MATCH(I$1,'2-3 引出列表'!$A$1:$CD$1,0)),""))</f>
        <v>金采易购</v>
      </c>
    </row>
    <row r="52" spans="1:9">
      <c r="A52">
        <v>51</v>
      </c>
      <c r="B52" s="60" t="str">
        <f>IF(ISBLANK(IFERROR(INDEX('2-3 引出列表'!$A$2:$CE$8700,$A52,MATCH(B$1,'2-3 引出列表'!$A$1:$CD$1,0)),"")),"",IFERROR(INDEX('2-3 引出列表'!$A$2:$CE$8700,$A52,MATCH(B$1,'2-3 引出列表'!$A$1:$CD$1,0)),""))</f>
        <v>FK241224000590</v>
      </c>
      <c r="C52" s="60">
        <f>IF(ISBLANK(IFERROR(INDEX('2-3 引出列表'!$A$2:$CE$8700,$A52,MATCH(C$1,'2-3 引出列表'!$A$1:$CD$1,0)),"")),"",IFERROR(INDEX('2-3 引出列表'!$A$2:$CE$8700,$A52,MATCH(C$1,'2-3 引出列表'!$A$1:$CD$1,0)),""))</f>
        <v>3801.32</v>
      </c>
      <c r="D52" s="60" t="str">
        <f>IF(ISBLANK(IFERROR(INDEX('2-3 引出列表'!$A$2:$CE$8700,$A52,MATCH(D$1,'2-3 引出列表'!$A$1:$CD$1,0)),"")),"",IFERROR(INDEX('2-3 引出列表'!$A$2:$CE$8700,$A52,MATCH(D$1,'2-3 引出列表'!$A$1:$CD$1,0)),""))</f>
        <v>已审核</v>
      </c>
      <c r="E52" s="60" t="str">
        <f>IF(ISBLANK(IFERROR(INDEX('2-3 引出列表'!$A$2:$CE$8700,$A52,MATCH(E$1,'2-3 引出列表'!$A$1:$CD$1,0)),"")),"",IFERROR(INDEX('2-3 引出列表'!$A$2:$CE$8700,$A52,MATCH(E$1,'2-3 引出列表'!$A$1:$CD$1,0)),""))</f>
        <v>2024-12-24</v>
      </c>
      <c r="F52" s="63" t="str">
        <f t="shared" si="1"/>
        <v>2024-12</v>
      </c>
      <c r="G52" s="60" t="str">
        <f>IF(ISBLANK(IFERROR(INDEX('2-3 引出列表'!$A$2:$CE$8700,$A52,MATCH(G$1,'2-3 引出列表'!$A$1:$CD$1,0)),"")),"",IFERROR(INDEX('2-3 引出列表'!$A$2:$CE$8700,$A52,MATCH(G$1,'2-3 引出列表'!$A$1:$CD$1,0)),""))</f>
        <v>物料消耗.物料消耗</v>
      </c>
      <c r="H52" s="60" t="str">
        <f>IF(ISBLANK(IFERROR(INDEX('2-3 引出列表'!$A$2:$CE$8700,$A52,MATCH(H$1,'2-3 引出列表'!$A$1:$CD$1,0)),"")),"",IFERROR(INDEX('2-3 引出列表'!$A$2:$CE$8700,$A52,MATCH(H$1,'2-3 引出列表'!$A$1:$CD$1,0)),""))</f>
        <v>XHWZ-Z-2024-0138</v>
      </c>
      <c r="I52" s="60" t="str">
        <f>IF(ISBLANK(IFERROR(INDEX('2-3 引出列表'!$A$2:$CE$8700,$A52,MATCH(I$1,'2-3 引出列表'!$A$1:$CD$1,0)),"")),"",IFERROR(INDEX('2-3 引出列表'!$A$2:$CE$8700,$A52,MATCH(I$1,'2-3 引出列表'!$A$1:$CD$1,0)),""))</f>
        <v>金采易购</v>
      </c>
    </row>
    <row r="53" spans="1:9">
      <c r="A53">
        <v>52</v>
      </c>
      <c r="B53" s="60" t="str">
        <f>IF(ISBLANK(IFERROR(INDEX('2-3 引出列表'!$A$2:$CE$8700,$A53,MATCH(B$1,'2-3 引出列表'!$A$1:$CD$1,0)),"")),"",IFERROR(INDEX('2-3 引出列表'!$A$2:$CE$8700,$A53,MATCH(B$1,'2-3 引出列表'!$A$1:$CD$1,0)),""))</f>
        <v>FK241224000590</v>
      </c>
      <c r="C53" s="60">
        <f>IF(ISBLANK(IFERROR(INDEX('2-3 引出列表'!$A$2:$CE$8700,$A53,MATCH(C$1,'2-3 引出列表'!$A$1:$CD$1,0)),"")),"",IFERROR(INDEX('2-3 引出列表'!$A$2:$CE$8700,$A53,MATCH(C$1,'2-3 引出列表'!$A$1:$CD$1,0)),""))</f>
        <v>3801.32</v>
      </c>
      <c r="D53" s="60" t="str">
        <f>IF(ISBLANK(IFERROR(INDEX('2-3 引出列表'!$A$2:$CE$8700,$A53,MATCH(D$1,'2-3 引出列表'!$A$1:$CD$1,0)),"")),"",IFERROR(INDEX('2-3 引出列表'!$A$2:$CE$8700,$A53,MATCH(D$1,'2-3 引出列表'!$A$1:$CD$1,0)),""))</f>
        <v>已审核</v>
      </c>
      <c r="E53" s="60" t="str">
        <f>IF(ISBLANK(IFERROR(INDEX('2-3 引出列表'!$A$2:$CE$8700,$A53,MATCH(E$1,'2-3 引出列表'!$A$1:$CD$1,0)),"")),"",IFERROR(INDEX('2-3 引出列表'!$A$2:$CE$8700,$A53,MATCH(E$1,'2-3 引出列表'!$A$1:$CD$1,0)),""))</f>
        <v>2024-12-24</v>
      </c>
      <c r="F53" s="63" t="str">
        <f t="shared" si="1"/>
        <v>2024-12</v>
      </c>
      <c r="G53" s="60" t="str">
        <f>IF(ISBLANK(IFERROR(INDEX('2-3 引出列表'!$A$2:$CE$8700,$A53,MATCH(G$1,'2-3 引出列表'!$A$1:$CD$1,0)),"")),"",IFERROR(INDEX('2-3 引出列表'!$A$2:$CE$8700,$A53,MATCH(G$1,'2-3 引出列表'!$A$1:$CD$1,0)),""))</f>
        <v>物料消耗.物料消耗</v>
      </c>
      <c r="H53" s="60" t="str">
        <f>IF(ISBLANK(IFERROR(INDEX('2-3 引出列表'!$A$2:$CE$8700,$A53,MATCH(H$1,'2-3 引出列表'!$A$1:$CD$1,0)),"")),"",IFERROR(INDEX('2-3 引出列表'!$A$2:$CE$8700,$A53,MATCH(H$1,'2-3 引出列表'!$A$1:$CD$1,0)),""))</f>
        <v>XHWZ-Z-2024-0138</v>
      </c>
      <c r="I53" s="60" t="str">
        <f>IF(ISBLANK(IFERROR(INDEX('2-3 引出列表'!$A$2:$CE$8700,$A53,MATCH(I$1,'2-3 引出列表'!$A$1:$CD$1,0)),"")),"",IFERROR(INDEX('2-3 引出列表'!$A$2:$CE$8700,$A53,MATCH(I$1,'2-3 引出列表'!$A$1:$CD$1,0)),""))</f>
        <v>金采易购</v>
      </c>
    </row>
    <row r="54" spans="1:9">
      <c r="A54">
        <v>53</v>
      </c>
      <c r="B54" s="60" t="str">
        <f>IF(ISBLANK(IFERROR(INDEX('2-3 引出列表'!$A$2:$CE$8700,$A54,MATCH(B$1,'2-3 引出列表'!$A$1:$CD$1,0)),"")),"",IFERROR(INDEX('2-3 引出列表'!$A$2:$CE$8700,$A54,MATCH(B$1,'2-3 引出列表'!$A$1:$CD$1,0)),""))</f>
        <v>FK241224000590</v>
      </c>
      <c r="C54" s="60">
        <f>IF(ISBLANK(IFERROR(INDEX('2-3 引出列表'!$A$2:$CE$8700,$A54,MATCH(C$1,'2-3 引出列表'!$A$1:$CD$1,0)),"")),"",IFERROR(INDEX('2-3 引出列表'!$A$2:$CE$8700,$A54,MATCH(C$1,'2-3 引出列表'!$A$1:$CD$1,0)),""))</f>
        <v>3801.32</v>
      </c>
      <c r="D54" s="60" t="str">
        <f>IF(ISBLANK(IFERROR(INDEX('2-3 引出列表'!$A$2:$CE$8700,$A54,MATCH(D$1,'2-3 引出列表'!$A$1:$CD$1,0)),"")),"",IFERROR(INDEX('2-3 引出列表'!$A$2:$CE$8700,$A54,MATCH(D$1,'2-3 引出列表'!$A$1:$CD$1,0)),""))</f>
        <v>已审核</v>
      </c>
      <c r="E54" s="60" t="str">
        <f>IF(ISBLANK(IFERROR(INDEX('2-3 引出列表'!$A$2:$CE$8700,$A54,MATCH(E$1,'2-3 引出列表'!$A$1:$CD$1,0)),"")),"",IFERROR(INDEX('2-3 引出列表'!$A$2:$CE$8700,$A54,MATCH(E$1,'2-3 引出列表'!$A$1:$CD$1,0)),""))</f>
        <v>2024-12-24</v>
      </c>
      <c r="F54" s="63" t="str">
        <f t="shared" si="1"/>
        <v>2024-12</v>
      </c>
      <c r="G54" s="60" t="str">
        <f>IF(ISBLANK(IFERROR(INDEX('2-3 引出列表'!$A$2:$CE$8700,$A54,MATCH(G$1,'2-3 引出列表'!$A$1:$CD$1,0)),"")),"",IFERROR(INDEX('2-3 引出列表'!$A$2:$CE$8700,$A54,MATCH(G$1,'2-3 引出列表'!$A$1:$CD$1,0)),""))</f>
        <v>物料消耗.物料消耗</v>
      </c>
      <c r="H54" s="60" t="str">
        <f>IF(ISBLANK(IFERROR(INDEX('2-3 引出列表'!$A$2:$CE$8700,$A54,MATCH(H$1,'2-3 引出列表'!$A$1:$CD$1,0)),"")),"",IFERROR(INDEX('2-3 引出列表'!$A$2:$CE$8700,$A54,MATCH(H$1,'2-3 引出列表'!$A$1:$CD$1,0)),""))</f>
        <v>XHWZ-Z-2024-0138</v>
      </c>
      <c r="I54" s="60" t="str">
        <f>IF(ISBLANK(IFERROR(INDEX('2-3 引出列表'!$A$2:$CE$8700,$A54,MATCH(I$1,'2-3 引出列表'!$A$1:$CD$1,0)),"")),"",IFERROR(INDEX('2-3 引出列表'!$A$2:$CE$8700,$A54,MATCH(I$1,'2-3 引出列表'!$A$1:$CD$1,0)),""))</f>
        <v>金采易购</v>
      </c>
    </row>
    <row r="55" spans="1:9">
      <c r="A55">
        <v>54</v>
      </c>
      <c r="B55" s="60" t="str">
        <f>IF(ISBLANK(IFERROR(INDEX('2-3 引出列表'!$A$2:$CE$8700,$A55,MATCH(B$1,'2-3 引出列表'!$A$1:$CD$1,0)),"")),"",IFERROR(INDEX('2-3 引出列表'!$A$2:$CE$8700,$A55,MATCH(B$1,'2-3 引出列表'!$A$1:$CD$1,0)),""))</f>
        <v>FK241224000505</v>
      </c>
      <c r="C55" s="60">
        <f>IF(ISBLANK(IFERROR(INDEX('2-3 引出列表'!$A$2:$CE$8700,$A55,MATCH(C$1,'2-3 引出列表'!$A$1:$CD$1,0)),"")),"",IFERROR(INDEX('2-3 引出列表'!$A$2:$CE$8700,$A55,MATCH(C$1,'2-3 引出列表'!$A$1:$CD$1,0)),""))</f>
        <v>2850</v>
      </c>
      <c r="D55" s="60" t="str">
        <f>IF(ISBLANK(IFERROR(INDEX('2-3 引出列表'!$A$2:$CE$8700,$A55,MATCH(D$1,'2-3 引出列表'!$A$1:$CD$1,0)),"")),"",IFERROR(INDEX('2-3 引出列表'!$A$2:$CE$8700,$A55,MATCH(D$1,'2-3 引出列表'!$A$1:$CD$1,0)),""))</f>
        <v>暂存</v>
      </c>
      <c r="E55" s="60" t="str">
        <f>IF(ISBLANK(IFERROR(INDEX('2-3 引出列表'!$A$2:$CE$8700,$A55,MATCH(E$1,'2-3 引出列表'!$A$1:$CD$1,0)),"")),"",IFERROR(INDEX('2-3 引出列表'!$A$2:$CE$8700,$A55,MATCH(E$1,'2-3 引出列表'!$A$1:$CD$1,0)),""))</f>
        <v>2024-12-24</v>
      </c>
      <c r="F55" s="63" t="str">
        <f t="shared" si="1"/>
        <v>2024-12</v>
      </c>
      <c r="G55" s="60" t="str">
        <f>IF(ISBLANK(IFERROR(INDEX('2-3 引出列表'!$A$2:$CE$8700,$A55,MATCH(G$1,'2-3 引出列表'!$A$1:$CD$1,0)),"")),"",IFERROR(INDEX('2-3 引出列表'!$A$2:$CE$8700,$A55,MATCH(G$1,'2-3 引出列表'!$A$1:$CD$1,0)),""))</f>
        <v>外包服务费.电梯维保外包</v>
      </c>
      <c r="H55" s="60" t="str">
        <f>IF(ISBLANK(IFERROR(INDEX('2-3 引出列表'!$A$2:$CE$8700,$A55,MATCH(H$1,'2-3 引出列表'!$A$1:$CD$1,0)),"")),"",IFERROR(INDEX('2-3 引出列表'!$A$2:$CE$8700,$A55,MATCH(H$1,'2-3 引出列表'!$A$1:$CD$1,0)),""))</f>
        <v>GCFW-Z-2024-3587</v>
      </c>
      <c r="I55" s="60" t="str">
        <f>IF(ISBLANK(IFERROR(INDEX('2-3 引出列表'!$A$2:$CE$8700,$A55,MATCH(I$1,'2-3 引出列表'!$A$1:$CD$1,0)),"")),"",IFERROR(INDEX('2-3 引出列表'!$A$2:$CE$8700,$A55,MATCH(I$1,'2-3 引出列表'!$A$1:$CD$1,0)),""))</f>
        <v>金采易购</v>
      </c>
    </row>
    <row r="56" spans="1:9">
      <c r="A56">
        <v>55</v>
      </c>
      <c r="B56" s="60" t="str">
        <f>IF(ISBLANK(IFERROR(INDEX('2-3 引出列表'!$A$2:$CE$8700,$A56,MATCH(B$1,'2-3 引出列表'!$A$1:$CD$1,0)),"")),"",IFERROR(INDEX('2-3 引出列表'!$A$2:$CE$8700,$A56,MATCH(B$1,'2-3 引出列表'!$A$1:$CD$1,0)),""))</f>
        <v>FK241224000505</v>
      </c>
      <c r="C56" s="60">
        <f>IF(ISBLANK(IFERROR(INDEX('2-3 引出列表'!$A$2:$CE$8700,$A56,MATCH(C$1,'2-3 引出列表'!$A$1:$CD$1,0)),"")),"",IFERROR(INDEX('2-3 引出列表'!$A$2:$CE$8700,$A56,MATCH(C$1,'2-3 引出列表'!$A$1:$CD$1,0)),""))</f>
        <v>2850</v>
      </c>
      <c r="D56" s="60" t="str">
        <f>IF(ISBLANK(IFERROR(INDEX('2-3 引出列表'!$A$2:$CE$8700,$A56,MATCH(D$1,'2-3 引出列表'!$A$1:$CD$1,0)),"")),"",IFERROR(INDEX('2-3 引出列表'!$A$2:$CE$8700,$A56,MATCH(D$1,'2-3 引出列表'!$A$1:$CD$1,0)),""))</f>
        <v>暂存</v>
      </c>
      <c r="E56" s="60" t="str">
        <f>IF(ISBLANK(IFERROR(INDEX('2-3 引出列表'!$A$2:$CE$8700,$A56,MATCH(E$1,'2-3 引出列表'!$A$1:$CD$1,0)),"")),"",IFERROR(INDEX('2-3 引出列表'!$A$2:$CE$8700,$A56,MATCH(E$1,'2-3 引出列表'!$A$1:$CD$1,0)),""))</f>
        <v>2024-12-24</v>
      </c>
      <c r="F56" s="63" t="str">
        <f t="shared" si="1"/>
        <v>2024-12</v>
      </c>
      <c r="G56" s="60" t="str">
        <f>IF(ISBLANK(IFERROR(INDEX('2-3 引出列表'!$A$2:$CE$8700,$A56,MATCH(G$1,'2-3 引出列表'!$A$1:$CD$1,0)),"")),"",IFERROR(INDEX('2-3 引出列表'!$A$2:$CE$8700,$A56,MATCH(G$1,'2-3 引出列表'!$A$1:$CD$1,0)),""))</f>
        <v>外包服务费.电梯维保外包</v>
      </c>
      <c r="H56" s="60" t="str">
        <f>IF(ISBLANK(IFERROR(INDEX('2-3 引出列表'!$A$2:$CE$8700,$A56,MATCH(H$1,'2-3 引出列表'!$A$1:$CD$1,0)),"")),"",IFERROR(INDEX('2-3 引出列表'!$A$2:$CE$8700,$A56,MATCH(H$1,'2-3 引出列表'!$A$1:$CD$1,0)),""))</f>
        <v>GCFW-Z-2024-3587</v>
      </c>
      <c r="I56" s="60" t="str">
        <f>IF(ISBLANK(IFERROR(INDEX('2-3 引出列表'!$A$2:$CE$8700,$A56,MATCH(I$1,'2-3 引出列表'!$A$1:$CD$1,0)),"")),"",IFERROR(INDEX('2-3 引出列表'!$A$2:$CE$8700,$A56,MATCH(I$1,'2-3 引出列表'!$A$1:$CD$1,0)),""))</f>
        <v>金采易购</v>
      </c>
    </row>
    <row r="57" spans="1:9">
      <c r="A57">
        <v>56</v>
      </c>
      <c r="B57" s="60" t="str">
        <f>IF(ISBLANK(IFERROR(INDEX('2-3 引出列表'!$A$2:$CE$8700,$A57,MATCH(B$1,'2-3 引出列表'!$A$1:$CD$1,0)),"")),"",IFERROR(INDEX('2-3 引出列表'!$A$2:$CE$8700,$A57,MATCH(B$1,'2-3 引出列表'!$A$1:$CD$1,0)),""))</f>
        <v>FK241224000505</v>
      </c>
      <c r="C57" s="60">
        <f>IF(ISBLANK(IFERROR(INDEX('2-3 引出列表'!$A$2:$CE$8700,$A57,MATCH(C$1,'2-3 引出列表'!$A$1:$CD$1,0)),"")),"",IFERROR(INDEX('2-3 引出列表'!$A$2:$CE$8700,$A57,MATCH(C$1,'2-3 引出列表'!$A$1:$CD$1,0)),""))</f>
        <v>2850</v>
      </c>
      <c r="D57" s="60" t="str">
        <f>IF(ISBLANK(IFERROR(INDEX('2-3 引出列表'!$A$2:$CE$8700,$A57,MATCH(D$1,'2-3 引出列表'!$A$1:$CD$1,0)),"")),"",IFERROR(INDEX('2-3 引出列表'!$A$2:$CE$8700,$A57,MATCH(D$1,'2-3 引出列表'!$A$1:$CD$1,0)),""))</f>
        <v>暂存</v>
      </c>
      <c r="E57" s="60" t="str">
        <f>IF(ISBLANK(IFERROR(INDEX('2-3 引出列表'!$A$2:$CE$8700,$A57,MATCH(E$1,'2-3 引出列表'!$A$1:$CD$1,0)),"")),"",IFERROR(INDEX('2-3 引出列表'!$A$2:$CE$8700,$A57,MATCH(E$1,'2-3 引出列表'!$A$1:$CD$1,0)),""))</f>
        <v>2024-12-24</v>
      </c>
      <c r="F57" s="63" t="str">
        <f t="shared" si="1"/>
        <v>2024-12</v>
      </c>
      <c r="G57" s="60" t="str">
        <f>IF(ISBLANK(IFERROR(INDEX('2-3 引出列表'!$A$2:$CE$8700,$A57,MATCH(G$1,'2-3 引出列表'!$A$1:$CD$1,0)),"")),"",IFERROR(INDEX('2-3 引出列表'!$A$2:$CE$8700,$A57,MATCH(G$1,'2-3 引出列表'!$A$1:$CD$1,0)),""))</f>
        <v>外包服务费.电梯维保外包</v>
      </c>
      <c r="H57" s="60" t="str">
        <f>IF(ISBLANK(IFERROR(INDEX('2-3 引出列表'!$A$2:$CE$8700,$A57,MATCH(H$1,'2-3 引出列表'!$A$1:$CD$1,0)),"")),"",IFERROR(INDEX('2-3 引出列表'!$A$2:$CE$8700,$A57,MATCH(H$1,'2-3 引出列表'!$A$1:$CD$1,0)),""))</f>
        <v>GCFW-Z-2024-3587</v>
      </c>
      <c r="I57" s="60" t="str">
        <f>IF(ISBLANK(IFERROR(INDEX('2-3 引出列表'!$A$2:$CE$8700,$A57,MATCH(I$1,'2-3 引出列表'!$A$1:$CD$1,0)),"")),"",IFERROR(INDEX('2-3 引出列表'!$A$2:$CE$8700,$A57,MATCH(I$1,'2-3 引出列表'!$A$1:$CD$1,0)),""))</f>
        <v>金采易购</v>
      </c>
    </row>
    <row r="58" spans="1:9">
      <c r="A58">
        <v>57</v>
      </c>
      <c r="B58" s="60" t="str">
        <f>IF(ISBLANK(IFERROR(INDEX('2-3 引出列表'!$A$2:$CE$8700,$A58,MATCH(B$1,'2-3 引出列表'!$A$1:$CD$1,0)),"")),"",IFERROR(INDEX('2-3 引出列表'!$A$2:$CE$8700,$A58,MATCH(B$1,'2-3 引出列表'!$A$1:$CD$1,0)),""))</f>
        <v>FK241224000260</v>
      </c>
      <c r="C58" s="60">
        <f>IF(ISBLANK(IFERROR(INDEX('2-3 引出列表'!$A$2:$CE$8700,$A58,MATCH(C$1,'2-3 引出列表'!$A$1:$CD$1,0)),"")),"",IFERROR(INDEX('2-3 引出列表'!$A$2:$CE$8700,$A58,MATCH(C$1,'2-3 引出列表'!$A$1:$CD$1,0)),""))</f>
        <v>5608</v>
      </c>
      <c r="D58" s="60" t="str">
        <f>IF(ISBLANK(IFERROR(INDEX('2-3 引出列表'!$A$2:$CE$8700,$A58,MATCH(D$1,'2-3 引出列表'!$A$1:$CD$1,0)),"")),"",IFERROR(INDEX('2-3 引出列表'!$A$2:$CE$8700,$A58,MATCH(D$1,'2-3 引出列表'!$A$1:$CD$1,0)),""))</f>
        <v>已审核</v>
      </c>
      <c r="E58" s="60" t="str">
        <f>IF(ISBLANK(IFERROR(INDEX('2-3 引出列表'!$A$2:$CE$8700,$A58,MATCH(E$1,'2-3 引出列表'!$A$1:$CD$1,0)),"")),"",IFERROR(INDEX('2-3 引出列表'!$A$2:$CE$8700,$A58,MATCH(E$1,'2-3 引出列表'!$A$1:$CD$1,0)),""))</f>
        <v>2024-12-24</v>
      </c>
      <c r="F58" s="63" t="str">
        <f t="shared" si="1"/>
        <v>2024-12</v>
      </c>
      <c r="G58" s="60" t="str">
        <f>IF(ISBLANK(IFERROR(INDEX('2-3 引出列表'!$A$2:$CE$8700,$A58,MATCH(G$1,'2-3 引出列表'!$A$1:$CD$1,0)),"")),"",IFERROR(INDEX('2-3 引出列表'!$A$2:$CE$8700,$A58,MATCH(G$1,'2-3 引出列表'!$A$1:$CD$1,0)),""))</f>
        <v>物料消耗.物料消耗</v>
      </c>
      <c r="H58" s="60" t="str">
        <f>IF(ISBLANK(IFERROR(INDEX('2-3 引出列表'!$A$2:$CE$8700,$A58,MATCH(H$1,'2-3 引出列表'!$A$1:$CD$1,0)),"")),"",IFERROR(INDEX('2-3 引出列表'!$A$2:$CE$8700,$A58,MATCH(H$1,'2-3 引出列表'!$A$1:$CD$1,0)),""))</f>
        <v>XHWZ-Z-2024-0118</v>
      </c>
      <c r="I58" s="60" t="str">
        <f>IF(ISBLANK(IFERROR(INDEX('2-3 引出列表'!$A$2:$CE$8700,$A58,MATCH(I$1,'2-3 引出列表'!$A$1:$CD$1,0)),"")),"",IFERROR(INDEX('2-3 引出列表'!$A$2:$CE$8700,$A58,MATCH(I$1,'2-3 引出列表'!$A$1:$CD$1,0)),""))</f>
        <v>金采易购</v>
      </c>
    </row>
    <row r="59" spans="1:9">
      <c r="A59">
        <v>58</v>
      </c>
      <c r="B59" s="60" t="str">
        <f>IF(ISBLANK(IFERROR(INDEX('2-3 引出列表'!$A$2:$CE$8700,$A59,MATCH(B$1,'2-3 引出列表'!$A$1:$CD$1,0)),"")),"",IFERROR(INDEX('2-3 引出列表'!$A$2:$CE$8700,$A59,MATCH(B$1,'2-3 引出列表'!$A$1:$CD$1,0)),""))</f>
        <v>FK241224000260</v>
      </c>
      <c r="C59" s="60">
        <f>IF(ISBLANK(IFERROR(INDEX('2-3 引出列表'!$A$2:$CE$8700,$A59,MATCH(C$1,'2-3 引出列表'!$A$1:$CD$1,0)),"")),"",IFERROR(INDEX('2-3 引出列表'!$A$2:$CE$8700,$A59,MATCH(C$1,'2-3 引出列表'!$A$1:$CD$1,0)),""))</f>
        <v>5608</v>
      </c>
      <c r="D59" s="60" t="str">
        <f>IF(ISBLANK(IFERROR(INDEX('2-3 引出列表'!$A$2:$CE$8700,$A59,MATCH(D$1,'2-3 引出列表'!$A$1:$CD$1,0)),"")),"",IFERROR(INDEX('2-3 引出列表'!$A$2:$CE$8700,$A59,MATCH(D$1,'2-3 引出列表'!$A$1:$CD$1,0)),""))</f>
        <v>已审核</v>
      </c>
      <c r="E59" s="60" t="str">
        <f>IF(ISBLANK(IFERROR(INDEX('2-3 引出列表'!$A$2:$CE$8700,$A59,MATCH(E$1,'2-3 引出列表'!$A$1:$CD$1,0)),"")),"",IFERROR(INDEX('2-3 引出列表'!$A$2:$CE$8700,$A59,MATCH(E$1,'2-3 引出列表'!$A$1:$CD$1,0)),""))</f>
        <v>2024-12-24</v>
      </c>
      <c r="F59" s="63" t="str">
        <f t="shared" si="1"/>
        <v>2024-12</v>
      </c>
      <c r="G59" s="60" t="str">
        <f>IF(ISBLANK(IFERROR(INDEX('2-3 引出列表'!$A$2:$CE$8700,$A59,MATCH(G$1,'2-3 引出列表'!$A$1:$CD$1,0)),"")),"",IFERROR(INDEX('2-3 引出列表'!$A$2:$CE$8700,$A59,MATCH(G$1,'2-3 引出列表'!$A$1:$CD$1,0)),""))</f>
        <v>物料消耗.物料消耗</v>
      </c>
      <c r="H59" s="60" t="str">
        <f>IF(ISBLANK(IFERROR(INDEX('2-3 引出列表'!$A$2:$CE$8700,$A59,MATCH(H$1,'2-3 引出列表'!$A$1:$CD$1,0)),"")),"",IFERROR(INDEX('2-3 引出列表'!$A$2:$CE$8700,$A59,MATCH(H$1,'2-3 引出列表'!$A$1:$CD$1,0)),""))</f>
        <v>XHWZ-Z-2024-0118</v>
      </c>
      <c r="I59" s="60" t="str">
        <f>IF(ISBLANK(IFERROR(INDEX('2-3 引出列表'!$A$2:$CE$8700,$A59,MATCH(I$1,'2-3 引出列表'!$A$1:$CD$1,0)),"")),"",IFERROR(INDEX('2-3 引出列表'!$A$2:$CE$8700,$A59,MATCH(I$1,'2-3 引出列表'!$A$1:$CD$1,0)),""))</f>
        <v>金采易购</v>
      </c>
    </row>
    <row r="60" spans="1:9">
      <c r="A60">
        <v>59</v>
      </c>
      <c r="B60" s="60" t="str">
        <f>IF(ISBLANK(IFERROR(INDEX('2-3 引出列表'!$A$2:$CE$8700,$A60,MATCH(B$1,'2-3 引出列表'!$A$1:$CD$1,0)),"")),"",IFERROR(INDEX('2-3 引出列表'!$A$2:$CE$8700,$A60,MATCH(B$1,'2-3 引出列表'!$A$1:$CD$1,0)),""))</f>
        <v>FK241224000260</v>
      </c>
      <c r="C60" s="60">
        <f>IF(ISBLANK(IFERROR(INDEX('2-3 引出列表'!$A$2:$CE$8700,$A60,MATCH(C$1,'2-3 引出列表'!$A$1:$CD$1,0)),"")),"",IFERROR(INDEX('2-3 引出列表'!$A$2:$CE$8700,$A60,MATCH(C$1,'2-3 引出列表'!$A$1:$CD$1,0)),""))</f>
        <v>5608</v>
      </c>
      <c r="D60" s="60" t="str">
        <f>IF(ISBLANK(IFERROR(INDEX('2-3 引出列表'!$A$2:$CE$8700,$A60,MATCH(D$1,'2-3 引出列表'!$A$1:$CD$1,0)),"")),"",IFERROR(INDEX('2-3 引出列表'!$A$2:$CE$8700,$A60,MATCH(D$1,'2-3 引出列表'!$A$1:$CD$1,0)),""))</f>
        <v>已审核</v>
      </c>
      <c r="E60" s="60" t="str">
        <f>IF(ISBLANK(IFERROR(INDEX('2-3 引出列表'!$A$2:$CE$8700,$A60,MATCH(E$1,'2-3 引出列表'!$A$1:$CD$1,0)),"")),"",IFERROR(INDEX('2-3 引出列表'!$A$2:$CE$8700,$A60,MATCH(E$1,'2-3 引出列表'!$A$1:$CD$1,0)),""))</f>
        <v>2024-12-24</v>
      </c>
      <c r="F60" s="63" t="str">
        <f t="shared" si="1"/>
        <v>2024-12</v>
      </c>
      <c r="G60" s="60" t="str">
        <f>IF(ISBLANK(IFERROR(INDEX('2-3 引出列表'!$A$2:$CE$8700,$A60,MATCH(G$1,'2-3 引出列表'!$A$1:$CD$1,0)),"")),"",IFERROR(INDEX('2-3 引出列表'!$A$2:$CE$8700,$A60,MATCH(G$1,'2-3 引出列表'!$A$1:$CD$1,0)),""))</f>
        <v>物料消耗.物料消耗</v>
      </c>
      <c r="H60" s="60" t="str">
        <f>IF(ISBLANK(IFERROR(INDEX('2-3 引出列表'!$A$2:$CE$8700,$A60,MATCH(H$1,'2-3 引出列表'!$A$1:$CD$1,0)),"")),"",IFERROR(INDEX('2-3 引出列表'!$A$2:$CE$8700,$A60,MATCH(H$1,'2-3 引出列表'!$A$1:$CD$1,0)),""))</f>
        <v>XHWZ-Z-2024-0118</v>
      </c>
      <c r="I60" s="60" t="str">
        <f>IF(ISBLANK(IFERROR(INDEX('2-3 引出列表'!$A$2:$CE$8700,$A60,MATCH(I$1,'2-3 引出列表'!$A$1:$CD$1,0)),"")),"",IFERROR(INDEX('2-3 引出列表'!$A$2:$CE$8700,$A60,MATCH(I$1,'2-3 引出列表'!$A$1:$CD$1,0)),""))</f>
        <v>金采易购</v>
      </c>
    </row>
    <row r="61" spans="1:9">
      <c r="A61">
        <v>60</v>
      </c>
      <c r="B61" s="60" t="str">
        <f>IF(ISBLANK(IFERROR(INDEX('2-3 引出列表'!$A$2:$CE$8700,$A61,MATCH(B$1,'2-3 引出列表'!$A$1:$CD$1,0)),"")),"",IFERROR(INDEX('2-3 引出列表'!$A$2:$CE$8700,$A61,MATCH(B$1,'2-3 引出列表'!$A$1:$CD$1,0)),""))</f>
        <v>FK241224000260</v>
      </c>
      <c r="C61" s="60">
        <f>IF(ISBLANK(IFERROR(INDEX('2-3 引出列表'!$A$2:$CE$8700,$A61,MATCH(C$1,'2-3 引出列表'!$A$1:$CD$1,0)),"")),"",IFERROR(INDEX('2-3 引出列表'!$A$2:$CE$8700,$A61,MATCH(C$1,'2-3 引出列表'!$A$1:$CD$1,0)),""))</f>
        <v>5608</v>
      </c>
      <c r="D61" s="60" t="str">
        <f>IF(ISBLANK(IFERROR(INDEX('2-3 引出列表'!$A$2:$CE$8700,$A61,MATCH(D$1,'2-3 引出列表'!$A$1:$CD$1,0)),"")),"",IFERROR(INDEX('2-3 引出列表'!$A$2:$CE$8700,$A61,MATCH(D$1,'2-3 引出列表'!$A$1:$CD$1,0)),""))</f>
        <v>已审核</v>
      </c>
      <c r="E61" s="60" t="str">
        <f>IF(ISBLANK(IFERROR(INDEX('2-3 引出列表'!$A$2:$CE$8700,$A61,MATCH(E$1,'2-3 引出列表'!$A$1:$CD$1,0)),"")),"",IFERROR(INDEX('2-3 引出列表'!$A$2:$CE$8700,$A61,MATCH(E$1,'2-3 引出列表'!$A$1:$CD$1,0)),""))</f>
        <v>2024-12-24</v>
      </c>
      <c r="F61" s="63" t="str">
        <f t="shared" si="1"/>
        <v>2024-12</v>
      </c>
      <c r="G61" s="60" t="str">
        <f>IF(ISBLANK(IFERROR(INDEX('2-3 引出列表'!$A$2:$CE$8700,$A61,MATCH(G$1,'2-3 引出列表'!$A$1:$CD$1,0)),"")),"",IFERROR(INDEX('2-3 引出列表'!$A$2:$CE$8700,$A61,MATCH(G$1,'2-3 引出列表'!$A$1:$CD$1,0)),""))</f>
        <v>物料消耗.物料消耗</v>
      </c>
      <c r="H61" s="60" t="str">
        <f>IF(ISBLANK(IFERROR(INDEX('2-3 引出列表'!$A$2:$CE$8700,$A61,MATCH(H$1,'2-3 引出列表'!$A$1:$CD$1,0)),"")),"",IFERROR(INDEX('2-3 引出列表'!$A$2:$CE$8700,$A61,MATCH(H$1,'2-3 引出列表'!$A$1:$CD$1,0)),""))</f>
        <v>XHWZ-Z-2024-0118</v>
      </c>
      <c r="I61" s="60" t="str">
        <f>IF(ISBLANK(IFERROR(INDEX('2-3 引出列表'!$A$2:$CE$8700,$A61,MATCH(I$1,'2-3 引出列表'!$A$1:$CD$1,0)),"")),"",IFERROR(INDEX('2-3 引出列表'!$A$2:$CE$8700,$A61,MATCH(I$1,'2-3 引出列表'!$A$1:$CD$1,0)),""))</f>
        <v>金采易购</v>
      </c>
    </row>
    <row r="62" spans="1:9">
      <c r="A62">
        <v>61</v>
      </c>
      <c r="B62" s="60" t="str">
        <f>IF(ISBLANK(IFERROR(INDEX('2-3 引出列表'!$A$2:$CE$8700,$A62,MATCH(B$1,'2-3 引出列表'!$A$1:$CD$1,0)),"")),"",IFERROR(INDEX('2-3 引出列表'!$A$2:$CE$8700,$A62,MATCH(B$1,'2-3 引出列表'!$A$1:$CD$1,0)),""))</f>
        <v>FK241224000260</v>
      </c>
      <c r="C62" s="60">
        <f>IF(ISBLANK(IFERROR(INDEX('2-3 引出列表'!$A$2:$CE$8700,$A62,MATCH(C$1,'2-3 引出列表'!$A$1:$CD$1,0)),"")),"",IFERROR(INDEX('2-3 引出列表'!$A$2:$CE$8700,$A62,MATCH(C$1,'2-3 引出列表'!$A$1:$CD$1,0)),""))</f>
        <v>5608</v>
      </c>
      <c r="D62" s="60" t="str">
        <f>IF(ISBLANK(IFERROR(INDEX('2-3 引出列表'!$A$2:$CE$8700,$A62,MATCH(D$1,'2-3 引出列表'!$A$1:$CD$1,0)),"")),"",IFERROR(INDEX('2-3 引出列表'!$A$2:$CE$8700,$A62,MATCH(D$1,'2-3 引出列表'!$A$1:$CD$1,0)),""))</f>
        <v>已审核</v>
      </c>
      <c r="E62" s="60" t="str">
        <f>IF(ISBLANK(IFERROR(INDEX('2-3 引出列表'!$A$2:$CE$8700,$A62,MATCH(E$1,'2-3 引出列表'!$A$1:$CD$1,0)),"")),"",IFERROR(INDEX('2-3 引出列表'!$A$2:$CE$8700,$A62,MATCH(E$1,'2-3 引出列表'!$A$1:$CD$1,0)),""))</f>
        <v>2024-12-24</v>
      </c>
      <c r="F62" s="63" t="str">
        <f t="shared" si="1"/>
        <v>2024-12</v>
      </c>
      <c r="G62" s="60" t="str">
        <f>IF(ISBLANK(IFERROR(INDEX('2-3 引出列表'!$A$2:$CE$8700,$A62,MATCH(G$1,'2-3 引出列表'!$A$1:$CD$1,0)),"")),"",IFERROR(INDEX('2-3 引出列表'!$A$2:$CE$8700,$A62,MATCH(G$1,'2-3 引出列表'!$A$1:$CD$1,0)),""))</f>
        <v>物料消耗.物料消耗</v>
      </c>
      <c r="H62" s="60" t="str">
        <f>IF(ISBLANK(IFERROR(INDEX('2-3 引出列表'!$A$2:$CE$8700,$A62,MATCH(H$1,'2-3 引出列表'!$A$1:$CD$1,0)),"")),"",IFERROR(INDEX('2-3 引出列表'!$A$2:$CE$8700,$A62,MATCH(H$1,'2-3 引出列表'!$A$1:$CD$1,0)),""))</f>
        <v>XHWZ-Z-2024-0118</v>
      </c>
      <c r="I62" s="60" t="str">
        <f>IF(ISBLANK(IFERROR(INDEX('2-3 引出列表'!$A$2:$CE$8700,$A62,MATCH(I$1,'2-3 引出列表'!$A$1:$CD$1,0)),"")),"",IFERROR(INDEX('2-3 引出列表'!$A$2:$CE$8700,$A62,MATCH(I$1,'2-3 引出列表'!$A$1:$CD$1,0)),""))</f>
        <v>金采易购</v>
      </c>
    </row>
    <row r="63" spans="1:9">
      <c r="A63">
        <v>62</v>
      </c>
      <c r="B63" s="60" t="str">
        <f>IF(ISBLANK(IFERROR(INDEX('2-3 引出列表'!$A$2:$CE$8700,$A63,MATCH(B$1,'2-3 引出列表'!$A$1:$CD$1,0)),"")),"",IFERROR(INDEX('2-3 引出列表'!$A$2:$CE$8700,$A63,MATCH(B$1,'2-3 引出列表'!$A$1:$CD$1,0)),""))</f>
        <v>FK241224000260</v>
      </c>
      <c r="C63" s="60">
        <f>IF(ISBLANK(IFERROR(INDEX('2-3 引出列表'!$A$2:$CE$8700,$A63,MATCH(C$1,'2-3 引出列表'!$A$1:$CD$1,0)),"")),"",IFERROR(INDEX('2-3 引出列表'!$A$2:$CE$8700,$A63,MATCH(C$1,'2-3 引出列表'!$A$1:$CD$1,0)),""))</f>
        <v>5608</v>
      </c>
      <c r="D63" s="60" t="str">
        <f>IF(ISBLANK(IFERROR(INDEX('2-3 引出列表'!$A$2:$CE$8700,$A63,MATCH(D$1,'2-3 引出列表'!$A$1:$CD$1,0)),"")),"",IFERROR(INDEX('2-3 引出列表'!$A$2:$CE$8700,$A63,MATCH(D$1,'2-3 引出列表'!$A$1:$CD$1,0)),""))</f>
        <v>已审核</v>
      </c>
      <c r="E63" s="60" t="str">
        <f>IF(ISBLANK(IFERROR(INDEX('2-3 引出列表'!$A$2:$CE$8700,$A63,MATCH(E$1,'2-3 引出列表'!$A$1:$CD$1,0)),"")),"",IFERROR(INDEX('2-3 引出列表'!$A$2:$CE$8700,$A63,MATCH(E$1,'2-3 引出列表'!$A$1:$CD$1,0)),""))</f>
        <v>2024-12-24</v>
      </c>
      <c r="F63" s="63" t="str">
        <f t="shared" si="1"/>
        <v>2024-12</v>
      </c>
      <c r="G63" s="60" t="str">
        <f>IF(ISBLANK(IFERROR(INDEX('2-3 引出列表'!$A$2:$CE$8700,$A63,MATCH(G$1,'2-3 引出列表'!$A$1:$CD$1,0)),"")),"",IFERROR(INDEX('2-3 引出列表'!$A$2:$CE$8700,$A63,MATCH(G$1,'2-3 引出列表'!$A$1:$CD$1,0)),""))</f>
        <v>物料消耗.物料消耗</v>
      </c>
      <c r="H63" s="60" t="str">
        <f>IF(ISBLANK(IFERROR(INDEX('2-3 引出列表'!$A$2:$CE$8700,$A63,MATCH(H$1,'2-3 引出列表'!$A$1:$CD$1,0)),"")),"",IFERROR(INDEX('2-3 引出列表'!$A$2:$CE$8700,$A63,MATCH(H$1,'2-3 引出列表'!$A$1:$CD$1,0)),""))</f>
        <v>XHWZ-Z-2024-0118</v>
      </c>
      <c r="I63" s="60" t="str">
        <f>IF(ISBLANK(IFERROR(INDEX('2-3 引出列表'!$A$2:$CE$8700,$A63,MATCH(I$1,'2-3 引出列表'!$A$1:$CD$1,0)),"")),"",IFERROR(INDEX('2-3 引出列表'!$A$2:$CE$8700,$A63,MATCH(I$1,'2-3 引出列表'!$A$1:$CD$1,0)),""))</f>
        <v>金采易购</v>
      </c>
    </row>
    <row r="64" spans="1:9">
      <c r="A64">
        <v>63</v>
      </c>
      <c r="B64" s="60" t="str">
        <f>IF(ISBLANK(IFERROR(INDEX('2-3 引出列表'!$A$2:$CE$8700,$A64,MATCH(B$1,'2-3 引出列表'!$A$1:$CD$1,0)),"")),"",IFERROR(INDEX('2-3 引出列表'!$A$2:$CE$8700,$A64,MATCH(B$1,'2-3 引出列表'!$A$1:$CD$1,0)),""))</f>
        <v>FK241224000260</v>
      </c>
      <c r="C64" s="60">
        <f>IF(ISBLANK(IFERROR(INDEX('2-3 引出列表'!$A$2:$CE$8700,$A64,MATCH(C$1,'2-3 引出列表'!$A$1:$CD$1,0)),"")),"",IFERROR(INDEX('2-3 引出列表'!$A$2:$CE$8700,$A64,MATCH(C$1,'2-3 引出列表'!$A$1:$CD$1,0)),""))</f>
        <v>5608</v>
      </c>
      <c r="D64" s="60" t="str">
        <f>IF(ISBLANK(IFERROR(INDEX('2-3 引出列表'!$A$2:$CE$8700,$A64,MATCH(D$1,'2-3 引出列表'!$A$1:$CD$1,0)),"")),"",IFERROR(INDEX('2-3 引出列表'!$A$2:$CE$8700,$A64,MATCH(D$1,'2-3 引出列表'!$A$1:$CD$1,0)),""))</f>
        <v>已审核</v>
      </c>
      <c r="E64" s="60" t="str">
        <f>IF(ISBLANK(IFERROR(INDEX('2-3 引出列表'!$A$2:$CE$8700,$A64,MATCH(E$1,'2-3 引出列表'!$A$1:$CD$1,0)),"")),"",IFERROR(INDEX('2-3 引出列表'!$A$2:$CE$8700,$A64,MATCH(E$1,'2-3 引出列表'!$A$1:$CD$1,0)),""))</f>
        <v>2024-12-24</v>
      </c>
      <c r="F64" s="63" t="str">
        <f t="shared" si="1"/>
        <v>2024-12</v>
      </c>
      <c r="G64" s="60" t="str">
        <f>IF(ISBLANK(IFERROR(INDEX('2-3 引出列表'!$A$2:$CE$8700,$A64,MATCH(G$1,'2-3 引出列表'!$A$1:$CD$1,0)),"")),"",IFERROR(INDEX('2-3 引出列表'!$A$2:$CE$8700,$A64,MATCH(G$1,'2-3 引出列表'!$A$1:$CD$1,0)),""))</f>
        <v>物料消耗.物料消耗</v>
      </c>
      <c r="H64" s="60" t="str">
        <f>IF(ISBLANK(IFERROR(INDEX('2-3 引出列表'!$A$2:$CE$8700,$A64,MATCH(H$1,'2-3 引出列表'!$A$1:$CD$1,0)),"")),"",IFERROR(INDEX('2-3 引出列表'!$A$2:$CE$8700,$A64,MATCH(H$1,'2-3 引出列表'!$A$1:$CD$1,0)),""))</f>
        <v>XHWZ-Z-2024-0118</v>
      </c>
      <c r="I64" s="60" t="str">
        <f>IF(ISBLANK(IFERROR(INDEX('2-3 引出列表'!$A$2:$CE$8700,$A64,MATCH(I$1,'2-3 引出列表'!$A$1:$CD$1,0)),"")),"",IFERROR(INDEX('2-3 引出列表'!$A$2:$CE$8700,$A64,MATCH(I$1,'2-3 引出列表'!$A$1:$CD$1,0)),""))</f>
        <v>金采易购</v>
      </c>
    </row>
    <row r="65" spans="1:9">
      <c r="A65">
        <v>64</v>
      </c>
      <c r="B65" s="60" t="str">
        <f>IF(ISBLANK(IFERROR(INDEX('2-3 引出列表'!$A$2:$CE$8700,$A65,MATCH(B$1,'2-3 引出列表'!$A$1:$CD$1,0)),"")),"",IFERROR(INDEX('2-3 引出列表'!$A$2:$CE$8700,$A65,MATCH(B$1,'2-3 引出列表'!$A$1:$CD$1,0)),""))</f>
        <v>FK241224000260</v>
      </c>
      <c r="C65" s="60">
        <f>IF(ISBLANK(IFERROR(INDEX('2-3 引出列表'!$A$2:$CE$8700,$A65,MATCH(C$1,'2-3 引出列表'!$A$1:$CD$1,0)),"")),"",IFERROR(INDEX('2-3 引出列表'!$A$2:$CE$8700,$A65,MATCH(C$1,'2-3 引出列表'!$A$1:$CD$1,0)),""))</f>
        <v>5608</v>
      </c>
      <c r="D65" s="60" t="str">
        <f>IF(ISBLANK(IFERROR(INDEX('2-3 引出列表'!$A$2:$CE$8700,$A65,MATCH(D$1,'2-3 引出列表'!$A$1:$CD$1,0)),"")),"",IFERROR(INDEX('2-3 引出列表'!$A$2:$CE$8700,$A65,MATCH(D$1,'2-3 引出列表'!$A$1:$CD$1,0)),""))</f>
        <v>已审核</v>
      </c>
      <c r="E65" s="60" t="str">
        <f>IF(ISBLANK(IFERROR(INDEX('2-3 引出列表'!$A$2:$CE$8700,$A65,MATCH(E$1,'2-3 引出列表'!$A$1:$CD$1,0)),"")),"",IFERROR(INDEX('2-3 引出列表'!$A$2:$CE$8700,$A65,MATCH(E$1,'2-3 引出列表'!$A$1:$CD$1,0)),""))</f>
        <v>2024-12-24</v>
      </c>
      <c r="F65" s="63" t="str">
        <f t="shared" si="1"/>
        <v>2024-12</v>
      </c>
      <c r="G65" s="60" t="str">
        <f>IF(ISBLANK(IFERROR(INDEX('2-3 引出列表'!$A$2:$CE$8700,$A65,MATCH(G$1,'2-3 引出列表'!$A$1:$CD$1,0)),"")),"",IFERROR(INDEX('2-3 引出列表'!$A$2:$CE$8700,$A65,MATCH(G$1,'2-3 引出列表'!$A$1:$CD$1,0)),""))</f>
        <v>物料消耗.物料消耗</v>
      </c>
      <c r="H65" s="60" t="str">
        <f>IF(ISBLANK(IFERROR(INDEX('2-3 引出列表'!$A$2:$CE$8700,$A65,MATCH(H$1,'2-3 引出列表'!$A$1:$CD$1,0)),"")),"",IFERROR(INDEX('2-3 引出列表'!$A$2:$CE$8700,$A65,MATCH(H$1,'2-3 引出列表'!$A$1:$CD$1,0)),""))</f>
        <v>XHWZ-Z-2024-0118</v>
      </c>
      <c r="I65" s="60" t="str">
        <f>IF(ISBLANK(IFERROR(INDEX('2-3 引出列表'!$A$2:$CE$8700,$A65,MATCH(I$1,'2-3 引出列表'!$A$1:$CD$1,0)),"")),"",IFERROR(INDEX('2-3 引出列表'!$A$2:$CE$8700,$A65,MATCH(I$1,'2-3 引出列表'!$A$1:$CD$1,0)),""))</f>
        <v>金采易购</v>
      </c>
    </row>
    <row r="66" spans="1:9">
      <c r="A66">
        <v>65</v>
      </c>
      <c r="B66" s="60" t="str">
        <f>IF(ISBLANK(IFERROR(INDEX('2-3 引出列表'!$A$2:$CE$8700,$A66,MATCH(B$1,'2-3 引出列表'!$A$1:$CD$1,0)),"")),"",IFERROR(INDEX('2-3 引出列表'!$A$2:$CE$8700,$A66,MATCH(B$1,'2-3 引出列表'!$A$1:$CD$1,0)),""))</f>
        <v>FK241224000167</v>
      </c>
      <c r="C66" s="60">
        <f>IF(ISBLANK(IFERROR(INDEX('2-3 引出列表'!$A$2:$CE$8700,$A66,MATCH(C$1,'2-3 引出列表'!$A$1:$CD$1,0)),"")),"",IFERROR(INDEX('2-3 引出列表'!$A$2:$CE$8700,$A66,MATCH(C$1,'2-3 引出列表'!$A$1:$CD$1,0)),""))</f>
        <v>8758</v>
      </c>
      <c r="D66" s="60" t="str">
        <f>IF(ISBLANK(IFERROR(INDEX('2-3 引出列表'!$A$2:$CE$8700,$A66,MATCH(D$1,'2-3 引出列表'!$A$1:$CD$1,0)),"")),"",IFERROR(INDEX('2-3 引出列表'!$A$2:$CE$8700,$A66,MATCH(D$1,'2-3 引出列表'!$A$1:$CD$1,0)),""))</f>
        <v>已审核</v>
      </c>
      <c r="E66" s="60" t="str">
        <f>IF(ISBLANK(IFERROR(INDEX('2-3 引出列表'!$A$2:$CE$8700,$A66,MATCH(E$1,'2-3 引出列表'!$A$1:$CD$1,0)),"")),"",IFERROR(INDEX('2-3 引出列表'!$A$2:$CE$8700,$A66,MATCH(E$1,'2-3 引出列表'!$A$1:$CD$1,0)),""))</f>
        <v>2024-12-24</v>
      </c>
      <c r="F66" s="63" t="str">
        <f t="shared" si="1"/>
        <v>2024-12</v>
      </c>
      <c r="G66" s="60" t="str">
        <f>IF(ISBLANK(IFERROR(INDEX('2-3 引出列表'!$A$2:$CE$8700,$A66,MATCH(G$1,'2-3 引出列表'!$A$1:$CD$1,0)),"")),"",IFERROR(INDEX('2-3 引出列表'!$A$2:$CE$8700,$A66,MATCH(G$1,'2-3 引出列表'!$A$1:$CD$1,0)),""))</f>
        <v>物料消耗.物料消耗</v>
      </c>
      <c r="H66" s="60" t="str">
        <f>IF(ISBLANK(IFERROR(INDEX('2-3 引出列表'!$A$2:$CE$8700,$A66,MATCH(H$1,'2-3 引出列表'!$A$1:$CD$1,0)),"")),"",IFERROR(INDEX('2-3 引出列表'!$A$2:$CE$8700,$A66,MATCH(H$1,'2-3 引出列表'!$A$1:$CD$1,0)),""))</f>
        <v>XHWZ-Z-2023-0160</v>
      </c>
      <c r="I66" s="60" t="str">
        <f>IF(ISBLANK(IFERROR(INDEX('2-3 引出列表'!$A$2:$CE$8700,$A66,MATCH(I$1,'2-3 引出列表'!$A$1:$CD$1,0)),"")),"",IFERROR(INDEX('2-3 引出列表'!$A$2:$CE$8700,$A66,MATCH(I$1,'2-3 引出列表'!$A$1:$CD$1,0)),""))</f>
        <v>金采易购</v>
      </c>
    </row>
    <row r="67" spans="1:9">
      <c r="A67">
        <v>66</v>
      </c>
      <c r="B67" s="60" t="str">
        <f>IF(ISBLANK(IFERROR(INDEX('2-3 引出列表'!$A$2:$CE$8700,$A67,MATCH(B$1,'2-3 引出列表'!$A$1:$CD$1,0)),"")),"",IFERROR(INDEX('2-3 引出列表'!$A$2:$CE$8700,$A67,MATCH(B$1,'2-3 引出列表'!$A$1:$CD$1,0)),""))</f>
        <v>FK241224000167</v>
      </c>
      <c r="C67" s="60">
        <f>IF(ISBLANK(IFERROR(INDEX('2-3 引出列表'!$A$2:$CE$8700,$A67,MATCH(C$1,'2-3 引出列表'!$A$1:$CD$1,0)),"")),"",IFERROR(INDEX('2-3 引出列表'!$A$2:$CE$8700,$A67,MATCH(C$1,'2-3 引出列表'!$A$1:$CD$1,0)),""))</f>
        <v>8758</v>
      </c>
      <c r="D67" s="60" t="str">
        <f>IF(ISBLANK(IFERROR(INDEX('2-3 引出列表'!$A$2:$CE$8700,$A67,MATCH(D$1,'2-3 引出列表'!$A$1:$CD$1,0)),"")),"",IFERROR(INDEX('2-3 引出列表'!$A$2:$CE$8700,$A67,MATCH(D$1,'2-3 引出列表'!$A$1:$CD$1,0)),""))</f>
        <v>已审核</v>
      </c>
      <c r="E67" s="60" t="str">
        <f>IF(ISBLANK(IFERROR(INDEX('2-3 引出列表'!$A$2:$CE$8700,$A67,MATCH(E$1,'2-3 引出列表'!$A$1:$CD$1,0)),"")),"",IFERROR(INDEX('2-3 引出列表'!$A$2:$CE$8700,$A67,MATCH(E$1,'2-3 引出列表'!$A$1:$CD$1,0)),""))</f>
        <v>2024-12-24</v>
      </c>
      <c r="F67" s="63" t="str">
        <f t="shared" si="1"/>
        <v>2024-12</v>
      </c>
      <c r="G67" s="60" t="str">
        <f>IF(ISBLANK(IFERROR(INDEX('2-3 引出列表'!$A$2:$CE$8700,$A67,MATCH(G$1,'2-3 引出列表'!$A$1:$CD$1,0)),"")),"",IFERROR(INDEX('2-3 引出列表'!$A$2:$CE$8700,$A67,MATCH(G$1,'2-3 引出列表'!$A$1:$CD$1,0)),""))</f>
        <v>物料消耗.物料消耗</v>
      </c>
      <c r="H67" s="60" t="str">
        <f>IF(ISBLANK(IFERROR(INDEX('2-3 引出列表'!$A$2:$CE$8700,$A67,MATCH(H$1,'2-3 引出列表'!$A$1:$CD$1,0)),"")),"",IFERROR(INDEX('2-3 引出列表'!$A$2:$CE$8700,$A67,MATCH(H$1,'2-3 引出列表'!$A$1:$CD$1,0)),""))</f>
        <v>XHWZ-Z-2023-0160</v>
      </c>
      <c r="I67" s="60" t="str">
        <f>IF(ISBLANK(IFERROR(INDEX('2-3 引出列表'!$A$2:$CE$8700,$A67,MATCH(I$1,'2-3 引出列表'!$A$1:$CD$1,0)),"")),"",IFERROR(INDEX('2-3 引出列表'!$A$2:$CE$8700,$A67,MATCH(I$1,'2-3 引出列表'!$A$1:$CD$1,0)),""))</f>
        <v>金采易购</v>
      </c>
    </row>
    <row r="68" spans="1:9">
      <c r="A68">
        <v>67</v>
      </c>
      <c r="B68" s="60" t="str">
        <f>IF(ISBLANK(IFERROR(INDEX('2-3 引出列表'!$A$2:$CE$8700,$A68,MATCH(B$1,'2-3 引出列表'!$A$1:$CD$1,0)),"")),"",IFERROR(INDEX('2-3 引出列表'!$A$2:$CE$8700,$A68,MATCH(B$1,'2-3 引出列表'!$A$1:$CD$1,0)),""))</f>
        <v>FK241224000167</v>
      </c>
      <c r="C68" s="60">
        <f>IF(ISBLANK(IFERROR(INDEX('2-3 引出列表'!$A$2:$CE$8700,$A68,MATCH(C$1,'2-3 引出列表'!$A$1:$CD$1,0)),"")),"",IFERROR(INDEX('2-3 引出列表'!$A$2:$CE$8700,$A68,MATCH(C$1,'2-3 引出列表'!$A$1:$CD$1,0)),""))</f>
        <v>8758</v>
      </c>
      <c r="D68" s="60" t="str">
        <f>IF(ISBLANK(IFERROR(INDEX('2-3 引出列表'!$A$2:$CE$8700,$A68,MATCH(D$1,'2-3 引出列表'!$A$1:$CD$1,0)),"")),"",IFERROR(INDEX('2-3 引出列表'!$A$2:$CE$8700,$A68,MATCH(D$1,'2-3 引出列表'!$A$1:$CD$1,0)),""))</f>
        <v>已审核</v>
      </c>
      <c r="E68" s="60" t="str">
        <f>IF(ISBLANK(IFERROR(INDEX('2-3 引出列表'!$A$2:$CE$8700,$A68,MATCH(E$1,'2-3 引出列表'!$A$1:$CD$1,0)),"")),"",IFERROR(INDEX('2-3 引出列表'!$A$2:$CE$8700,$A68,MATCH(E$1,'2-3 引出列表'!$A$1:$CD$1,0)),""))</f>
        <v>2024-12-24</v>
      </c>
      <c r="F68" s="63" t="str">
        <f t="shared" si="1"/>
        <v>2024-12</v>
      </c>
      <c r="G68" s="60" t="str">
        <f>IF(ISBLANK(IFERROR(INDEX('2-3 引出列表'!$A$2:$CE$8700,$A68,MATCH(G$1,'2-3 引出列表'!$A$1:$CD$1,0)),"")),"",IFERROR(INDEX('2-3 引出列表'!$A$2:$CE$8700,$A68,MATCH(G$1,'2-3 引出列表'!$A$1:$CD$1,0)),""))</f>
        <v>物料消耗.物料消耗</v>
      </c>
      <c r="H68" s="60" t="str">
        <f>IF(ISBLANK(IFERROR(INDEX('2-3 引出列表'!$A$2:$CE$8700,$A68,MATCH(H$1,'2-3 引出列表'!$A$1:$CD$1,0)),"")),"",IFERROR(INDEX('2-3 引出列表'!$A$2:$CE$8700,$A68,MATCH(H$1,'2-3 引出列表'!$A$1:$CD$1,0)),""))</f>
        <v>XHWZ-Z-2023-0160</v>
      </c>
      <c r="I68" s="60" t="str">
        <f>IF(ISBLANK(IFERROR(INDEX('2-3 引出列表'!$A$2:$CE$8700,$A68,MATCH(I$1,'2-3 引出列表'!$A$1:$CD$1,0)),"")),"",IFERROR(INDEX('2-3 引出列表'!$A$2:$CE$8700,$A68,MATCH(I$1,'2-3 引出列表'!$A$1:$CD$1,0)),""))</f>
        <v>金采易购</v>
      </c>
    </row>
    <row r="69" spans="1:9">
      <c r="A69">
        <v>68</v>
      </c>
      <c r="B69" s="60" t="str">
        <f>IF(ISBLANK(IFERROR(INDEX('2-3 引出列表'!$A$2:$CE$8700,$A69,MATCH(B$1,'2-3 引出列表'!$A$1:$CD$1,0)),"")),"",IFERROR(INDEX('2-3 引出列表'!$A$2:$CE$8700,$A69,MATCH(B$1,'2-3 引出列表'!$A$1:$CD$1,0)),""))</f>
        <v>FK241224000167</v>
      </c>
      <c r="C69" s="60">
        <f>IF(ISBLANK(IFERROR(INDEX('2-3 引出列表'!$A$2:$CE$8700,$A69,MATCH(C$1,'2-3 引出列表'!$A$1:$CD$1,0)),"")),"",IFERROR(INDEX('2-3 引出列表'!$A$2:$CE$8700,$A69,MATCH(C$1,'2-3 引出列表'!$A$1:$CD$1,0)),""))</f>
        <v>8758</v>
      </c>
      <c r="D69" s="60" t="str">
        <f>IF(ISBLANK(IFERROR(INDEX('2-3 引出列表'!$A$2:$CE$8700,$A69,MATCH(D$1,'2-3 引出列表'!$A$1:$CD$1,0)),"")),"",IFERROR(INDEX('2-3 引出列表'!$A$2:$CE$8700,$A69,MATCH(D$1,'2-3 引出列表'!$A$1:$CD$1,0)),""))</f>
        <v>已审核</v>
      </c>
      <c r="E69" s="60" t="str">
        <f>IF(ISBLANK(IFERROR(INDEX('2-3 引出列表'!$A$2:$CE$8700,$A69,MATCH(E$1,'2-3 引出列表'!$A$1:$CD$1,0)),"")),"",IFERROR(INDEX('2-3 引出列表'!$A$2:$CE$8700,$A69,MATCH(E$1,'2-3 引出列表'!$A$1:$CD$1,0)),""))</f>
        <v>2024-12-24</v>
      </c>
      <c r="F69" s="63" t="str">
        <f t="shared" si="1"/>
        <v>2024-12</v>
      </c>
      <c r="G69" s="60" t="str">
        <f>IF(ISBLANK(IFERROR(INDEX('2-3 引出列表'!$A$2:$CE$8700,$A69,MATCH(G$1,'2-3 引出列表'!$A$1:$CD$1,0)),"")),"",IFERROR(INDEX('2-3 引出列表'!$A$2:$CE$8700,$A69,MATCH(G$1,'2-3 引出列表'!$A$1:$CD$1,0)),""))</f>
        <v>物料消耗.物料消耗</v>
      </c>
      <c r="H69" s="60" t="str">
        <f>IF(ISBLANK(IFERROR(INDEX('2-3 引出列表'!$A$2:$CE$8700,$A69,MATCH(H$1,'2-3 引出列表'!$A$1:$CD$1,0)),"")),"",IFERROR(INDEX('2-3 引出列表'!$A$2:$CE$8700,$A69,MATCH(H$1,'2-3 引出列表'!$A$1:$CD$1,0)),""))</f>
        <v>XHWZ-Z-2023-0160</v>
      </c>
      <c r="I69" s="60" t="str">
        <f>IF(ISBLANK(IFERROR(INDEX('2-3 引出列表'!$A$2:$CE$8700,$A69,MATCH(I$1,'2-3 引出列表'!$A$1:$CD$1,0)),"")),"",IFERROR(INDEX('2-3 引出列表'!$A$2:$CE$8700,$A69,MATCH(I$1,'2-3 引出列表'!$A$1:$CD$1,0)),""))</f>
        <v>金采易购</v>
      </c>
    </row>
    <row r="70" spans="1:1">
      <c r="A70">
        <v>69</v>
      </c>
    </row>
    <row r="71" spans="1:1">
      <c r="A71">
        <v>70</v>
      </c>
    </row>
    <row r="72" spans="1:1">
      <c r="A72">
        <v>71</v>
      </c>
    </row>
    <row r="73" spans="1:1">
      <c r="A73">
        <v>72</v>
      </c>
    </row>
    <row r="74" spans="1:1">
      <c r="A74">
        <v>73</v>
      </c>
    </row>
    <row r="75" spans="1:1">
      <c r="A75">
        <v>74</v>
      </c>
    </row>
    <row r="76" spans="1:1">
      <c r="A76">
        <v>75</v>
      </c>
    </row>
    <row r="77" spans="1:1">
      <c r="A77">
        <v>76</v>
      </c>
    </row>
    <row r="78" spans="1:1">
      <c r="A78">
        <v>77</v>
      </c>
    </row>
    <row r="79" spans="1:1">
      <c r="A79">
        <v>78</v>
      </c>
    </row>
    <row r="80" spans="1:1">
      <c r="A80">
        <v>79</v>
      </c>
    </row>
    <row r="81" spans="1:1">
      <c r="A81">
        <v>80</v>
      </c>
    </row>
    <row r="82" spans="1:1">
      <c r="A82">
        <v>81</v>
      </c>
    </row>
    <row r="83" spans="1:1">
      <c r="A83">
        <v>82</v>
      </c>
    </row>
    <row r="84" spans="1:1">
      <c r="A84">
        <v>83</v>
      </c>
    </row>
    <row r="85" spans="1:1">
      <c r="A85">
        <v>84</v>
      </c>
    </row>
    <row r="86" spans="1:1">
      <c r="A86">
        <v>85</v>
      </c>
    </row>
    <row r="87" spans="1:1">
      <c r="A87">
        <v>86</v>
      </c>
    </row>
    <row r="88" spans="1:1">
      <c r="A88">
        <v>87</v>
      </c>
    </row>
    <row r="89" spans="1:1">
      <c r="A89">
        <v>88</v>
      </c>
    </row>
    <row r="90" spans="1:1">
      <c r="A90">
        <v>89</v>
      </c>
    </row>
    <row r="91" spans="1:1">
      <c r="A91">
        <v>90</v>
      </c>
    </row>
    <row r="92" spans="1:1">
      <c r="A92">
        <v>91</v>
      </c>
    </row>
    <row r="93" spans="1:1">
      <c r="A93">
        <v>92</v>
      </c>
    </row>
    <row r="94" spans="1:1">
      <c r="A94">
        <v>93</v>
      </c>
    </row>
    <row r="95" spans="1:1">
      <c r="A95">
        <v>94</v>
      </c>
    </row>
    <row r="96" spans="1:1">
      <c r="A96">
        <v>95</v>
      </c>
    </row>
    <row r="97" spans="1:1">
      <c r="A97">
        <v>96</v>
      </c>
    </row>
    <row r="98" spans="1:1">
      <c r="A98">
        <v>97</v>
      </c>
    </row>
    <row r="99" spans="1:1">
      <c r="A99">
        <v>98</v>
      </c>
    </row>
    <row r="100" spans="1:1">
      <c r="A100">
        <v>99</v>
      </c>
    </row>
    <row r="101" spans="1:1">
      <c r="A101">
        <v>100</v>
      </c>
    </row>
    <row r="102" spans="1:1">
      <c r="A102">
        <v>101</v>
      </c>
    </row>
    <row r="103" spans="1:1">
      <c r="A103">
        <v>102</v>
      </c>
    </row>
    <row r="104" spans="1:1">
      <c r="A104">
        <v>103</v>
      </c>
    </row>
    <row r="105" spans="1:1">
      <c r="A105">
        <v>104</v>
      </c>
    </row>
    <row r="106" spans="1:1">
      <c r="A106">
        <v>105</v>
      </c>
    </row>
    <row r="107" spans="1:1">
      <c r="A107">
        <v>106</v>
      </c>
    </row>
    <row r="108" spans="1:1">
      <c r="A108">
        <v>107</v>
      </c>
    </row>
    <row r="109" spans="1:1">
      <c r="A109">
        <v>108</v>
      </c>
    </row>
    <row r="110" spans="1:1">
      <c r="A110">
        <v>109</v>
      </c>
    </row>
    <row r="111" spans="1:1">
      <c r="A111">
        <v>110</v>
      </c>
    </row>
    <row r="112" spans="1:1">
      <c r="A112">
        <v>111</v>
      </c>
    </row>
    <row r="113" spans="1:1">
      <c r="A113">
        <v>112</v>
      </c>
    </row>
    <row r="114" spans="1:1">
      <c r="A114">
        <v>113</v>
      </c>
    </row>
    <row r="115" spans="1:1">
      <c r="A115">
        <v>114</v>
      </c>
    </row>
    <row r="116" spans="1:1">
      <c r="A116">
        <v>115</v>
      </c>
    </row>
    <row r="117" spans="1:1">
      <c r="A117">
        <v>116</v>
      </c>
    </row>
    <row r="118" spans="1:1">
      <c r="A118">
        <v>117</v>
      </c>
    </row>
    <row r="119" spans="1:1">
      <c r="A119">
        <v>118</v>
      </c>
    </row>
    <row r="120" spans="1:1">
      <c r="A120">
        <v>119</v>
      </c>
    </row>
    <row r="121" spans="1:1">
      <c r="A121">
        <v>120</v>
      </c>
    </row>
    <row r="122" spans="1:1">
      <c r="A122">
        <v>121</v>
      </c>
    </row>
    <row r="123" spans="1:1">
      <c r="A123">
        <v>122</v>
      </c>
    </row>
    <row r="124" spans="1:1">
      <c r="A124">
        <v>123</v>
      </c>
    </row>
    <row r="125" spans="1:1">
      <c r="A125">
        <v>124</v>
      </c>
    </row>
    <row r="126" spans="1:1">
      <c r="A126">
        <v>125</v>
      </c>
    </row>
    <row r="127" spans="1:1">
      <c r="A127">
        <v>126</v>
      </c>
    </row>
    <row r="128" spans="1:1">
      <c r="A128">
        <v>127</v>
      </c>
    </row>
    <row r="129" spans="1:1">
      <c r="A129">
        <v>128</v>
      </c>
    </row>
    <row r="130" spans="1:1">
      <c r="A130">
        <v>129</v>
      </c>
    </row>
    <row r="131" spans="1:1">
      <c r="A131">
        <v>130</v>
      </c>
    </row>
    <row r="132" spans="1:1">
      <c r="A132">
        <v>131</v>
      </c>
    </row>
    <row r="133" spans="1:1">
      <c r="A133">
        <v>132</v>
      </c>
    </row>
    <row r="134" spans="1:1">
      <c r="A134">
        <v>133</v>
      </c>
    </row>
    <row r="135" spans="1:1">
      <c r="A135">
        <v>134</v>
      </c>
    </row>
    <row r="136" spans="1:1">
      <c r="A136">
        <v>135</v>
      </c>
    </row>
    <row r="137" spans="1:1">
      <c r="A137">
        <v>136</v>
      </c>
    </row>
    <row r="138" spans="1:1">
      <c r="A138">
        <v>137</v>
      </c>
    </row>
    <row r="139" spans="1:1">
      <c r="A139">
        <v>138</v>
      </c>
    </row>
    <row r="140" spans="1:1">
      <c r="A140">
        <v>139</v>
      </c>
    </row>
    <row r="141" spans="1:1">
      <c r="A141">
        <v>140</v>
      </c>
    </row>
    <row r="142" spans="1:1">
      <c r="A142">
        <v>141</v>
      </c>
    </row>
    <row r="143" spans="1:1">
      <c r="A143">
        <v>142</v>
      </c>
    </row>
    <row r="144" spans="1:1">
      <c r="A144">
        <v>143</v>
      </c>
    </row>
    <row r="145" spans="1:1">
      <c r="A145">
        <v>144</v>
      </c>
    </row>
    <row r="146" spans="1:1">
      <c r="A146">
        <v>145</v>
      </c>
    </row>
    <row r="147" spans="1:1">
      <c r="A147">
        <v>146</v>
      </c>
    </row>
    <row r="148" spans="1:1">
      <c r="A148">
        <v>147</v>
      </c>
    </row>
    <row r="149" spans="1:1">
      <c r="A149">
        <v>148</v>
      </c>
    </row>
    <row r="150" spans="1:1">
      <c r="A150">
        <v>149</v>
      </c>
    </row>
    <row r="151" spans="1:1">
      <c r="A151">
        <v>150</v>
      </c>
    </row>
    <row r="152" spans="1:1">
      <c r="A152">
        <v>151</v>
      </c>
    </row>
    <row r="153" spans="1:1">
      <c r="A153">
        <v>152</v>
      </c>
    </row>
    <row r="154" spans="1:1">
      <c r="A154">
        <v>153</v>
      </c>
    </row>
    <row r="155" spans="1:1">
      <c r="A155">
        <v>154</v>
      </c>
    </row>
    <row r="156" spans="1:1">
      <c r="A156">
        <v>155</v>
      </c>
    </row>
    <row r="157" spans="1:1">
      <c r="A157">
        <v>156</v>
      </c>
    </row>
    <row r="158" spans="1:1">
      <c r="A158">
        <v>157</v>
      </c>
    </row>
    <row r="159" spans="1:1">
      <c r="A159">
        <v>158</v>
      </c>
    </row>
    <row r="160" spans="1:1">
      <c r="A160">
        <v>159</v>
      </c>
    </row>
    <row r="161" spans="1:1">
      <c r="A161">
        <v>160</v>
      </c>
    </row>
    <row r="162" spans="1:1">
      <c r="A162">
        <v>161</v>
      </c>
    </row>
    <row r="163" spans="1:1">
      <c r="A163">
        <v>162</v>
      </c>
    </row>
    <row r="164" spans="1:1">
      <c r="A164">
        <v>163</v>
      </c>
    </row>
    <row r="165" spans="1:1">
      <c r="A165">
        <v>164</v>
      </c>
    </row>
    <row r="166" spans="1:1">
      <c r="A166">
        <v>165</v>
      </c>
    </row>
    <row r="167" spans="1:1">
      <c r="A167">
        <v>166</v>
      </c>
    </row>
    <row r="168" spans="1:1">
      <c r="A168">
        <v>167</v>
      </c>
    </row>
    <row r="169" spans="1:1">
      <c r="A169">
        <v>168</v>
      </c>
    </row>
    <row r="170" spans="1:1">
      <c r="A170">
        <v>169</v>
      </c>
    </row>
    <row r="171" spans="1:1">
      <c r="A171">
        <v>170</v>
      </c>
    </row>
    <row r="172" spans="1:1">
      <c r="A172">
        <v>171</v>
      </c>
    </row>
    <row r="173" spans="1:1">
      <c r="A173">
        <v>172</v>
      </c>
    </row>
    <row r="174" spans="1:1">
      <c r="A174">
        <v>173</v>
      </c>
    </row>
    <row r="175" spans="1:1">
      <c r="A175">
        <v>174</v>
      </c>
    </row>
    <row r="176" spans="1:1">
      <c r="A176">
        <v>175</v>
      </c>
    </row>
    <row r="177" spans="1:1">
      <c r="A177">
        <v>176</v>
      </c>
    </row>
    <row r="178" spans="1:1">
      <c r="A178">
        <v>177</v>
      </c>
    </row>
    <row r="179" spans="1:1">
      <c r="A179">
        <v>178</v>
      </c>
    </row>
    <row r="180" spans="1:1">
      <c r="A180">
        <v>179</v>
      </c>
    </row>
    <row r="181" spans="1:1">
      <c r="A181">
        <v>180</v>
      </c>
    </row>
    <row r="182" spans="1:1">
      <c r="A182">
        <v>181</v>
      </c>
    </row>
    <row r="183" spans="1:1">
      <c r="A183">
        <v>182</v>
      </c>
    </row>
    <row r="184" spans="1:1">
      <c r="A184">
        <v>183</v>
      </c>
    </row>
    <row r="185" spans="1:1">
      <c r="A185">
        <v>184</v>
      </c>
    </row>
    <row r="186" spans="1:1">
      <c r="A186">
        <v>185</v>
      </c>
    </row>
    <row r="187" spans="1:1">
      <c r="A187">
        <v>186</v>
      </c>
    </row>
    <row r="188" spans="1:1">
      <c r="A188">
        <v>187</v>
      </c>
    </row>
    <row r="189" spans="1:1">
      <c r="A189">
        <v>188</v>
      </c>
    </row>
    <row r="190" spans="1:1">
      <c r="A190">
        <v>189</v>
      </c>
    </row>
    <row r="191" spans="1:1">
      <c r="A191">
        <v>190</v>
      </c>
    </row>
    <row r="192" spans="1:1">
      <c r="A192">
        <v>191</v>
      </c>
    </row>
    <row r="193" spans="1:1">
      <c r="A193">
        <v>192</v>
      </c>
    </row>
    <row r="194" spans="1:1">
      <c r="A194">
        <v>193</v>
      </c>
    </row>
    <row r="195" spans="1:1">
      <c r="A195">
        <v>194</v>
      </c>
    </row>
    <row r="196" spans="1:1">
      <c r="A196">
        <v>195</v>
      </c>
    </row>
    <row r="197" spans="1:1">
      <c r="A197">
        <v>196</v>
      </c>
    </row>
    <row r="198" spans="1:1">
      <c r="A198">
        <v>197</v>
      </c>
    </row>
    <row r="199" spans="1:1">
      <c r="A199">
        <v>198</v>
      </c>
    </row>
    <row r="200" spans="1:1">
      <c r="A200">
        <v>199</v>
      </c>
    </row>
    <row r="201" spans="1:1">
      <c r="A201">
        <v>200</v>
      </c>
    </row>
    <row r="202" spans="1:1">
      <c r="A202">
        <v>201</v>
      </c>
    </row>
    <row r="203" spans="1:1">
      <c r="A203">
        <v>202</v>
      </c>
    </row>
    <row r="204" spans="1:1">
      <c r="A204">
        <v>203</v>
      </c>
    </row>
    <row r="205" spans="1:1">
      <c r="A205">
        <v>204</v>
      </c>
    </row>
    <row r="206" spans="1:1">
      <c r="A206">
        <v>205</v>
      </c>
    </row>
    <row r="207" spans="1:1">
      <c r="A207">
        <v>206</v>
      </c>
    </row>
    <row r="208" spans="1:1">
      <c r="A208">
        <v>207</v>
      </c>
    </row>
    <row r="209" spans="1:1">
      <c r="A209">
        <v>208</v>
      </c>
    </row>
    <row r="210" spans="1:1">
      <c r="A210">
        <v>209</v>
      </c>
    </row>
    <row r="211" spans="1:1">
      <c r="A211">
        <v>210</v>
      </c>
    </row>
    <row r="212" spans="1:1">
      <c r="A212">
        <v>211</v>
      </c>
    </row>
    <row r="213" spans="1:1">
      <c r="A213">
        <v>212</v>
      </c>
    </row>
    <row r="214" spans="1:1">
      <c r="A214">
        <v>213</v>
      </c>
    </row>
    <row r="215" spans="1:1">
      <c r="A215">
        <v>214</v>
      </c>
    </row>
    <row r="216" spans="1:1">
      <c r="A216">
        <v>215</v>
      </c>
    </row>
    <row r="217" spans="1:1">
      <c r="A217">
        <v>216</v>
      </c>
    </row>
    <row r="218" spans="1:1">
      <c r="A218">
        <v>217</v>
      </c>
    </row>
    <row r="219" spans="1:1">
      <c r="A219">
        <v>218</v>
      </c>
    </row>
    <row r="220" spans="1:1">
      <c r="A220">
        <v>219</v>
      </c>
    </row>
    <row r="221" spans="1:1">
      <c r="A221">
        <v>220</v>
      </c>
    </row>
    <row r="222" spans="1:1">
      <c r="A222">
        <v>221</v>
      </c>
    </row>
    <row r="223" spans="1:1">
      <c r="A223">
        <v>222</v>
      </c>
    </row>
    <row r="224" spans="1:1">
      <c r="A224">
        <v>223</v>
      </c>
    </row>
    <row r="225" spans="1:1">
      <c r="A225">
        <v>224</v>
      </c>
    </row>
    <row r="226" spans="1:1">
      <c r="A226">
        <v>225</v>
      </c>
    </row>
    <row r="227" spans="1:1">
      <c r="A227">
        <v>226</v>
      </c>
    </row>
    <row r="228" spans="1:1">
      <c r="A228">
        <v>227</v>
      </c>
    </row>
    <row r="229" spans="1:1">
      <c r="A229">
        <v>228</v>
      </c>
    </row>
    <row r="230" spans="1:1">
      <c r="A230">
        <v>229</v>
      </c>
    </row>
    <row r="231" spans="1:1">
      <c r="A231">
        <v>230</v>
      </c>
    </row>
    <row r="232" spans="1:1">
      <c r="A232">
        <v>231</v>
      </c>
    </row>
    <row r="233" spans="1:1">
      <c r="A233">
        <v>232</v>
      </c>
    </row>
    <row r="234" spans="1:1">
      <c r="A234">
        <v>233</v>
      </c>
    </row>
    <row r="235" spans="1:1">
      <c r="A235">
        <v>234</v>
      </c>
    </row>
    <row r="236" spans="1:1">
      <c r="A236">
        <v>235</v>
      </c>
    </row>
    <row r="237" spans="1:1">
      <c r="A237">
        <v>236</v>
      </c>
    </row>
    <row r="238" spans="1:1">
      <c r="A238">
        <v>237</v>
      </c>
    </row>
    <row r="239" spans="1:1">
      <c r="A239">
        <v>238</v>
      </c>
    </row>
    <row r="240" spans="1:1">
      <c r="A240">
        <v>239</v>
      </c>
    </row>
    <row r="241" spans="1:1">
      <c r="A241">
        <v>240</v>
      </c>
    </row>
    <row r="242" spans="1:1">
      <c r="A242">
        <v>241</v>
      </c>
    </row>
    <row r="243" spans="1:1">
      <c r="A243">
        <v>242</v>
      </c>
    </row>
    <row r="244" spans="1:1">
      <c r="A244">
        <v>243</v>
      </c>
    </row>
    <row r="245" spans="1:1">
      <c r="A245">
        <v>244</v>
      </c>
    </row>
    <row r="246" spans="1:1">
      <c r="A246">
        <v>245</v>
      </c>
    </row>
    <row r="247" spans="1:1">
      <c r="A247">
        <v>246</v>
      </c>
    </row>
    <row r="248" spans="1:1">
      <c r="A248">
        <v>247</v>
      </c>
    </row>
    <row r="249" spans="1:1">
      <c r="A249">
        <v>248</v>
      </c>
    </row>
    <row r="250" spans="1:1">
      <c r="A250">
        <v>249</v>
      </c>
    </row>
    <row r="251" spans="1:1">
      <c r="A251">
        <v>250</v>
      </c>
    </row>
    <row r="252" spans="1:1">
      <c r="A252">
        <v>251</v>
      </c>
    </row>
    <row r="253" spans="1:1">
      <c r="A253">
        <v>252</v>
      </c>
    </row>
    <row r="254" spans="1:1">
      <c r="A254">
        <v>253</v>
      </c>
    </row>
    <row r="255" spans="1:1">
      <c r="A255">
        <v>254</v>
      </c>
    </row>
    <row r="256" spans="1:1">
      <c r="A256">
        <v>255</v>
      </c>
    </row>
    <row r="257" spans="1:1">
      <c r="A257">
        <v>256</v>
      </c>
    </row>
    <row r="258" spans="1:1">
      <c r="A258">
        <v>257</v>
      </c>
    </row>
    <row r="259" spans="1:1">
      <c r="A259">
        <v>258</v>
      </c>
    </row>
    <row r="260" spans="1:1">
      <c r="A260">
        <v>259</v>
      </c>
    </row>
    <row r="261" spans="1:1">
      <c r="A261">
        <v>260</v>
      </c>
    </row>
    <row r="262" spans="1:1">
      <c r="A262">
        <v>261</v>
      </c>
    </row>
    <row r="263" spans="1:1">
      <c r="A263">
        <v>262</v>
      </c>
    </row>
    <row r="264" spans="1:1">
      <c r="A264">
        <v>263</v>
      </c>
    </row>
    <row r="265" spans="1:1">
      <c r="A265">
        <v>264</v>
      </c>
    </row>
    <row r="266" spans="1:1">
      <c r="A266">
        <v>265</v>
      </c>
    </row>
    <row r="267" spans="1:1">
      <c r="A267">
        <v>266</v>
      </c>
    </row>
    <row r="268" spans="1:1">
      <c r="A268">
        <v>267</v>
      </c>
    </row>
    <row r="269" spans="1:1">
      <c r="A269">
        <v>268</v>
      </c>
    </row>
    <row r="270" spans="1:1">
      <c r="A270">
        <v>269</v>
      </c>
    </row>
    <row r="271" spans="1:1">
      <c r="A271">
        <v>270</v>
      </c>
    </row>
    <row r="272" spans="1:1">
      <c r="A272">
        <v>271</v>
      </c>
    </row>
    <row r="273" spans="1:1">
      <c r="A273">
        <v>272</v>
      </c>
    </row>
    <row r="274" spans="1:1">
      <c r="A274">
        <v>273</v>
      </c>
    </row>
    <row r="275" spans="1:1">
      <c r="A275">
        <v>274</v>
      </c>
    </row>
    <row r="276" spans="1:1">
      <c r="A276">
        <v>275</v>
      </c>
    </row>
    <row r="277" spans="1:1">
      <c r="A277">
        <v>276</v>
      </c>
    </row>
    <row r="278" spans="1:1">
      <c r="A278">
        <v>277</v>
      </c>
    </row>
    <row r="279" spans="1:1">
      <c r="A279">
        <v>278</v>
      </c>
    </row>
    <row r="280" spans="1:1">
      <c r="A280">
        <v>279</v>
      </c>
    </row>
    <row r="281" spans="1:1">
      <c r="A281">
        <v>280</v>
      </c>
    </row>
    <row r="282" spans="1:1">
      <c r="A282">
        <v>281</v>
      </c>
    </row>
    <row r="283" spans="1:1">
      <c r="A283">
        <v>282</v>
      </c>
    </row>
    <row r="284" spans="1:1">
      <c r="A284">
        <v>283</v>
      </c>
    </row>
    <row r="285" spans="1:1">
      <c r="A285">
        <v>284</v>
      </c>
    </row>
    <row r="286" spans="1:1">
      <c r="A286">
        <v>285</v>
      </c>
    </row>
    <row r="287" spans="1:1">
      <c r="A287">
        <v>286</v>
      </c>
    </row>
    <row r="288" spans="1:1">
      <c r="A288">
        <v>287</v>
      </c>
    </row>
    <row r="289" spans="1:1">
      <c r="A289">
        <v>288</v>
      </c>
    </row>
    <row r="290" spans="1:1">
      <c r="A290">
        <v>289</v>
      </c>
    </row>
    <row r="291" spans="1:1">
      <c r="A291">
        <v>290</v>
      </c>
    </row>
    <row r="292" spans="1:1">
      <c r="A292">
        <v>291</v>
      </c>
    </row>
    <row r="293" spans="1:1">
      <c r="A293">
        <v>292</v>
      </c>
    </row>
    <row r="294" spans="1:1">
      <c r="A294">
        <v>293</v>
      </c>
    </row>
    <row r="295" spans="1:1">
      <c r="A295">
        <v>294</v>
      </c>
    </row>
    <row r="296" spans="1:1">
      <c r="A296">
        <v>295</v>
      </c>
    </row>
    <row r="297" spans="1:1">
      <c r="A297">
        <v>296</v>
      </c>
    </row>
    <row r="298" spans="1:1">
      <c r="A298">
        <v>297</v>
      </c>
    </row>
    <row r="299" spans="1:1">
      <c r="A299">
        <v>298</v>
      </c>
    </row>
    <row r="300" spans="1:1">
      <c r="A300">
        <v>299</v>
      </c>
    </row>
    <row r="301" spans="1:1">
      <c r="A301">
        <v>300</v>
      </c>
    </row>
    <row r="302" spans="1:1">
      <c r="A302">
        <v>301</v>
      </c>
    </row>
    <row r="303" spans="1:1">
      <c r="A303">
        <v>302</v>
      </c>
    </row>
    <row r="304" spans="1:1">
      <c r="A304">
        <v>303</v>
      </c>
    </row>
    <row r="305" spans="1:1">
      <c r="A305">
        <v>304</v>
      </c>
    </row>
    <row r="306" spans="1:1">
      <c r="A306">
        <v>305</v>
      </c>
    </row>
    <row r="307" spans="1:1">
      <c r="A307">
        <v>306</v>
      </c>
    </row>
    <row r="308" spans="1:1">
      <c r="A308">
        <v>307</v>
      </c>
    </row>
    <row r="309" spans="1:1">
      <c r="A309">
        <v>308</v>
      </c>
    </row>
    <row r="310" spans="1:1">
      <c r="A310">
        <v>309</v>
      </c>
    </row>
    <row r="311" spans="1:1">
      <c r="A311">
        <v>310</v>
      </c>
    </row>
    <row r="312" spans="1:1">
      <c r="A312">
        <v>311</v>
      </c>
    </row>
    <row r="313" spans="1:1">
      <c r="A313">
        <v>312</v>
      </c>
    </row>
    <row r="314" spans="1:1">
      <c r="A314">
        <v>313</v>
      </c>
    </row>
    <row r="315" spans="1:1">
      <c r="A315">
        <v>314</v>
      </c>
    </row>
    <row r="316" spans="1:1">
      <c r="A316">
        <v>315</v>
      </c>
    </row>
    <row r="317" spans="1:1">
      <c r="A317">
        <v>316</v>
      </c>
    </row>
    <row r="318" spans="1:1">
      <c r="A318">
        <v>317</v>
      </c>
    </row>
    <row r="319" spans="1:1">
      <c r="A319">
        <v>318</v>
      </c>
    </row>
    <row r="320" spans="1:1">
      <c r="A320">
        <v>319</v>
      </c>
    </row>
    <row r="321" spans="1:1">
      <c r="A321">
        <v>320</v>
      </c>
    </row>
    <row r="322" spans="1:1">
      <c r="A322">
        <v>321</v>
      </c>
    </row>
    <row r="323" spans="1:1">
      <c r="A323">
        <v>322</v>
      </c>
    </row>
    <row r="324" spans="1:1">
      <c r="A324">
        <v>323</v>
      </c>
    </row>
    <row r="325" spans="1:1">
      <c r="A325">
        <v>324</v>
      </c>
    </row>
    <row r="326" spans="1:1">
      <c r="A326">
        <v>325</v>
      </c>
    </row>
    <row r="327" spans="1:1">
      <c r="A327">
        <v>326</v>
      </c>
    </row>
    <row r="328" spans="1:1">
      <c r="A328">
        <v>327</v>
      </c>
    </row>
    <row r="329" spans="1:1">
      <c r="A329">
        <v>328</v>
      </c>
    </row>
    <row r="330" spans="1:1">
      <c r="A330">
        <v>329</v>
      </c>
    </row>
    <row r="331" spans="1:1">
      <c r="A331">
        <v>330</v>
      </c>
    </row>
    <row r="332" spans="1:1">
      <c r="A332">
        <v>331</v>
      </c>
    </row>
    <row r="333" spans="1:1">
      <c r="A333">
        <v>332</v>
      </c>
    </row>
    <row r="334" spans="1:1">
      <c r="A334">
        <v>333</v>
      </c>
    </row>
    <row r="335" spans="1:1">
      <c r="A335">
        <v>334</v>
      </c>
    </row>
    <row r="336" spans="1:1">
      <c r="A336">
        <v>335</v>
      </c>
    </row>
    <row r="337" spans="1:1">
      <c r="A337">
        <v>336</v>
      </c>
    </row>
    <row r="338" spans="1:1">
      <c r="A338">
        <v>337</v>
      </c>
    </row>
    <row r="339" spans="1:1">
      <c r="A339">
        <v>338</v>
      </c>
    </row>
    <row r="340" spans="1:1">
      <c r="A340">
        <v>339</v>
      </c>
    </row>
    <row r="341" spans="1:1">
      <c r="A341">
        <v>340</v>
      </c>
    </row>
    <row r="342" spans="1:1">
      <c r="A342">
        <v>341</v>
      </c>
    </row>
    <row r="343" spans="1:1">
      <c r="A343">
        <v>342</v>
      </c>
    </row>
    <row r="344" spans="1:1">
      <c r="A344">
        <v>343</v>
      </c>
    </row>
    <row r="345" spans="1:1">
      <c r="A345">
        <v>344</v>
      </c>
    </row>
    <row r="346" spans="1:1">
      <c r="A346">
        <v>345</v>
      </c>
    </row>
    <row r="347" spans="1:1">
      <c r="A347">
        <v>346</v>
      </c>
    </row>
    <row r="348" spans="1:1">
      <c r="A348">
        <v>347</v>
      </c>
    </row>
    <row r="349" spans="1:1">
      <c r="A349">
        <v>348</v>
      </c>
    </row>
    <row r="350" spans="1:1">
      <c r="A350">
        <v>349</v>
      </c>
    </row>
    <row r="351" spans="1:1">
      <c r="A351">
        <v>350</v>
      </c>
    </row>
    <row r="352" spans="1:1">
      <c r="A352">
        <v>351</v>
      </c>
    </row>
    <row r="353" spans="1:1">
      <c r="A353">
        <v>352</v>
      </c>
    </row>
    <row r="354" spans="1:1">
      <c r="A354">
        <v>353</v>
      </c>
    </row>
    <row r="355" spans="1:1">
      <c r="A355">
        <v>354</v>
      </c>
    </row>
    <row r="356" spans="1:1">
      <c r="A356">
        <v>355</v>
      </c>
    </row>
    <row r="357" spans="1:1">
      <c r="A357">
        <v>356</v>
      </c>
    </row>
    <row r="358" spans="1:1">
      <c r="A358">
        <v>357</v>
      </c>
    </row>
    <row r="359" spans="1:1">
      <c r="A359">
        <v>358</v>
      </c>
    </row>
    <row r="360" spans="1:1">
      <c r="A360">
        <v>359</v>
      </c>
    </row>
    <row r="361" spans="1:1">
      <c r="A361">
        <v>360</v>
      </c>
    </row>
    <row r="362" spans="1:1">
      <c r="A362">
        <v>361</v>
      </c>
    </row>
    <row r="363" spans="1:1">
      <c r="A363">
        <v>362</v>
      </c>
    </row>
    <row r="364" spans="1:1">
      <c r="A364">
        <v>363</v>
      </c>
    </row>
    <row r="365" spans="1:1">
      <c r="A365">
        <v>364</v>
      </c>
    </row>
    <row r="366" spans="1:1">
      <c r="A366">
        <v>365</v>
      </c>
    </row>
    <row r="367" spans="1:1">
      <c r="A367">
        <v>366</v>
      </c>
    </row>
    <row r="368" spans="1:1">
      <c r="A368">
        <v>367</v>
      </c>
    </row>
    <row r="369" spans="1:1">
      <c r="A369">
        <v>368</v>
      </c>
    </row>
    <row r="370" spans="1:1">
      <c r="A370">
        <v>369</v>
      </c>
    </row>
    <row r="371" spans="1:1">
      <c r="A371">
        <v>370</v>
      </c>
    </row>
    <row r="372" spans="1:1">
      <c r="A372">
        <v>371</v>
      </c>
    </row>
    <row r="373" spans="1:1">
      <c r="A373">
        <v>372</v>
      </c>
    </row>
    <row r="374" spans="1:1">
      <c r="A374">
        <v>373</v>
      </c>
    </row>
    <row r="375" spans="1:1">
      <c r="A375">
        <v>374</v>
      </c>
    </row>
    <row r="376" spans="1:1">
      <c r="A376">
        <v>375</v>
      </c>
    </row>
    <row r="377" spans="1:1">
      <c r="A377">
        <v>376</v>
      </c>
    </row>
    <row r="378" spans="1:1">
      <c r="A378">
        <v>377</v>
      </c>
    </row>
    <row r="379" spans="1:1">
      <c r="A379">
        <v>378</v>
      </c>
    </row>
    <row r="380" spans="1:1">
      <c r="A380">
        <v>379</v>
      </c>
    </row>
    <row r="381" spans="1:1">
      <c r="A381">
        <v>380</v>
      </c>
    </row>
    <row r="382" spans="1:1">
      <c r="A382">
        <v>381</v>
      </c>
    </row>
    <row r="383" spans="1:1">
      <c r="A383">
        <v>382</v>
      </c>
    </row>
    <row r="384" spans="1:1">
      <c r="A384">
        <v>383</v>
      </c>
    </row>
    <row r="385" spans="1:1">
      <c r="A385">
        <v>384</v>
      </c>
    </row>
    <row r="386" spans="1:1">
      <c r="A386">
        <v>385</v>
      </c>
    </row>
    <row r="387" spans="1:1">
      <c r="A387">
        <v>386</v>
      </c>
    </row>
    <row r="388" spans="1:1">
      <c r="A388">
        <v>387</v>
      </c>
    </row>
    <row r="389" spans="1:1">
      <c r="A389">
        <v>388</v>
      </c>
    </row>
    <row r="390" spans="1:1">
      <c r="A390">
        <v>389</v>
      </c>
    </row>
    <row r="391" spans="1:1">
      <c r="A391">
        <v>390</v>
      </c>
    </row>
    <row r="392" spans="1:1">
      <c r="A392">
        <v>391</v>
      </c>
    </row>
    <row r="393" spans="1:1">
      <c r="A393">
        <v>392</v>
      </c>
    </row>
    <row r="394" spans="1:1">
      <c r="A394">
        <v>393</v>
      </c>
    </row>
    <row r="395" spans="1:1">
      <c r="A395">
        <v>394</v>
      </c>
    </row>
    <row r="396" spans="1:1">
      <c r="A396">
        <v>395</v>
      </c>
    </row>
    <row r="397" spans="1:1">
      <c r="A397">
        <v>396</v>
      </c>
    </row>
    <row r="398" spans="1:1">
      <c r="A398">
        <v>397</v>
      </c>
    </row>
    <row r="399" spans="1:1">
      <c r="A399">
        <v>398</v>
      </c>
    </row>
    <row r="400" spans="1:1">
      <c r="A400">
        <v>399</v>
      </c>
    </row>
    <row r="401" spans="1:1">
      <c r="A401">
        <v>400</v>
      </c>
    </row>
    <row r="402" spans="1:1">
      <c r="A402">
        <v>401</v>
      </c>
    </row>
    <row r="403" spans="1:1">
      <c r="A403">
        <v>402</v>
      </c>
    </row>
    <row r="404" spans="1:1">
      <c r="A404">
        <v>403</v>
      </c>
    </row>
    <row r="405" spans="1:1">
      <c r="A405">
        <v>404</v>
      </c>
    </row>
    <row r="406" spans="1:1">
      <c r="A406">
        <v>405</v>
      </c>
    </row>
    <row r="407" spans="1:1">
      <c r="A407">
        <v>406</v>
      </c>
    </row>
    <row r="408" spans="1:1">
      <c r="A408">
        <v>407</v>
      </c>
    </row>
    <row r="409" spans="1:1">
      <c r="A409">
        <v>408</v>
      </c>
    </row>
    <row r="410" spans="1:1">
      <c r="A410">
        <v>409</v>
      </c>
    </row>
    <row r="411" spans="1:1">
      <c r="A411">
        <v>410</v>
      </c>
    </row>
    <row r="412" spans="1:1">
      <c r="A412">
        <v>411</v>
      </c>
    </row>
    <row r="413" spans="1:1">
      <c r="A413">
        <v>412</v>
      </c>
    </row>
    <row r="414" spans="1:1">
      <c r="A414">
        <v>413</v>
      </c>
    </row>
    <row r="415" spans="1:1">
      <c r="A415">
        <v>414</v>
      </c>
    </row>
    <row r="416" spans="1:1">
      <c r="A416">
        <v>415</v>
      </c>
    </row>
    <row r="417" spans="1:1">
      <c r="A417">
        <v>416</v>
      </c>
    </row>
    <row r="418" spans="1:1">
      <c r="A418">
        <v>417</v>
      </c>
    </row>
    <row r="419" spans="1:1">
      <c r="A419">
        <v>418</v>
      </c>
    </row>
    <row r="420" spans="1:1">
      <c r="A420">
        <v>419</v>
      </c>
    </row>
    <row r="421" spans="1:1">
      <c r="A421">
        <v>420</v>
      </c>
    </row>
    <row r="422" spans="1:1">
      <c r="A422">
        <v>421</v>
      </c>
    </row>
    <row r="423" spans="1:1">
      <c r="A423">
        <v>422</v>
      </c>
    </row>
    <row r="424" spans="1:1">
      <c r="A424">
        <v>423</v>
      </c>
    </row>
    <row r="425" spans="1:1">
      <c r="A425">
        <v>424</v>
      </c>
    </row>
    <row r="426" spans="1:1">
      <c r="A426">
        <v>425</v>
      </c>
    </row>
    <row r="427" spans="1:1">
      <c r="A427">
        <v>426</v>
      </c>
    </row>
    <row r="428" spans="1:1">
      <c r="A428">
        <v>427</v>
      </c>
    </row>
    <row r="429" spans="1:1">
      <c r="A429">
        <v>428</v>
      </c>
    </row>
    <row r="430" spans="1:1">
      <c r="A430">
        <v>429</v>
      </c>
    </row>
    <row r="431" spans="1:1">
      <c r="A431">
        <v>430</v>
      </c>
    </row>
    <row r="432" spans="1:1">
      <c r="A432">
        <v>431</v>
      </c>
    </row>
    <row r="433" spans="1:1">
      <c r="A433">
        <v>432</v>
      </c>
    </row>
    <row r="434" spans="1:1">
      <c r="A434">
        <v>433</v>
      </c>
    </row>
    <row r="435" spans="1:1">
      <c r="A435">
        <v>434</v>
      </c>
    </row>
    <row r="436" spans="1:1">
      <c r="A436">
        <v>435</v>
      </c>
    </row>
    <row r="437" spans="1:1">
      <c r="A437">
        <v>436</v>
      </c>
    </row>
    <row r="438" spans="1:1">
      <c r="A438">
        <v>437</v>
      </c>
    </row>
    <row r="439" spans="1:1">
      <c r="A439">
        <v>438</v>
      </c>
    </row>
    <row r="440" spans="1:1">
      <c r="A440">
        <v>439</v>
      </c>
    </row>
    <row r="441" spans="1:1">
      <c r="A441">
        <v>440</v>
      </c>
    </row>
    <row r="442" spans="1:1">
      <c r="A442">
        <v>441</v>
      </c>
    </row>
    <row r="443" spans="1:1">
      <c r="A443">
        <v>442</v>
      </c>
    </row>
    <row r="444" spans="1:1">
      <c r="A444">
        <v>443</v>
      </c>
    </row>
    <row r="445" spans="1:1">
      <c r="A445">
        <v>444</v>
      </c>
    </row>
    <row r="446" spans="1:1">
      <c r="A446">
        <v>445</v>
      </c>
    </row>
    <row r="447" spans="1:1">
      <c r="A447">
        <v>446</v>
      </c>
    </row>
    <row r="448" spans="1:1">
      <c r="A448">
        <v>447</v>
      </c>
    </row>
    <row r="449" spans="1:1">
      <c r="A449">
        <v>448</v>
      </c>
    </row>
    <row r="450" spans="1:1">
      <c r="A450">
        <v>449</v>
      </c>
    </row>
    <row r="451" spans="1:1">
      <c r="A451">
        <v>450</v>
      </c>
    </row>
    <row r="452" spans="1:1">
      <c r="A452">
        <v>451</v>
      </c>
    </row>
    <row r="453" spans="1:1">
      <c r="A453">
        <v>452</v>
      </c>
    </row>
    <row r="454" spans="1:1">
      <c r="A454">
        <v>453</v>
      </c>
    </row>
    <row r="455" spans="1:1">
      <c r="A455">
        <v>454</v>
      </c>
    </row>
    <row r="456" spans="1:1">
      <c r="A456">
        <v>455</v>
      </c>
    </row>
    <row r="457" spans="1:1">
      <c r="A457">
        <v>456</v>
      </c>
    </row>
    <row r="458" spans="1:1">
      <c r="A458">
        <v>457</v>
      </c>
    </row>
    <row r="459" spans="1:1">
      <c r="A459">
        <v>458</v>
      </c>
    </row>
    <row r="460" spans="1:1">
      <c r="A460">
        <v>459</v>
      </c>
    </row>
    <row r="461" spans="1:1">
      <c r="A461">
        <v>460</v>
      </c>
    </row>
    <row r="462" spans="1:1">
      <c r="A462">
        <v>461</v>
      </c>
    </row>
    <row r="463" spans="1:1">
      <c r="A463">
        <v>462</v>
      </c>
    </row>
    <row r="464" spans="1:1">
      <c r="A464">
        <v>463</v>
      </c>
    </row>
    <row r="465" spans="1:1">
      <c r="A465">
        <v>464</v>
      </c>
    </row>
    <row r="466" spans="1:1">
      <c r="A466">
        <v>465</v>
      </c>
    </row>
    <row r="467" spans="1:1">
      <c r="A467">
        <v>466</v>
      </c>
    </row>
    <row r="468" spans="1:1">
      <c r="A468">
        <v>467</v>
      </c>
    </row>
    <row r="469" spans="1:1">
      <c r="A469">
        <v>468</v>
      </c>
    </row>
    <row r="470" spans="1:1">
      <c r="A470">
        <v>469</v>
      </c>
    </row>
    <row r="471" spans="1:1">
      <c r="A471">
        <v>470</v>
      </c>
    </row>
    <row r="472" spans="1:1">
      <c r="A472">
        <v>471</v>
      </c>
    </row>
    <row r="473" spans="1:1">
      <c r="A473">
        <v>472</v>
      </c>
    </row>
    <row r="474" spans="1:1">
      <c r="A474">
        <v>473</v>
      </c>
    </row>
    <row r="475" spans="1:1">
      <c r="A475">
        <v>474</v>
      </c>
    </row>
    <row r="476" spans="1:1">
      <c r="A476">
        <v>475</v>
      </c>
    </row>
    <row r="477" spans="1:1">
      <c r="A477">
        <v>476</v>
      </c>
    </row>
    <row r="478" spans="1:1">
      <c r="A478">
        <v>477</v>
      </c>
    </row>
    <row r="479" spans="1:1">
      <c r="A479">
        <v>478</v>
      </c>
    </row>
    <row r="480" spans="1:1">
      <c r="A480">
        <v>479</v>
      </c>
    </row>
    <row r="481" spans="1:1">
      <c r="A481">
        <v>480</v>
      </c>
    </row>
    <row r="482" spans="1:1">
      <c r="A482">
        <v>481</v>
      </c>
    </row>
    <row r="483" spans="1:1">
      <c r="A483">
        <v>482</v>
      </c>
    </row>
    <row r="484" spans="1:1">
      <c r="A484">
        <v>483</v>
      </c>
    </row>
    <row r="485" spans="1:1">
      <c r="A485">
        <v>484</v>
      </c>
    </row>
    <row r="486" spans="1:1">
      <c r="A486">
        <v>485</v>
      </c>
    </row>
    <row r="487" spans="1:1">
      <c r="A487">
        <v>486</v>
      </c>
    </row>
    <row r="488" spans="1:1">
      <c r="A488">
        <v>487</v>
      </c>
    </row>
    <row r="489" spans="1:1">
      <c r="A489">
        <v>488</v>
      </c>
    </row>
    <row r="490" spans="1:1">
      <c r="A490">
        <v>489</v>
      </c>
    </row>
    <row r="491" spans="1:1">
      <c r="A491">
        <v>490</v>
      </c>
    </row>
    <row r="492" spans="1:1">
      <c r="A492">
        <v>491</v>
      </c>
    </row>
    <row r="493" spans="1:1">
      <c r="A493">
        <v>492</v>
      </c>
    </row>
    <row r="494" spans="1:1">
      <c r="A494">
        <v>493</v>
      </c>
    </row>
    <row r="495" spans="1:1">
      <c r="A495">
        <v>494</v>
      </c>
    </row>
    <row r="496" spans="1:1">
      <c r="A496">
        <v>495</v>
      </c>
    </row>
    <row r="497" spans="1:1">
      <c r="A497">
        <v>496</v>
      </c>
    </row>
    <row r="498" spans="1:1">
      <c r="A498">
        <v>497</v>
      </c>
    </row>
    <row r="499" spans="1:1">
      <c r="A499">
        <v>498</v>
      </c>
    </row>
    <row r="500" spans="1:1">
      <c r="A500">
        <v>499</v>
      </c>
    </row>
    <row r="501" spans="1:1">
      <c r="A501">
        <v>500</v>
      </c>
    </row>
    <row r="502" spans="1:1">
      <c r="A502">
        <v>501</v>
      </c>
    </row>
    <row r="503" spans="1:1">
      <c r="A503">
        <v>502</v>
      </c>
    </row>
    <row r="504" spans="1:1">
      <c r="A504">
        <v>503</v>
      </c>
    </row>
    <row r="505" spans="1:1">
      <c r="A505">
        <v>504</v>
      </c>
    </row>
    <row r="506" spans="1:1">
      <c r="A506">
        <v>505</v>
      </c>
    </row>
    <row r="507" spans="1:1">
      <c r="A507">
        <v>506</v>
      </c>
    </row>
    <row r="508" spans="1:1">
      <c r="A508">
        <v>507</v>
      </c>
    </row>
    <row r="509" spans="1:1">
      <c r="A509">
        <v>508</v>
      </c>
    </row>
    <row r="510" spans="1:1">
      <c r="A510">
        <v>509</v>
      </c>
    </row>
    <row r="511" spans="1:1">
      <c r="A511">
        <v>510</v>
      </c>
    </row>
    <row r="512" spans="1:1">
      <c r="A512">
        <v>511</v>
      </c>
    </row>
    <row r="513" spans="1:1">
      <c r="A513">
        <v>512</v>
      </c>
    </row>
    <row r="514" spans="1:1">
      <c r="A514">
        <v>513</v>
      </c>
    </row>
    <row r="515" spans="1:1">
      <c r="A515">
        <v>514</v>
      </c>
    </row>
    <row r="516" spans="1:1">
      <c r="A516">
        <v>515</v>
      </c>
    </row>
    <row r="517" spans="1:1">
      <c r="A517">
        <v>516</v>
      </c>
    </row>
    <row r="518" spans="1:1">
      <c r="A518">
        <v>517</v>
      </c>
    </row>
    <row r="519" spans="1:1">
      <c r="A519">
        <v>518</v>
      </c>
    </row>
    <row r="520" spans="1:1">
      <c r="A520">
        <v>519</v>
      </c>
    </row>
    <row r="521" spans="1:1">
      <c r="A521">
        <v>520</v>
      </c>
    </row>
    <row r="522" spans="1:1">
      <c r="A522">
        <v>521</v>
      </c>
    </row>
    <row r="523" spans="1:1">
      <c r="A523">
        <v>522</v>
      </c>
    </row>
    <row r="524" spans="1:1">
      <c r="A524">
        <v>523</v>
      </c>
    </row>
    <row r="525" spans="1:1">
      <c r="A525">
        <v>524</v>
      </c>
    </row>
    <row r="526" spans="1:1">
      <c r="A526">
        <v>525</v>
      </c>
    </row>
    <row r="527" spans="1:1">
      <c r="A527">
        <v>526</v>
      </c>
    </row>
    <row r="528" spans="1:1">
      <c r="A528">
        <v>527</v>
      </c>
    </row>
    <row r="529" spans="1:1">
      <c r="A529">
        <v>528</v>
      </c>
    </row>
    <row r="530" spans="1:1">
      <c r="A530">
        <v>529</v>
      </c>
    </row>
    <row r="531" spans="1:1">
      <c r="A531">
        <v>530</v>
      </c>
    </row>
    <row r="532" spans="1:1">
      <c r="A532">
        <v>531</v>
      </c>
    </row>
    <row r="533" spans="1:1">
      <c r="A533">
        <v>532</v>
      </c>
    </row>
    <row r="534" spans="1:1">
      <c r="A534">
        <v>533</v>
      </c>
    </row>
    <row r="535" spans="1:1">
      <c r="A535">
        <v>534</v>
      </c>
    </row>
    <row r="536" spans="1:1">
      <c r="A536">
        <v>535</v>
      </c>
    </row>
    <row r="537" spans="1:1">
      <c r="A537">
        <v>536</v>
      </c>
    </row>
    <row r="538" spans="1:1">
      <c r="A538">
        <v>537</v>
      </c>
    </row>
    <row r="539" spans="1:1">
      <c r="A539">
        <v>538</v>
      </c>
    </row>
    <row r="540" spans="1:1">
      <c r="A540">
        <v>539</v>
      </c>
    </row>
    <row r="541" spans="1:1">
      <c r="A541">
        <v>540</v>
      </c>
    </row>
    <row r="542" spans="1:1">
      <c r="A542">
        <v>541</v>
      </c>
    </row>
    <row r="543" spans="1:1">
      <c r="A543">
        <v>542</v>
      </c>
    </row>
    <row r="544" spans="1:1">
      <c r="A544">
        <v>543</v>
      </c>
    </row>
    <row r="545" spans="1:1">
      <c r="A545">
        <v>544</v>
      </c>
    </row>
    <row r="546" spans="1:1">
      <c r="A546">
        <v>545</v>
      </c>
    </row>
    <row r="547" spans="1:1">
      <c r="A547">
        <v>546</v>
      </c>
    </row>
    <row r="548" spans="1:1">
      <c r="A548">
        <v>547</v>
      </c>
    </row>
    <row r="549" spans="1:1">
      <c r="A549">
        <v>548</v>
      </c>
    </row>
    <row r="550" spans="1:1">
      <c r="A550">
        <v>549</v>
      </c>
    </row>
    <row r="551" spans="1:1">
      <c r="A551">
        <v>550</v>
      </c>
    </row>
    <row r="552" spans="1:1">
      <c r="A552">
        <v>551</v>
      </c>
    </row>
    <row r="553" spans="1:1">
      <c r="A553">
        <v>552</v>
      </c>
    </row>
    <row r="554" spans="1:1">
      <c r="A554">
        <v>553</v>
      </c>
    </row>
    <row r="555" spans="1:1">
      <c r="A555">
        <v>554</v>
      </c>
    </row>
    <row r="556" spans="1:1">
      <c r="A556">
        <v>555</v>
      </c>
    </row>
    <row r="557" spans="1:1">
      <c r="A557">
        <v>556</v>
      </c>
    </row>
    <row r="558" spans="1:1">
      <c r="A558">
        <v>557</v>
      </c>
    </row>
    <row r="559" spans="1:1">
      <c r="A559">
        <v>558</v>
      </c>
    </row>
    <row r="560" spans="1:1">
      <c r="A560">
        <v>559</v>
      </c>
    </row>
    <row r="561" spans="1:1">
      <c r="A561">
        <v>560</v>
      </c>
    </row>
    <row r="562" spans="1:1">
      <c r="A562">
        <v>561</v>
      </c>
    </row>
    <row r="563" spans="1:1">
      <c r="A563">
        <v>562</v>
      </c>
    </row>
    <row r="564" spans="1:1">
      <c r="A564">
        <v>563</v>
      </c>
    </row>
    <row r="565" spans="1:1">
      <c r="A565">
        <v>564</v>
      </c>
    </row>
    <row r="566" spans="1:1">
      <c r="A566">
        <v>565</v>
      </c>
    </row>
    <row r="567" spans="1:1">
      <c r="A567">
        <v>566</v>
      </c>
    </row>
    <row r="568" spans="1:1">
      <c r="A568">
        <v>567</v>
      </c>
    </row>
    <row r="569" spans="1:1">
      <c r="A569">
        <v>568</v>
      </c>
    </row>
    <row r="570" spans="1:1">
      <c r="A570">
        <v>569</v>
      </c>
    </row>
    <row r="571" spans="1:1">
      <c r="A571">
        <v>570</v>
      </c>
    </row>
    <row r="572" spans="1:1">
      <c r="A572">
        <v>571</v>
      </c>
    </row>
    <row r="573" spans="1:1">
      <c r="A573">
        <v>572</v>
      </c>
    </row>
    <row r="574" spans="1:1">
      <c r="A574">
        <v>573</v>
      </c>
    </row>
    <row r="575" spans="1:1">
      <c r="A575">
        <v>574</v>
      </c>
    </row>
    <row r="576" spans="1:1">
      <c r="A576">
        <v>575</v>
      </c>
    </row>
    <row r="577" spans="1:1">
      <c r="A577">
        <v>576</v>
      </c>
    </row>
    <row r="578" spans="1:1">
      <c r="A578">
        <v>577</v>
      </c>
    </row>
    <row r="579" spans="1:1">
      <c r="A579">
        <v>578</v>
      </c>
    </row>
    <row r="580" spans="1:1">
      <c r="A580">
        <v>579</v>
      </c>
    </row>
    <row r="581" spans="1:1">
      <c r="A581">
        <v>580</v>
      </c>
    </row>
    <row r="582" spans="1:1">
      <c r="A582">
        <v>581</v>
      </c>
    </row>
    <row r="583" spans="1:1">
      <c r="A583">
        <v>582</v>
      </c>
    </row>
    <row r="584" spans="1:1">
      <c r="A584">
        <v>583</v>
      </c>
    </row>
    <row r="585" spans="1:1">
      <c r="A585">
        <v>584</v>
      </c>
    </row>
    <row r="586" spans="1:1">
      <c r="A586">
        <v>585</v>
      </c>
    </row>
    <row r="587" spans="1:1">
      <c r="A587">
        <v>586</v>
      </c>
    </row>
    <row r="588" spans="1:1">
      <c r="A588">
        <v>587</v>
      </c>
    </row>
    <row r="589" spans="1:1">
      <c r="A589">
        <v>588</v>
      </c>
    </row>
    <row r="590" spans="1:1">
      <c r="A590">
        <v>589</v>
      </c>
    </row>
    <row r="591" spans="1:1">
      <c r="A591">
        <v>590</v>
      </c>
    </row>
    <row r="592" spans="1:1">
      <c r="A592">
        <v>591</v>
      </c>
    </row>
    <row r="593" spans="1:1">
      <c r="A593">
        <v>592</v>
      </c>
    </row>
    <row r="594" spans="1:1">
      <c r="A594">
        <v>593</v>
      </c>
    </row>
    <row r="595" spans="1:1">
      <c r="A595">
        <v>594</v>
      </c>
    </row>
    <row r="596" spans="1:1">
      <c r="A596">
        <v>595</v>
      </c>
    </row>
    <row r="597" spans="1:1">
      <c r="A597">
        <v>596</v>
      </c>
    </row>
    <row r="598" spans="1:1">
      <c r="A598">
        <v>597</v>
      </c>
    </row>
    <row r="599" spans="1:1">
      <c r="A599">
        <v>598</v>
      </c>
    </row>
    <row r="600" spans="1:1">
      <c r="A600">
        <v>599</v>
      </c>
    </row>
    <row r="601" spans="1:1">
      <c r="A601">
        <v>600</v>
      </c>
    </row>
    <row r="602" spans="1:1">
      <c r="A602">
        <v>601</v>
      </c>
    </row>
    <row r="603" spans="1:1">
      <c r="A603">
        <v>602</v>
      </c>
    </row>
    <row r="604" spans="1:1">
      <c r="A604">
        <v>603</v>
      </c>
    </row>
    <row r="605" spans="1:1">
      <c r="A605">
        <v>604</v>
      </c>
    </row>
    <row r="606" spans="1:1">
      <c r="A606">
        <v>605</v>
      </c>
    </row>
    <row r="607" spans="1:1">
      <c r="A607">
        <v>606</v>
      </c>
    </row>
    <row r="608" spans="1:1">
      <c r="A608">
        <v>607</v>
      </c>
    </row>
    <row r="609" spans="1:1">
      <c r="A609">
        <v>608</v>
      </c>
    </row>
    <row r="610" spans="1:1">
      <c r="A610">
        <v>609</v>
      </c>
    </row>
    <row r="611" spans="1:1">
      <c r="A611">
        <v>610</v>
      </c>
    </row>
    <row r="612" spans="1:1">
      <c r="A612">
        <v>611</v>
      </c>
    </row>
    <row r="613" spans="1:1">
      <c r="A613">
        <v>612</v>
      </c>
    </row>
    <row r="614" spans="1:1">
      <c r="A614">
        <v>613</v>
      </c>
    </row>
    <row r="615" spans="1:1">
      <c r="A615">
        <v>614</v>
      </c>
    </row>
    <row r="616" spans="1:1">
      <c r="A616">
        <v>615</v>
      </c>
    </row>
    <row r="617" spans="1:1">
      <c r="A617">
        <v>616</v>
      </c>
    </row>
    <row r="618" spans="1:1">
      <c r="A618">
        <v>617</v>
      </c>
    </row>
    <row r="619" spans="1:1">
      <c r="A619">
        <v>618</v>
      </c>
    </row>
    <row r="620" spans="1:1">
      <c r="A620">
        <v>619</v>
      </c>
    </row>
    <row r="621" spans="1:1">
      <c r="A621">
        <v>620</v>
      </c>
    </row>
    <row r="622" spans="1:1">
      <c r="A622">
        <v>621</v>
      </c>
    </row>
    <row r="623" spans="1:1">
      <c r="A623">
        <v>622</v>
      </c>
    </row>
    <row r="624" spans="1:1">
      <c r="A624">
        <v>623</v>
      </c>
    </row>
    <row r="625" spans="1:1">
      <c r="A625">
        <v>624</v>
      </c>
    </row>
    <row r="626" spans="1:1">
      <c r="A626">
        <v>625</v>
      </c>
    </row>
    <row r="627" spans="1:1">
      <c r="A627">
        <v>626</v>
      </c>
    </row>
    <row r="628" spans="1:1">
      <c r="A628">
        <v>627</v>
      </c>
    </row>
    <row r="629" spans="1:1">
      <c r="A629">
        <v>628</v>
      </c>
    </row>
    <row r="630" spans="1:1">
      <c r="A630">
        <v>629</v>
      </c>
    </row>
    <row r="631" spans="1:1">
      <c r="A631">
        <v>630</v>
      </c>
    </row>
    <row r="632" spans="1:1">
      <c r="A632">
        <v>631</v>
      </c>
    </row>
    <row r="633" spans="1:1">
      <c r="A633">
        <v>632</v>
      </c>
    </row>
    <row r="634" spans="1:1">
      <c r="A634">
        <v>633</v>
      </c>
    </row>
    <row r="635" spans="1:1">
      <c r="A635">
        <v>634</v>
      </c>
    </row>
    <row r="636" spans="1:1">
      <c r="A636">
        <v>635</v>
      </c>
    </row>
    <row r="637" spans="1:1">
      <c r="A637">
        <v>636</v>
      </c>
    </row>
    <row r="638" spans="1:1">
      <c r="A638">
        <v>637</v>
      </c>
    </row>
    <row r="639" spans="1:1">
      <c r="A639">
        <v>638</v>
      </c>
    </row>
    <row r="640" spans="1:1">
      <c r="A640">
        <v>639</v>
      </c>
    </row>
    <row r="641" spans="1:1">
      <c r="A641">
        <v>640</v>
      </c>
    </row>
    <row r="642" spans="1:1">
      <c r="A642">
        <v>641</v>
      </c>
    </row>
    <row r="643" spans="1:1">
      <c r="A643">
        <v>642</v>
      </c>
    </row>
    <row r="644" spans="1:1">
      <c r="A644">
        <v>643</v>
      </c>
    </row>
    <row r="645" spans="1:1">
      <c r="A645">
        <v>644</v>
      </c>
    </row>
    <row r="646" spans="1:1">
      <c r="A646">
        <v>645</v>
      </c>
    </row>
    <row r="647" spans="1:1">
      <c r="A647">
        <v>646</v>
      </c>
    </row>
    <row r="648" spans="1:1">
      <c r="A648">
        <v>647</v>
      </c>
    </row>
    <row r="649" spans="1:1">
      <c r="A649">
        <v>648</v>
      </c>
    </row>
    <row r="650" spans="1:1">
      <c r="A650">
        <v>649</v>
      </c>
    </row>
    <row r="651" spans="1:1">
      <c r="A651">
        <v>650</v>
      </c>
    </row>
    <row r="652" spans="1:1">
      <c r="A652">
        <v>651</v>
      </c>
    </row>
    <row r="653" spans="1:1">
      <c r="A653">
        <v>652</v>
      </c>
    </row>
    <row r="654" spans="1:1">
      <c r="A654">
        <v>653</v>
      </c>
    </row>
    <row r="655" spans="1:1">
      <c r="A655">
        <v>654</v>
      </c>
    </row>
    <row r="656" spans="1:1">
      <c r="A656">
        <v>655</v>
      </c>
    </row>
    <row r="657" spans="1:1">
      <c r="A657">
        <v>656</v>
      </c>
    </row>
    <row r="658" spans="1:1">
      <c r="A658">
        <v>657</v>
      </c>
    </row>
    <row r="659" spans="1:1">
      <c r="A659">
        <v>658</v>
      </c>
    </row>
    <row r="660" spans="1:1">
      <c r="A660">
        <v>659</v>
      </c>
    </row>
    <row r="661" spans="1:1">
      <c r="A661">
        <v>660</v>
      </c>
    </row>
    <row r="662" spans="1:1">
      <c r="A662">
        <v>661</v>
      </c>
    </row>
    <row r="663" spans="1:1">
      <c r="A663">
        <v>662</v>
      </c>
    </row>
    <row r="664" spans="1:1">
      <c r="A664">
        <v>663</v>
      </c>
    </row>
    <row r="665" spans="1:1">
      <c r="A665">
        <v>664</v>
      </c>
    </row>
    <row r="666" spans="1:1">
      <c r="A666">
        <v>665</v>
      </c>
    </row>
    <row r="667" spans="1:1">
      <c r="A667">
        <v>666</v>
      </c>
    </row>
    <row r="668" spans="1:1">
      <c r="A668">
        <v>667</v>
      </c>
    </row>
    <row r="669" spans="1:1">
      <c r="A669">
        <v>668</v>
      </c>
    </row>
    <row r="670" spans="1:1">
      <c r="A670">
        <v>669</v>
      </c>
    </row>
    <row r="671" spans="1:1">
      <c r="A671">
        <v>670</v>
      </c>
    </row>
    <row r="672" spans="1:1">
      <c r="A672">
        <v>671</v>
      </c>
    </row>
    <row r="673" spans="1:1">
      <c r="A673">
        <v>672</v>
      </c>
    </row>
    <row r="674" spans="1:1">
      <c r="A674">
        <v>673</v>
      </c>
    </row>
    <row r="675" spans="1:1">
      <c r="A675">
        <v>674</v>
      </c>
    </row>
    <row r="676" spans="1:1">
      <c r="A676">
        <v>675</v>
      </c>
    </row>
    <row r="677" spans="1:1">
      <c r="A677">
        <v>676</v>
      </c>
    </row>
    <row r="678" spans="1:1">
      <c r="A678">
        <v>677</v>
      </c>
    </row>
    <row r="679" spans="1:1">
      <c r="A679">
        <v>678</v>
      </c>
    </row>
    <row r="680" spans="1:1">
      <c r="A680">
        <v>679</v>
      </c>
    </row>
    <row r="681" spans="1:1">
      <c r="A681">
        <v>680</v>
      </c>
    </row>
    <row r="682" spans="1:1">
      <c r="A682">
        <v>681</v>
      </c>
    </row>
    <row r="683" spans="1:1">
      <c r="A683">
        <v>682</v>
      </c>
    </row>
    <row r="684" spans="1:1">
      <c r="A684">
        <v>683</v>
      </c>
    </row>
    <row r="685" spans="1:1">
      <c r="A685">
        <v>684</v>
      </c>
    </row>
    <row r="686" spans="1:1">
      <c r="A686">
        <v>685</v>
      </c>
    </row>
    <row r="687" spans="1:1">
      <c r="A687">
        <v>686</v>
      </c>
    </row>
    <row r="688" spans="1:1">
      <c r="A688">
        <v>687</v>
      </c>
    </row>
    <row r="689" spans="1:1">
      <c r="A689">
        <v>688</v>
      </c>
    </row>
    <row r="690" spans="1:1">
      <c r="A690">
        <v>689</v>
      </c>
    </row>
    <row r="691" spans="1:1">
      <c r="A691">
        <v>690</v>
      </c>
    </row>
    <row r="692" spans="1:1">
      <c r="A692">
        <v>691</v>
      </c>
    </row>
    <row r="693" spans="1:1">
      <c r="A693">
        <v>692</v>
      </c>
    </row>
    <row r="694" spans="1:1">
      <c r="A694">
        <v>693</v>
      </c>
    </row>
    <row r="695" spans="1:1">
      <c r="A695">
        <v>694</v>
      </c>
    </row>
    <row r="696" spans="1:1">
      <c r="A696">
        <v>695</v>
      </c>
    </row>
    <row r="697" spans="1:1">
      <c r="A697">
        <v>696</v>
      </c>
    </row>
    <row r="698" spans="1:1">
      <c r="A698">
        <v>697</v>
      </c>
    </row>
    <row r="699" spans="1:1">
      <c r="A699">
        <v>698</v>
      </c>
    </row>
    <row r="700" spans="1:1">
      <c r="A700">
        <v>699</v>
      </c>
    </row>
    <row r="701" spans="1:1">
      <c r="A701">
        <v>700</v>
      </c>
    </row>
    <row r="702" spans="1:1">
      <c r="A702">
        <v>701</v>
      </c>
    </row>
    <row r="703" spans="1:1">
      <c r="A703">
        <v>702</v>
      </c>
    </row>
    <row r="704" spans="1:1">
      <c r="A704">
        <v>703</v>
      </c>
    </row>
    <row r="705" spans="1:1">
      <c r="A705">
        <v>704</v>
      </c>
    </row>
    <row r="706" spans="1:1">
      <c r="A706">
        <v>705</v>
      </c>
    </row>
    <row r="707" spans="1:1">
      <c r="A707">
        <v>706</v>
      </c>
    </row>
    <row r="708" spans="1:1">
      <c r="A708">
        <v>707</v>
      </c>
    </row>
    <row r="709" spans="1:1">
      <c r="A709">
        <v>708</v>
      </c>
    </row>
    <row r="710" spans="1:1">
      <c r="A710">
        <v>709</v>
      </c>
    </row>
    <row r="711" spans="1:1">
      <c r="A711">
        <v>710</v>
      </c>
    </row>
    <row r="712" spans="1:1">
      <c r="A712">
        <v>711</v>
      </c>
    </row>
    <row r="713" spans="1:1">
      <c r="A713">
        <v>712</v>
      </c>
    </row>
    <row r="714" spans="1:1">
      <c r="A714">
        <v>713</v>
      </c>
    </row>
    <row r="715" spans="1:1">
      <c r="A715">
        <v>714</v>
      </c>
    </row>
    <row r="716" spans="1:1">
      <c r="A716">
        <v>715</v>
      </c>
    </row>
    <row r="717" spans="1:1">
      <c r="A717">
        <v>716</v>
      </c>
    </row>
    <row r="718" spans="1:1">
      <c r="A718">
        <v>717</v>
      </c>
    </row>
    <row r="719" spans="1:1">
      <c r="A719">
        <v>718</v>
      </c>
    </row>
    <row r="720" spans="1:1">
      <c r="A720">
        <v>719</v>
      </c>
    </row>
    <row r="721" spans="1:1">
      <c r="A721">
        <v>720</v>
      </c>
    </row>
    <row r="722" spans="1:1">
      <c r="A722">
        <v>721</v>
      </c>
    </row>
    <row r="723" spans="1:1">
      <c r="A723">
        <v>722</v>
      </c>
    </row>
    <row r="724" spans="1:1">
      <c r="A724">
        <v>723</v>
      </c>
    </row>
    <row r="725" spans="1:1">
      <c r="A725">
        <v>724</v>
      </c>
    </row>
    <row r="726" spans="1:1">
      <c r="A726">
        <v>725</v>
      </c>
    </row>
    <row r="727" spans="1:1">
      <c r="A727">
        <v>726</v>
      </c>
    </row>
    <row r="728" spans="1:1">
      <c r="A728">
        <v>727</v>
      </c>
    </row>
    <row r="729" spans="1:1">
      <c r="A729">
        <v>728</v>
      </c>
    </row>
    <row r="730" spans="1:1">
      <c r="A730">
        <v>729</v>
      </c>
    </row>
    <row r="731" spans="1:1">
      <c r="A731">
        <v>730</v>
      </c>
    </row>
    <row r="732" spans="1:1">
      <c r="A732">
        <v>731</v>
      </c>
    </row>
    <row r="733" spans="1:1">
      <c r="A733">
        <v>732</v>
      </c>
    </row>
    <row r="734" spans="1:1">
      <c r="A734">
        <v>733</v>
      </c>
    </row>
    <row r="735" spans="1:1">
      <c r="A735">
        <v>734</v>
      </c>
    </row>
    <row r="736" spans="1:1">
      <c r="A736">
        <v>735</v>
      </c>
    </row>
    <row r="737" spans="1:1">
      <c r="A737">
        <v>736</v>
      </c>
    </row>
    <row r="738" spans="1:1">
      <c r="A738">
        <v>737</v>
      </c>
    </row>
    <row r="739" spans="1:1">
      <c r="A739">
        <v>738</v>
      </c>
    </row>
    <row r="740" spans="1:1">
      <c r="A740">
        <v>739</v>
      </c>
    </row>
    <row r="741" spans="1:1">
      <c r="A741">
        <v>740</v>
      </c>
    </row>
    <row r="742" spans="1:1">
      <c r="A742">
        <v>741</v>
      </c>
    </row>
    <row r="743" spans="1:1">
      <c r="A743">
        <v>742</v>
      </c>
    </row>
    <row r="744" spans="1:1">
      <c r="A744">
        <v>743</v>
      </c>
    </row>
    <row r="745" spans="1:1">
      <c r="A745">
        <v>744</v>
      </c>
    </row>
    <row r="746" spans="1:1">
      <c r="A746">
        <v>745</v>
      </c>
    </row>
    <row r="747" spans="1:1">
      <c r="A747">
        <v>746</v>
      </c>
    </row>
    <row r="748" spans="1:1">
      <c r="A748">
        <v>747</v>
      </c>
    </row>
    <row r="749" spans="1:1">
      <c r="A749">
        <v>748</v>
      </c>
    </row>
    <row r="750" spans="1:1">
      <c r="A750">
        <v>749</v>
      </c>
    </row>
    <row r="751" spans="1:1">
      <c r="A751">
        <v>750</v>
      </c>
    </row>
    <row r="752" spans="1:1">
      <c r="A752">
        <v>751</v>
      </c>
    </row>
    <row r="753" spans="1:1">
      <c r="A753">
        <v>752</v>
      </c>
    </row>
    <row r="754" spans="1:1">
      <c r="A754">
        <v>753</v>
      </c>
    </row>
    <row r="755" spans="1:1">
      <c r="A755">
        <v>754</v>
      </c>
    </row>
    <row r="756" spans="1:1">
      <c r="A756">
        <v>755</v>
      </c>
    </row>
    <row r="757" spans="1:1">
      <c r="A757">
        <v>756</v>
      </c>
    </row>
    <row r="758" spans="1:1">
      <c r="A758">
        <v>757</v>
      </c>
    </row>
    <row r="759" spans="1:1">
      <c r="A759">
        <v>758</v>
      </c>
    </row>
    <row r="760" spans="1:1">
      <c r="A760">
        <v>759</v>
      </c>
    </row>
    <row r="761" spans="1:1">
      <c r="A761">
        <v>760</v>
      </c>
    </row>
    <row r="762" spans="1:1">
      <c r="A762">
        <v>761</v>
      </c>
    </row>
    <row r="763" spans="1:1">
      <c r="A763">
        <v>762</v>
      </c>
    </row>
    <row r="764" spans="1:1">
      <c r="A764">
        <v>763</v>
      </c>
    </row>
    <row r="765" spans="1:1">
      <c r="A765">
        <v>764</v>
      </c>
    </row>
    <row r="766" spans="1:1">
      <c r="A766">
        <v>765</v>
      </c>
    </row>
    <row r="767" spans="1:1">
      <c r="A767">
        <v>766</v>
      </c>
    </row>
    <row r="768" spans="1:1">
      <c r="A768">
        <v>767</v>
      </c>
    </row>
    <row r="769" spans="1:1">
      <c r="A769">
        <v>768</v>
      </c>
    </row>
    <row r="770" spans="1:1">
      <c r="A770">
        <v>769</v>
      </c>
    </row>
    <row r="771" spans="1:1">
      <c r="A771">
        <v>770</v>
      </c>
    </row>
    <row r="772" spans="1:1">
      <c r="A772">
        <v>771</v>
      </c>
    </row>
    <row r="773" spans="1:1">
      <c r="A773">
        <v>772</v>
      </c>
    </row>
    <row r="774" spans="1:1">
      <c r="A774">
        <v>773</v>
      </c>
    </row>
    <row r="775" spans="1:1">
      <c r="A775">
        <v>774</v>
      </c>
    </row>
    <row r="776" spans="1:1">
      <c r="A776">
        <v>775</v>
      </c>
    </row>
    <row r="777" spans="1:1">
      <c r="A777">
        <v>776</v>
      </c>
    </row>
    <row r="778" spans="1:1">
      <c r="A778">
        <v>777</v>
      </c>
    </row>
    <row r="779" spans="1:1">
      <c r="A779">
        <v>778</v>
      </c>
    </row>
    <row r="780" spans="1:1">
      <c r="A780">
        <v>779</v>
      </c>
    </row>
    <row r="781" spans="1:1">
      <c r="A781">
        <v>780</v>
      </c>
    </row>
    <row r="782" spans="1:1">
      <c r="A782">
        <v>781</v>
      </c>
    </row>
    <row r="783" spans="1:1">
      <c r="A783">
        <v>782</v>
      </c>
    </row>
    <row r="784" spans="1:1">
      <c r="A784">
        <v>783</v>
      </c>
    </row>
    <row r="785" spans="1:1">
      <c r="A785">
        <v>784</v>
      </c>
    </row>
    <row r="786" spans="1:1">
      <c r="A786">
        <v>785</v>
      </c>
    </row>
    <row r="787" spans="1:1">
      <c r="A787">
        <v>786</v>
      </c>
    </row>
    <row r="788" spans="1:1">
      <c r="A788">
        <v>787</v>
      </c>
    </row>
    <row r="789" spans="1:1">
      <c r="A789">
        <v>788</v>
      </c>
    </row>
    <row r="790" spans="1:1">
      <c r="A790">
        <v>789</v>
      </c>
    </row>
    <row r="791" spans="1:1">
      <c r="A791">
        <v>790</v>
      </c>
    </row>
    <row r="792" spans="1:1">
      <c r="A792">
        <v>791</v>
      </c>
    </row>
    <row r="793" spans="1:1">
      <c r="A793">
        <v>792</v>
      </c>
    </row>
    <row r="794" spans="1:1">
      <c r="A794">
        <v>793</v>
      </c>
    </row>
    <row r="795" spans="1:1">
      <c r="A795">
        <v>794</v>
      </c>
    </row>
    <row r="796" spans="1:1">
      <c r="A796">
        <v>795</v>
      </c>
    </row>
    <row r="797" spans="1:1">
      <c r="A797">
        <v>796</v>
      </c>
    </row>
    <row r="798" spans="1:1">
      <c r="A798">
        <v>797</v>
      </c>
    </row>
    <row r="799" spans="1:1">
      <c r="A799">
        <v>798</v>
      </c>
    </row>
    <row r="800" spans="1:1">
      <c r="A800">
        <v>799</v>
      </c>
    </row>
    <row r="801" spans="1:1">
      <c r="A801">
        <v>800</v>
      </c>
    </row>
    <row r="802" spans="1:1">
      <c r="A802">
        <v>801</v>
      </c>
    </row>
    <row r="803" spans="1:1">
      <c r="A803">
        <v>802</v>
      </c>
    </row>
    <row r="804" spans="1:1">
      <c r="A804">
        <v>803</v>
      </c>
    </row>
    <row r="805" spans="1:1">
      <c r="A805">
        <v>804</v>
      </c>
    </row>
    <row r="806" spans="1:1">
      <c r="A806">
        <v>805</v>
      </c>
    </row>
    <row r="807" spans="1:1">
      <c r="A807">
        <v>806</v>
      </c>
    </row>
    <row r="808" spans="1:1">
      <c r="A808">
        <v>807</v>
      </c>
    </row>
    <row r="809" spans="1:1">
      <c r="A809">
        <v>808</v>
      </c>
    </row>
    <row r="810" spans="1:1">
      <c r="A810">
        <v>809</v>
      </c>
    </row>
    <row r="811" spans="1:1">
      <c r="A811">
        <v>810</v>
      </c>
    </row>
    <row r="812" spans="1:1">
      <c r="A812">
        <v>811</v>
      </c>
    </row>
    <row r="813" spans="1:1">
      <c r="A813">
        <v>812</v>
      </c>
    </row>
    <row r="814" spans="1:1">
      <c r="A814">
        <v>813</v>
      </c>
    </row>
    <row r="815" spans="1:1">
      <c r="A815">
        <v>814</v>
      </c>
    </row>
    <row r="816" spans="1:1">
      <c r="A816">
        <v>815</v>
      </c>
    </row>
    <row r="817" spans="1:1">
      <c r="A817">
        <v>816</v>
      </c>
    </row>
    <row r="818" spans="1:1">
      <c r="A818">
        <v>817</v>
      </c>
    </row>
    <row r="819" spans="1:1">
      <c r="A819">
        <v>818</v>
      </c>
    </row>
    <row r="820" spans="1:1">
      <c r="A820">
        <v>819</v>
      </c>
    </row>
    <row r="821" spans="1:1">
      <c r="A821">
        <v>820</v>
      </c>
    </row>
    <row r="822" spans="1:1">
      <c r="A822">
        <v>821</v>
      </c>
    </row>
    <row r="823" spans="1:1">
      <c r="A823">
        <v>822</v>
      </c>
    </row>
    <row r="824" spans="1:1">
      <c r="A824">
        <v>823</v>
      </c>
    </row>
    <row r="825" spans="1:1">
      <c r="A825">
        <v>824</v>
      </c>
    </row>
    <row r="826" spans="1:1">
      <c r="A826">
        <v>825</v>
      </c>
    </row>
    <row r="827" spans="1:1">
      <c r="A827">
        <v>826</v>
      </c>
    </row>
    <row r="828" spans="1:1">
      <c r="A828">
        <v>827</v>
      </c>
    </row>
    <row r="829" spans="1:1">
      <c r="A829">
        <v>828</v>
      </c>
    </row>
    <row r="830" spans="1:1">
      <c r="A830">
        <v>829</v>
      </c>
    </row>
    <row r="831" spans="1:1">
      <c r="A831">
        <v>830</v>
      </c>
    </row>
    <row r="832" spans="1:1">
      <c r="A832">
        <v>831</v>
      </c>
    </row>
    <row r="833" spans="1:1">
      <c r="A833">
        <v>832</v>
      </c>
    </row>
    <row r="834" spans="1:1">
      <c r="A834">
        <v>833</v>
      </c>
    </row>
    <row r="835" spans="1:1">
      <c r="A835">
        <v>834</v>
      </c>
    </row>
    <row r="836" spans="1:1">
      <c r="A836">
        <v>835</v>
      </c>
    </row>
    <row r="837" spans="1:1">
      <c r="A837">
        <v>836</v>
      </c>
    </row>
    <row r="838" spans="1:1">
      <c r="A838">
        <v>837</v>
      </c>
    </row>
    <row r="839" spans="1:1">
      <c r="A839">
        <v>838</v>
      </c>
    </row>
    <row r="840" spans="1:1">
      <c r="A840">
        <v>839</v>
      </c>
    </row>
    <row r="841" spans="1:1">
      <c r="A841">
        <v>840</v>
      </c>
    </row>
    <row r="842" spans="1:1">
      <c r="A842">
        <v>841</v>
      </c>
    </row>
    <row r="843" spans="1:1">
      <c r="A843">
        <v>842</v>
      </c>
    </row>
    <row r="844" spans="1:1">
      <c r="A844">
        <v>843</v>
      </c>
    </row>
    <row r="845" spans="1:1">
      <c r="A845">
        <v>844</v>
      </c>
    </row>
    <row r="846" spans="1:1">
      <c r="A846">
        <v>845</v>
      </c>
    </row>
    <row r="847" spans="1:1">
      <c r="A847">
        <v>846</v>
      </c>
    </row>
    <row r="848" spans="1:1">
      <c r="A848">
        <v>847</v>
      </c>
    </row>
    <row r="849" spans="1:1">
      <c r="A849">
        <v>848</v>
      </c>
    </row>
    <row r="850" spans="1:1">
      <c r="A850">
        <v>849</v>
      </c>
    </row>
    <row r="851" spans="1:1">
      <c r="A851">
        <v>850</v>
      </c>
    </row>
    <row r="852" spans="1:1">
      <c r="A852">
        <v>851</v>
      </c>
    </row>
    <row r="853" spans="1:1">
      <c r="A853">
        <v>852</v>
      </c>
    </row>
    <row r="854" spans="1:1">
      <c r="A854">
        <v>853</v>
      </c>
    </row>
    <row r="855" spans="1:1">
      <c r="A855">
        <v>854</v>
      </c>
    </row>
  </sheetData>
  <autoFilter xmlns:etc="http://www.wps.cn/officeDocument/2017/etCustomData" ref="A1:I856" etc:filterBottomFollowUsedRange="0">
    <extLst/>
  </autoFilter>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69"/>
  <sheetViews>
    <sheetView workbookViewId="0">
      <selection activeCell="A1" sqref="A1:CD69"/>
    </sheetView>
  </sheetViews>
  <sheetFormatPr defaultColWidth="9" defaultRowHeight="14"/>
  <sheetData>
    <row r="1" spans="1:82">
      <c r="A1" s="59" t="s">
        <v>4463</v>
      </c>
      <c r="B1" s="59" t="s">
        <v>4471</v>
      </c>
      <c r="C1" s="59" t="s">
        <v>4464</v>
      </c>
      <c r="D1" s="59" t="s">
        <v>4472</v>
      </c>
      <c r="E1" s="59" t="s">
        <v>4473</v>
      </c>
      <c r="F1" s="59" t="s">
        <v>4474</v>
      </c>
      <c r="G1" s="59" t="s">
        <v>4475</v>
      </c>
      <c r="H1" s="59" t="s">
        <v>4476</v>
      </c>
      <c r="I1" s="59" t="s">
        <v>4465</v>
      </c>
      <c r="J1" s="59" t="s">
        <v>4477</v>
      </c>
      <c r="K1" s="59" t="s">
        <v>4478</v>
      </c>
      <c r="L1" s="59" t="s">
        <v>4466</v>
      </c>
      <c r="M1" s="59" t="s">
        <v>4467</v>
      </c>
      <c r="N1" s="59" t="s">
        <v>4468</v>
      </c>
      <c r="O1" s="59" t="s">
        <v>4479</v>
      </c>
      <c r="P1" s="59" t="s">
        <v>4480</v>
      </c>
      <c r="Q1" s="59" t="s">
        <v>4481</v>
      </c>
      <c r="R1" s="59" t="s">
        <v>4482</v>
      </c>
      <c r="S1" s="59" t="s">
        <v>4483</v>
      </c>
      <c r="T1" s="59" t="s">
        <v>4470</v>
      </c>
      <c r="U1" s="59" t="s">
        <v>4484</v>
      </c>
      <c r="V1" s="59" t="s">
        <v>4485</v>
      </c>
      <c r="W1" s="59" t="s">
        <v>4486</v>
      </c>
      <c r="X1" s="59" t="s">
        <v>4487</v>
      </c>
      <c r="Y1" s="59" t="s">
        <v>4488</v>
      </c>
      <c r="Z1" s="59" t="s">
        <v>4357</v>
      </c>
      <c r="AA1" s="59" t="s">
        <v>4489</v>
      </c>
      <c r="AB1" s="59" t="s">
        <v>4490</v>
      </c>
      <c r="AC1" s="59" t="s">
        <v>4491</v>
      </c>
      <c r="AD1" s="59" t="s">
        <v>4492</v>
      </c>
      <c r="AE1" s="59" t="s">
        <v>4493</v>
      </c>
      <c r="AF1" s="59" t="s">
        <v>4494</v>
      </c>
      <c r="AG1" s="59" t="s">
        <v>4495</v>
      </c>
      <c r="AH1" s="59" t="s">
        <v>4496</v>
      </c>
      <c r="AI1" s="59" t="s">
        <v>4497</v>
      </c>
      <c r="AJ1" s="59" t="s">
        <v>4498</v>
      </c>
      <c r="AK1" s="59" t="s">
        <v>4499</v>
      </c>
      <c r="AL1" s="59" t="s">
        <v>4500</v>
      </c>
      <c r="AM1" s="59" t="s">
        <v>4501</v>
      </c>
      <c r="AN1" s="59" t="s">
        <v>4502</v>
      </c>
      <c r="AO1" s="59" t="s">
        <v>4503</v>
      </c>
      <c r="AP1" s="59" t="s">
        <v>4359</v>
      </c>
      <c r="AQ1" s="59" t="s">
        <v>4504</v>
      </c>
      <c r="AR1" s="59" t="s">
        <v>4505</v>
      </c>
      <c r="AS1" s="59" t="s">
        <v>4506</v>
      </c>
      <c r="AT1" s="59" t="s">
        <v>4507</v>
      </c>
      <c r="AU1" s="59" t="s">
        <v>4508</v>
      </c>
      <c r="AV1" s="59" t="s">
        <v>4509</v>
      </c>
      <c r="AW1" s="59" t="s">
        <v>4358</v>
      </c>
      <c r="AX1" s="59" t="s">
        <v>4510</v>
      </c>
      <c r="AY1" s="59" t="s">
        <v>4511</v>
      </c>
      <c r="AZ1" s="59" t="s">
        <v>4512</v>
      </c>
      <c r="BA1" s="59" t="s">
        <v>4513</v>
      </c>
      <c r="BB1" s="59" t="s">
        <v>4514</v>
      </c>
      <c r="BC1" s="59" t="s">
        <v>4515</v>
      </c>
      <c r="BD1" s="59" t="s">
        <v>4469</v>
      </c>
      <c r="BE1" s="59" t="s">
        <v>4326</v>
      </c>
      <c r="BF1" s="59" t="s">
        <v>4516</v>
      </c>
      <c r="BG1" s="59" t="s">
        <v>4517</v>
      </c>
      <c r="BH1" s="59" t="s">
        <v>4518</v>
      </c>
      <c r="BI1" s="59" t="s">
        <v>4519</v>
      </c>
      <c r="BJ1" s="59" t="s">
        <v>4520</v>
      </c>
      <c r="BK1" s="59" t="s">
        <v>4521</v>
      </c>
      <c r="BL1" s="59" t="s">
        <v>4522</v>
      </c>
      <c r="BM1" s="59" t="s">
        <v>4523</v>
      </c>
      <c r="BN1" s="59" t="s">
        <v>4524</v>
      </c>
      <c r="BO1" s="59" t="s">
        <v>4525</v>
      </c>
      <c r="BP1" s="59" t="s">
        <v>4526</v>
      </c>
      <c r="BQ1" s="59" t="s">
        <v>4527</v>
      </c>
      <c r="BR1" s="59" t="s">
        <v>4528</v>
      </c>
      <c r="BS1" s="59" t="s">
        <v>4529</v>
      </c>
      <c r="BT1" s="59" t="s">
        <v>4530</v>
      </c>
      <c r="BU1" s="59" t="s">
        <v>4531</v>
      </c>
      <c r="BV1" s="59" t="s">
        <v>4532</v>
      </c>
      <c r="BW1" s="59" t="s">
        <v>4533</v>
      </c>
      <c r="BX1" s="59" t="s">
        <v>4534</v>
      </c>
      <c r="BY1" s="59" t="s">
        <v>4535</v>
      </c>
      <c r="BZ1" s="59" t="s">
        <v>4536</v>
      </c>
      <c r="CA1" s="59" t="s">
        <v>4537</v>
      </c>
      <c r="CB1" s="59" t="s">
        <v>4538</v>
      </c>
      <c r="CC1" s="59" t="s">
        <v>4539</v>
      </c>
      <c r="CD1" s="59" t="s">
        <v>4540</v>
      </c>
    </row>
    <row r="2" spans="1:82">
      <c r="A2" s="60">
        <v>23108</v>
      </c>
      <c r="B2" s="60" t="s">
        <v>4541</v>
      </c>
      <c r="C2" s="60" t="s">
        <v>4377</v>
      </c>
      <c r="D2" s="60" t="s">
        <v>4542</v>
      </c>
      <c r="E2" s="60" t="s">
        <v>4543</v>
      </c>
      <c r="F2" s="60" t="s">
        <v>4544</v>
      </c>
      <c r="G2" s="60" t="s">
        <v>4545</v>
      </c>
      <c r="H2" s="60" t="s">
        <v>4546</v>
      </c>
      <c r="I2" s="60">
        <v>10000</v>
      </c>
      <c r="J2" s="60" t="s">
        <v>1582</v>
      </c>
      <c r="K2" s="60" t="s">
        <v>4377</v>
      </c>
      <c r="L2" s="60" t="s">
        <v>4543</v>
      </c>
      <c r="M2" s="60" t="s">
        <v>4547</v>
      </c>
      <c r="N2" s="60" t="s">
        <v>4547</v>
      </c>
      <c r="O2" s="60" t="s">
        <v>4548</v>
      </c>
      <c r="P2" s="60" t="s">
        <v>4549</v>
      </c>
      <c r="Q2" s="60" t="s">
        <v>4546</v>
      </c>
      <c r="R2" s="60" t="s">
        <v>4550</v>
      </c>
      <c r="S2" s="60" t="s">
        <v>4551</v>
      </c>
      <c r="T2" s="60" t="s">
        <v>4377</v>
      </c>
      <c r="U2" s="60" t="s">
        <v>4552</v>
      </c>
      <c r="V2" s="60" t="s">
        <v>4374</v>
      </c>
      <c r="W2" s="60" t="s">
        <v>4377</v>
      </c>
      <c r="X2" s="60" t="s">
        <v>4553</v>
      </c>
      <c r="Y2" s="60" t="s">
        <v>4554</v>
      </c>
      <c r="Z2" s="60" t="s">
        <v>4555</v>
      </c>
      <c r="AA2" s="60" t="s">
        <v>4377</v>
      </c>
      <c r="AB2" s="60" t="s">
        <v>4556</v>
      </c>
      <c r="AC2" s="60" t="s">
        <v>4557</v>
      </c>
      <c r="AD2" s="60" t="s">
        <v>4377</v>
      </c>
      <c r="AE2" s="60" t="s">
        <v>4377</v>
      </c>
      <c r="AF2" s="60" t="s">
        <v>4377</v>
      </c>
      <c r="AG2" s="60" t="s">
        <v>4377</v>
      </c>
      <c r="AH2" s="60" t="s">
        <v>4377</v>
      </c>
      <c r="AI2" s="60" t="s">
        <v>4377</v>
      </c>
      <c r="AJ2" s="60" t="s">
        <v>4377</v>
      </c>
      <c r="AK2" s="60" t="s">
        <v>4377</v>
      </c>
      <c r="AL2" s="60" t="s">
        <v>4377</v>
      </c>
      <c r="AM2" s="60" t="s">
        <v>4377</v>
      </c>
      <c r="AN2" s="60" t="s">
        <v>4377</v>
      </c>
      <c r="AO2" s="60" t="s">
        <v>4377</v>
      </c>
      <c r="AP2" s="61">
        <v>45670.6997569444</v>
      </c>
      <c r="AQ2" s="60" t="s">
        <v>4377</v>
      </c>
      <c r="AR2" s="60" t="s">
        <v>4377</v>
      </c>
      <c r="AS2" s="60" t="s">
        <v>4377</v>
      </c>
      <c r="AT2" s="60" t="s">
        <v>4558</v>
      </c>
      <c r="AU2" s="60" t="s">
        <v>4377</v>
      </c>
      <c r="AV2" s="60" t="s">
        <v>4542</v>
      </c>
      <c r="AW2" s="61">
        <v>45660.5795023148</v>
      </c>
      <c r="AX2" s="60" t="s">
        <v>4377</v>
      </c>
      <c r="AY2" s="60" t="s">
        <v>4559</v>
      </c>
      <c r="AZ2" s="60" t="s">
        <v>4377</v>
      </c>
      <c r="BA2" s="60" t="s">
        <v>4377</v>
      </c>
      <c r="BB2" s="60" t="s">
        <v>4377</v>
      </c>
      <c r="BC2" s="60" t="s">
        <v>4377</v>
      </c>
      <c r="BD2" s="60" t="s">
        <v>4560</v>
      </c>
      <c r="BE2" s="60" t="s">
        <v>4377</v>
      </c>
      <c r="BF2" s="60" t="s">
        <v>4561</v>
      </c>
      <c r="BG2" s="60" t="s">
        <v>4377</v>
      </c>
      <c r="BH2" s="60" t="s">
        <v>4377</v>
      </c>
      <c r="BI2" s="60" t="s">
        <v>4562</v>
      </c>
      <c r="BJ2" s="60" t="s">
        <v>4377</v>
      </c>
      <c r="BK2" s="60" t="s">
        <v>4377</v>
      </c>
      <c r="BL2" s="60" t="s">
        <v>4377</v>
      </c>
      <c r="BM2" s="60" t="s">
        <v>4377</v>
      </c>
      <c r="BN2" s="60">
        <v>10000</v>
      </c>
      <c r="BO2" s="60" t="s">
        <v>4377</v>
      </c>
      <c r="BP2" s="60" t="s">
        <v>4377</v>
      </c>
      <c r="BQ2" s="60" t="s">
        <v>4377</v>
      </c>
      <c r="BR2" s="60" t="s">
        <v>4377</v>
      </c>
      <c r="BS2" s="60" t="s">
        <v>4377</v>
      </c>
      <c r="BT2" s="60" t="s">
        <v>1582</v>
      </c>
      <c r="BU2" s="60" t="s">
        <v>4377</v>
      </c>
      <c r="BV2" s="60" t="s">
        <v>4377</v>
      </c>
      <c r="BW2" s="60" t="s">
        <v>4377</v>
      </c>
      <c r="BX2" s="60">
        <v>10000</v>
      </c>
      <c r="BY2" s="60" t="s">
        <v>4377</v>
      </c>
      <c r="BZ2" s="60" t="s">
        <v>4545</v>
      </c>
      <c r="CA2" s="60" t="s">
        <v>4545</v>
      </c>
      <c r="CB2" s="60" t="s">
        <v>4377</v>
      </c>
      <c r="CC2" s="60" t="s">
        <v>4377</v>
      </c>
      <c r="CD2" s="60" t="s">
        <v>4377</v>
      </c>
    </row>
    <row r="3" spans="1:82">
      <c r="A3" s="60">
        <v>23109</v>
      </c>
      <c r="B3" s="60" t="s">
        <v>4563</v>
      </c>
      <c r="C3" s="60" t="s">
        <v>4377</v>
      </c>
      <c r="D3" s="60" t="s">
        <v>4564</v>
      </c>
      <c r="E3" s="60" t="s">
        <v>4543</v>
      </c>
      <c r="F3" s="60" t="s">
        <v>4565</v>
      </c>
      <c r="G3" s="60" t="s">
        <v>4545</v>
      </c>
      <c r="H3" s="60" t="s">
        <v>4566</v>
      </c>
      <c r="I3" s="60">
        <v>6600</v>
      </c>
      <c r="J3" s="60" t="s">
        <v>1582</v>
      </c>
      <c r="K3" s="60" t="s">
        <v>4377</v>
      </c>
      <c r="L3" s="60" t="s">
        <v>4543</v>
      </c>
      <c r="M3" s="60" t="s">
        <v>4547</v>
      </c>
      <c r="N3" s="60" t="s">
        <v>4547</v>
      </c>
      <c r="O3" s="60" t="s">
        <v>4548</v>
      </c>
      <c r="P3" s="60" t="s">
        <v>4549</v>
      </c>
      <c r="Q3" s="60" t="s">
        <v>4566</v>
      </c>
      <c r="R3" s="60" t="s">
        <v>4567</v>
      </c>
      <c r="S3" s="60" t="s">
        <v>4568</v>
      </c>
      <c r="T3" s="60" t="s">
        <v>4377</v>
      </c>
      <c r="U3" s="60" t="s">
        <v>4552</v>
      </c>
      <c r="V3" s="60" t="s">
        <v>4374</v>
      </c>
      <c r="W3" s="60" t="s">
        <v>4377</v>
      </c>
      <c r="X3" s="60" t="s">
        <v>4569</v>
      </c>
      <c r="Y3" s="60" t="s">
        <v>4554</v>
      </c>
      <c r="Z3" s="60" t="s">
        <v>4555</v>
      </c>
      <c r="AA3" s="60" t="s">
        <v>4377</v>
      </c>
      <c r="AB3" s="60" t="s">
        <v>4556</v>
      </c>
      <c r="AC3" s="60" t="s">
        <v>4557</v>
      </c>
      <c r="AD3" s="60" t="s">
        <v>4377</v>
      </c>
      <c r="AE3" s="60" t="s">
        <v>4377</v>
      </c>
      <c r="AF3" s="60" t="s">
        <v>4377</v>
      </c>
      <c r="AG3" s="60" t="s">
        <v>4377</v>
      </c>
      <c r="AH3" s="60" t="s">
        <v>4377</v>
      </c>
      <c r="AI3" s="60" t="s">
        <v>4377</v>
      </c>
      <c r="AJ3" s="60" t="s">
        <v>4377</v>
      </c>
      <c r="AK3" s="60" t="s">
        <v>4377</v>
      </c>
      <c r="AL3" s="60" t="s">
        <v>4377</v>
      </c>
      <c r="AM3" s="60" t="s">
        <v>4377</v>
      </c>
      <c r="AN3" s="60" t="s">
        <v>4377</v>
      </c>
      <c r="AO3" s="60" t="s">
        <v>4377</v>
      </c>
      <c r="AP3" s="61">
        <v>45670.6998958333</v>
      </c>
      <c r="AQ3" s="60" t="s">
        <v>4377</v>
      </c>
      <c r="AR3" s="60" t="s">
        <v>4377</v>
      </c>
      <c r="AS3" s="60" t="s">
        <v>4570</v>
      </c>
      <c r="AT3" s="60" t="s">
        <v>4571</v>
      </c>
      <c r="AU3" s="60" t="s">
        <v>4377</v>
      </c>
      <c r="AV3" s="60" t="s">
        <v>4377</v>
      </c>
      <c r="AW3" s="61">
        <v>45660.3711342593</v>
      </c>
      <c r="AX3" s="60" t="s">
        <v>4377</v>
      </c>
      <c r="AY3" s="60" t="s">
        <v>4559</v>
      </c>
      <c r="AZ3" s="60" t="s">
        <v>4377</v>
      </c>
      <c r="BA3" s="60" t="s">
        <v>4377</v>
      </c>
      <c r="BB3" s="60" t="s">
        <v>4377</v>
      </c>
      <c r="BC3" s="60" t="s">
        <v>4377</v>
      </c>
      <c r="BD3" s="60" t="s">
        <v>4572</v>
      </c>
      <c r="BE3" s="60" t="s">
        <v>4377</v>
      </c>
      <c r="BF3" s="60" t="s">
        <v>4561</v>
      </c>
      <c r="BG3" s="60" t="s">
        <v>4377</v>
      </c>
      <c r="BH3" s="60" t="s">
        <v>4377</v>
      </c>
      <c r="BI3" s="60" t="s">
        <v>2758</v>
      </c>
      <c r="BJ3" s="60" t="s">
        <v>4377</v>
      </c>
      <c r="BK3" s="60" t="s">
        <v>4377</v>
      </c>
      <c r="BL3" s="60" t="s">
        <v>4377</v>
      </c>
      <c r="BM3" s="60" t="s">
        <v>4377</v>
      </c>
      <c r="BN3" s="60">
        <v>6600</v>
      </c>
      <c r="BO3" s="60" t="s">
        <v>4377</v>
      </c>
      <c r="BP3" s="60" t="s">
        <v>4377</v>
      </c>
      <c r="BQ3" s="60" t="s">
        <v>4377</v>
      </c>
      <c r="BR3" s="60" t="s">
        <v>4377</v>
      </c>
      <c r="BS3" s="60" t="s">
        <v>4377</v>
      </c>
      <c r="BT3" s="60" t="s">
        <v>1582</v>
      </c>
      <c r="BU3" s="60" t="s">
        <v>4377</v>
      </c>
      <c r="BV3" s="60" t="s">
        <v>4377</v>
      </c>
      <c r="BW3" s="60" t="s">
        <v>4377</v>
      </c>
      <c r="BX3" s="60">
        <v>6600</v>
      </c>
      <c r="BY3" s="60" t="s">
        <v>4377</v>
      </c>
      <c r="BZ3" s="60" t="s">
        <v>4377</v>
      </c>
      <c r="CA3" s="60" t="s">
        <v>4545</v>
      </c>
      <c r="CB3" s="60" t="s">
        <v>4377</v>
      </c>
      <c r="CC3" s="60" t="s">
        <v>4377</v>
      </c>
      <c r="CD3" s="60" t="s">
        <v>4377</v>
      </c>
    </row>
    <row r="4" spans="1:82">
      <c r="A4" s="60">
        <v>23110</v>
      </c>
      <c r="B4" s="60" t="s">
        <v>4563</v>
      </c>
      <c r="C4" s="60" t="s">
        <v>4377</v>
      </c>
      <c r="D4" s="60" t="s">
        <v>4573</v>
      </c>
      <c r="E4" s="60" t="s">
        <v>4543</v>
      </c>
      <c r="F4" s="60" t="s">
        <v>4574</v>
      </c>
      <c r="G4" s="60" t="s">
        <v>4545</v>
      </c>
      <c r="H4" s="60" t="s">
        <v>4575</v>
      </c>
      <c r="I4" s="60">
        <v>6500</v>
      </c>
      <c r="J4" s="60" t="s">
        <v>1582</v>
      </c>
      <c r="K4" s="60" t="s">
        <v>4377</v>
      </c>
      <c r="L4" s="60" t="s">
        <v>4543</v>
      </c>
      <c r="M4" s="60" t="s">
        <v>4547</v>
      </c>
      <c r="N4" s="60" t="s">
        <v>4547</v>
      </c>
      <c r="O4" s="60" t="s">
        <v>4548</v>
      </c>
      <c r="P4" s="60" t="s">
        <v>4549</v>
      </c>
      <c r="Q4" s="60" t="s">
        <v>4575</v>
      </c>
      <c r="R4" s="60" t="s">
        <v>4576</v>
      </c>
      <c r="S4" s="60" t="s">
        <v>4577</v>
      </c>
      <c r="T4" s="60" t="s">
        <v>4377</v>
      </c>
      <c r="U4" s="60" t="s">
        <v>4552</v>
      </c>
      <c r="V4" s="60" t="s">
        <v>4374</v>
      </c>
      <c r="W4" s="60" t="s">
        <v>4377</v>
      </c>
      <c r="X4" s="60" t="s">
        <v>4578</v>
      </c>
      <c r="Y4" s="60" t="s">
        <v>4554</v>
      </c>
      <c r="Z4" s="60" t="s">
        <v>4555</v>
      </c>
      <c r="AA4" s="60" t="s">
        <v>4377</v>
      </c>
      <c r="AB4" s="60" t="s">
        <v>4556</v>
      </c>
      <c r="AC4" s="60" t="s">
        <v>4557</v>
      </c>
      <c r="AD4" s="60" t="s">
        <v>4377</v>
      </c>
      <c r="AE4" s="60" t="s">
        <v>4377</v>
      </c>
      <c r="AF4" s="60" t="s">
        <v>4377</v>
      </c>
      <c r="AG4" s="60" t="s">
        <v>4377</v>
      </c>
      <c r="AH4" s="60" t="s">
        <v>4377</v>
      </c>
      <c r="AI4" s="60" t="s">
        <v>4377</v>
      </c>
      <c r="AJ4" s="60" t="s">
        <v>4377</v>
      </c>
      <c r="AK4" s="60" t="s">
        <v>4377</v>
      </c>
      <c r="AL4" s="60" t="s">
        <v>4377</v>
      </c>
      <c r="AM4" s="60" t="s">
        <v>4377</v>
      </c>
      <c r="AN4" s="60" t="s">
        <v>4377</v>
      </c>
      <c r="AO4" s="60" t="s">
        <v>4377</v>
      </c>
      <c r="AP4" s="61">
        <v>45670.6998726852</v>
      </c>
      <c r="AQ4" s="60" t="s">
        <v>4377</v>
      </c>
      <c r="AR4" s="60" t="s">
        <v>4377</v>
      </c>
      <c r="AS4" s="60" t="s">
        <v>4570</v>
      </c>
      <c r="AT4" s="60" t="s">
        <v>4571</v>
      </c>
      <c r="AU4" s="60" t="s">
        <v>4377</v>
      </c>
      <c r="AV4" s="60" t="s">
        <v>4377</v>
      </c>
      <c r="AW4" s="61">
        <v>45660.3711111111</v>
      </c>
      <c r="AX4" s="60" t="s">
        <v>4377</v>
      </c>
      <c r="AY4" s="60" t="s">
        <v>4559</v>
      </c>
      <c r="AZ4" s="60" t="s">
        <v>4377</v>
      </c>
      <c r="BA4" s="60" t="s">
        <v>4377</v>
      </c>
      <c r="BB4" s="60" t="s">
        <v>4377</v>
      </c>
      <c r="BC4" s="60" t="s">
        <v>4377</v>
      </c>
      <c r="BD4" s="60" t="s">
        <v>4572</v>
      </c>
      <c r="BE4" s="60" t="s">
        <v>4377</v>
      </c>
      <c r="BF4" s="60" t="s">
        <v>4561</v>
      </c>
      <c r="BG4" s="60" t="s">
        <v>4377</v>
      </c>
      <c r="BH4" s="60" t="s">
        <v>4377</v>
      </c>
      <c r="BI4" s="60" t="s">
        <v>2758</v>
      </c>
      <c r="BJ4" s="60" t="s">
        <v>4377</v>
      </c>
      <c r="BK4" s="60" t="s">
        <v>4377</v>
      </c>
      <c r="BL4" s="60" t="s">
        <v>4377</v>
      </c>
      <c r="BM4" s="60" t="s">
        <v>4377</v>
      </c>
      <c r="BN4" s="60">
        <v>6500</v>
      </c>
      <c r="BO4" s="60" t="s">
        <v>4377</v>
      </c>
      <c r="BP4" s="60" t="s">
        <v>4377</v>
      </c>
      <c r="BQ4" s="60" t="s">
        <v>4377</v>
      </c>
      <c r="BR4" s="60" t="s">
        <v>4377</v>
      </c>
      <c r="BS4" s="60" t="s">
        <v>4377</v>
      </c>
      <c r="BT4" s="60" t="s">
        <v>1582</v>
      </c>
      <c r="BU4" s="60" t="s">
        <v>4377</v>
      </c>
      <c r="BV4" s="60" t="s">
        <v>4377</v>
      </c>
      <c r="BW4" s="60" t="s">
        <v>4377</v>
      </c>
      <c r="BX4" s="60">
        <v>6500</v>
      </c>
      <c r="BY4" s="60" t="s">
        <v>4377</v>
      </c>
      <c r="BZ4" s="60" t="s">
        <v>4377</v>
      </c>
      <c r="CA4" s="60" t="s">
        <v>4545</v>
      </c>
      <c r="CB4" s="60" t="s">
        <v>4377</v>
      </c>
      <c r="CC4" s="60" t="s">
        <v>4377</v>
      </c>
      <c r="CD4" s="60" t="s">
        <v>4377</v>
      </c>
    </row>
    <row r="5" spans="1:82">
      <c r="A5" s="60">
        <v>23111</v>
      </c>
      <c r="B5" s="60" t="s">
        <v>4563</v>
      </c>
      <c r="C5" s="60" t="s">
        <v>4377</v>
      </c>
      <c r="D5" s="60" t="s">
        <v>4579</v>
      </c>
      <c r="E5" s="60" t="s">
        <v>4543</v>
      </c>
      <c r="F5" s="60" t="s">
        <v>4580</v>
      </c>
      <c r="G5" s="60" t="s">
        <v>4545</v>
      </c>
      <c r="H5" s="60" t="s">
        <v>4581</v>
      </c>
      <c r="I5" s="60">
        <v>5600</v>
      </c>
      <c r="J5" s="60" t="s">
        <v>1582</v>
      </c>
      <c r="K5" s="60" t="s">
        <v>4377</v>
      </c>
      <c r="L5" s="60" t="s">
        <v>4543</v>
      </c>
      <c r="M5" s="60" t="s">
        <v>4547</v>
      </c>
      <c r="N5" s="60" t="s">
        <v>4547</v>
      </c>
      <c r="O5" s="60" t="s">
        <v>4548</v>
      </c>
      <c r="P5" s="60" t="s">
        <v>4549</v>
      </c>
      <c r="Q5" s="60" t="s">
        <v>4581</v>
      </c>
      <c r="R5" s="60" t="s">
        <v>4582</v>
      </c>
      <c r="S5" s="60" t="s">
        <v>4583</v>
      </c>
      <c r="T5" s="60" t="s">
        <v>4377</v>
      </c>
      <c r="U5" s="60" t="s">
        <v>4552</v>
      </c>
      <c r="V5" s="60" t="s">
        <v>4374</v>
      </c>
      <c r="W5" s="60" t="s">
        <v>4377</v>
      </c>
      <c r="X5" s="60" t="s">
        <v>4584</v>
      </c>
      <c r="Y5" s="60" t="s">
        <v>4554</v>
      </c>
      <c r="Z5" s="60" t="s">
        <v>4555</v>
      </c>
      <c r="AA5" s="60" t="s">
        <v>4377</v>
      </c>
      <c r="AB5" s="60" t="s">
        <v>4556</v>
      </c>
      <c r="AC5" s="60" t="s">
        <v>4557</v>
      </c>
      <c r="AD5" s="60" t="s">
        <v>4377</v>
      </c>
      <c r="AE5" s="60" t="s">
        <v>4377</v>
      </c>
      <c r="AF5" s="60" t="s">
        <v>4377</v>
      </c>
      <c r="AG5" s="60" t="s">
        <v>4377</v>
      </c>
      <c r="AH5" s="60" t="s">
        <v>4377</v>
      </c>
      <c r="AI5" s="60" t="s">
        <v>4377</v>
      </c>
      <c r="AJ5" s="60" t="s">
        <v>4377</v>
      </c>
      <c r="AK5" s="60" t="s">
        <v>4377</v>
      </c>
      <c r="AL5" s="60" t="s">
        <v>4377</v>
      </c>
      <c r="AM5" s="60" t="s">
        <v>4377</v>
      </c>
      <c r="AN5" s="60" t="s">
        <v>4377</v>
      </c>
      <c r="AO5" s="60" t="s">
        <v>4377</v>
      </c>
      <c r="AP5" s="61">
        <v>45670.6997453704</v>
      </c>
      <c r="AQ5" s="60" t="s">
        <v>4377</v>
      </c>
      <c r="AR5" s="60" t="s">
        <v>4377</v>
      </c>
      <c r="AS5" s="60" t="s">
        <v>4570</v>
      </c>
      <c r="AT5" s="60" t="s">
        <v>4571</v>
      </c>
      <c r="AU5" s="60" t="s">
        <v>4377</v>
      </c>
      <c r="AV5" s="60" t="s">
        <v>4377</v>
      </c>
      <c r="AW5" s="61">
        <v>45660.3696759259</v>
      </c>
      <c r="AX5" s="60" t="s">
        <v>4377</v>
      </c>
      <c r="AY5" s="60" t="s">
        <v>4559</v>
      </c>
      <c r="AZ5" s="60" t="s">
        <v>4377</v>
      </c>
      <c r="BA5" s="60" t="s">
        <v>4377</v>
      </c>
      <c r="BB5" s="60" t="s">
        <v>4377</v>
      </c>
      <c r="BC5" s="60" t="s">
        <v>4377</v>
      </c>
      <c r="BD5" s="60" t="s">
        <v>4572</v>
      </c>
      <c r="BE5" s="60" t="s">
        <v>4377</v>
      </c>
      <c r="BF5" s="60" t="s">
        <v>4561</v>
      </c>
      <c r="BG5" s="60" t="s">
        <v>4377</v>
      </c>
      <c r="BH5" s="60" t="s">
        <v>4377</v>
      </c>
      <c r="BI5" s="60" t="s">
        <v>2758</v>
      </c>
      <c r="BJ5" s="60" t="s">
        <v>4377</v>
      </c>
      <c r="BK5" s="60" t="s">
        <v>4377</v>
      </c>
      <c r="BL5" s="60" t="s">
        <v>4377</v>
      </c>
      <c r="BM5" s="60" t="s">
        <v>4377</v>
      </c>
      <c r="BN5" s="60">
        <v>5600</v>
      </c>
      <c r="BO5" s="60" t="s">
        <v>4377</v>
      </c>
      <c r="BP5" s="60" t="s">
        <v>4377</v>
      </c>
      <c r="BQ5" s="60" t="s">
        <v>4377</v>
      </c>
      <c r="BR5" s="60" t="s">
        <v>4377</v>
      </c>
      <c r="BS5" s="60" t="s">
        <v>4377</v>
      </c>
      <c r="BT5" s="60" t="s">
        <v>1582</v>
      </c>
      <c r="BU5" s="60" t="s">
        <v>4377</v>
      </c>
      <c r="BV5" s="60" t="s">
        <v>4377</v>
      </c>
      <c r="BW5" s="60" t="s">
        <v>4377</v>
      </c>
      <c r="BX5" s="60">
        <v>5600</v>
      </c>
      <c r="BY5" s="60" t="s">
        <v>4377</v>
      </c>
      <c r="BZ5" s="60" t="s">
        <v>4377</v>
      </c>
      <c r="CA5" s="60" t="s">
        <v>4545</v>
      </c>
      <c r="CB5" s="60" t="s">
        <v>4377</v>
      </c>
      <c r="CC5" s="60" t="s">
        <v>4377</v>
      </c>
      <c r="CD5" s="60" t="s">
        <v>4377</v>
      </c>
    </row>
    <row r="6" spans="1:82">
      <c r="A6" s="60">
        <v>23180</v>
      </c>
      <c r="B6" s="60" t="s">
        <v>4563</v>
      </c>
      <c r="C6" s="60" t="s">
        <v>4377</v>
      </c>
      <c r="D6" s="60" t="s">
        <v>4585</v>
      </c>
      <c r="E6" s="60" t="s">
        <v>4543</v>
      </c>
      <c r="F6" s="60" t="s">
        <v>4586</v>
      </c>
      <c r="G6" s="60" t="s">
        <v>4545</v>
      </c>
      <c r="H6" s="60" t="s">
        <v>4587</v>
      </c>
      <c r="I6" s="60">
        <v>907.51</v>
      </c>
      <c r="J6" s="60" t="s">
        <v>1582</v>
      </c>
      <c r="K6" s="60" t="s">
        <v>4377</v>
      </c>
      <c r="L6" s="60" t="s">
        <v>4543</v>
      </c>
      <c r="M6" s="60" t="s">
        <v>4588</v>
      </c>
      <c r="N6" s="60" t="s">
        <v>4588</v>
      </c>
      <c r="O6" s="60" t="s">
        <v>4548</v>
      </c>
      <c r="P6" s="60" t="s">
        <v>4549</v>
      </c>
      <c r="Q6" s="60" t="s">
        <v>4587</v>
      </c>
      <c r="R6" s="60" t="s">
        <v>4589</v>
      </c>
      <c r="S6" s="60" t="s">
        <v>4590</v>
      </c>
      <c r="T6" s="60" t="s">
        <v>4377</v>
      </c>
      <c r="U6" s="60" t="s">
        <v>4552</v>
      </c>
      <c r="V6" s="60" t="s">
        <v>4374</v>
      </c>
      <c r="W6" s="60" t="s">
        <v>4377</v>
      </c>
      <c r="X6" s="60" t="s">
        <v>4591</v>
      </c>
      <c r="Y6" s="60" t="s">
        <v>4554</v>
      </c>
      <c r="Z6" s="60" t="s">
        <v>4555</v>
      </c>
      <c r="AA6" s="60" t="s">
        <v>4377</v>
      </c>
      <c r="AB6" s="60" t="s">
        <v>4556</v>
      </c>
      <c r="AC6" s="60" t="s">
        <v>4557</v>
      </c>
      <c r="AD6" s="60" t="s">
        <v>4377</v>
      </c>
      <c r="AE6" s="60" t="s">
        <v>4377</v>
      </c>
      <c r="AF6" s="60" t="s">
        <v>4377</v>
      </c>
      <c r="AG6" s="60" t="s">
        <v>4377</v>
      </c>
      <c r="AH6" s="60" t="s">
        <v>4377</v>
      </c>
      <c r="AI6" s="60" t="s">
        <v>4377</v>
      </c>
      <c r="AJ6" s="60" t="s">
        <v>4377</v>
      </c>
      <c r="AK6" s="60" t="s">
        <v>4377</v>
      </c>
      <c r="AL6" s="60" t="s">
        <v>4377</v>
      </c>
      <c r="AM6" s="60" t="s">
        <v>4377</v>
      </c>
      <c r="AN6" s="60" t="s">
        <v>4377</v>
      </c>
      <c r="AO6" s="60" t="s">
        <v>4377</v>
      </c>
      <c r="AP6" s="61">
        <v>45670.6997569444</v>
      </c>
      <c r="AQ6" s="60" t="s">
        <v>4377</v>
      </c>
      <c r="AR6" s="60" t="s">
        <v>4377</v>
      </c>
      <c r="AS6" s="60" t="s">
        <v>4592</v>
      </c>
      <c r="AT6" s="60" t="s">
        <v>4571</v>
      </c>
      <c r="AU6" s="60" t="s">
        <v>4377</v>
      </c>
      <c r="AV6" s="60" t="s">
        <v>4377</v>
      </c>
      <c r="AW6" s="61">
        <v>45659.6656134259</v>
      </c>
      <c r="AX6" s="60" t="s">
        <v>4377</v>
      </c>
      <c r="AY6" s="60" t="s">
        <v>4559</v>
      </c>
      <c r="AZ6" s="60" t="s">
        <v>4377</v>
      </c>
      <c r="BA6" s="60" t="s">
        <v>4377</v>
      </c>
      <c r="BB6" s="60" t="s">
        <v>4377</v>
      </c>
      <c r="BC6" s="60" t="s">
        <v>4377</v>
      </c>
      <c r="BD6" s="60" t="s">
        <v>4572</v>
      </c>
      <c r="BE6" s="60" t="s">
        <v>4377</v>
      </c>
      <c r="BF6" s="60" t="s">
        <v>4561</v>
      </c>
      <c r="BG6" s="60" t="s">
        <v>4377</v>
      </c>
      <c r="BH6" s="60" t="s">
        <v>4377</v>
      </c>
      <c r="BI6" s="60" t="s">
        <v>4562</v>
      </c>
      <c r="BJ6" s="60" t="s">
        <v>4377</v>
      </c>
      <c r="BK6" s="60" t="s">
        <v>4377</v>
      </c>
      <c r="BL6" s="60" t="s">
        <v>4377</v>
      </c>
      <c r="BM6" s="60" t="s">
        <v>4377</v>
      </c>
      <c r="BN6" s="60">
        <v>907.51</v>
      </c>
      <c r="BO6" s="60" t="s">
        <v>4377</v>
      </c>
      <c r="BP6" s="60" t="s">
        <v>4377</v>
      </c>
      <c r="BQ6" s="60" t="s">
        <v>4377</v>
      </c>
      <c r="BR6" s="60" t="s">
        <v>4377</v>
      </c>
      <c r="BS6" s="60" t="s">
        <v>4377</v>
      </c>
      <c r="BT6" s="60" t="s">
        <v>1582</v>
      </c>
      <c r="BU6" s="60" t="s">
        <v>4377</v>
      </c>
      <c r="BV6" s="60" t="s">
        <v>4377</v>
      </c>
      <c r="BW6" s="60" t="s">
        <v>4377</v>
      </c>
      <c r="BX6" s="60">
        <v>907.51</v>
      </c>
      <c r="BY6" s="60" t="s">
        <v>4377</v>
      </c>
      <c r="BZ6" s="60" t="s">
        <v>4377</v>
      </c>
      <c r="CA6" s="60" t="s">
        <v>4545</v>
      </c>
      <c r="CB6" s="60" t="s">
        <v>4377</v>
      </c>
      <c r="CC6" s="60" t="s">
        <v>4377</v>
      </c>
      <c r="CD6" s="60" t="s">
        <v>4377</v>
      </c>
    </row>
    <row r="7" spans="1:82">
      <c r="A7" s="60">
        <v>23181</v>
      </c>
      <c r="B7" s="60" t="s">
        <v>4563</v>
      </c>
      <c r="C7" s="60" t="s">
        <v>4377</v>
      </c>
      <c r="D7" s="60" t="s">
        <v>4593</v>
      </c>
      <c r="E7" s="60" t="s">
        <v>4543</v>
      </c>
      <c r="F7" s="60" t="s">
        <v>4594</v>
      </c>
      <c r="G7" s="60" t="s">
        <v>4545</v>
      </c>
      <c r="H7" s="60" t="s">
        <v>4595</v>
      </c>
      <c r="I7" s="60">
        <v>5600</v>
      </c>
      <c r="J7" s="60" t="s">
        <v>1582</v>
      </c>
      <c r="K7" s="60" t="s">
        <v>4377</v>
      </c>
      <c r="L7" s="60" t="s">
        <v>4543</v>
      </c>
      <c r="M7" s="60" t="s">
        <v>4588</v>
      </c>
      <c r="N7" s="60" t="s">
        <v>4588</v>
      </c>
      <c r="O7" s="60" t="s">
        <v>4548</v>
      </c>
      <c r="P7" s="60" t="s">
        <v>4549</v>
      </c>
      <c r="Q7" s="60" t="s">
        <v>4595</v>
      </c>
      <c r="R7" s="60" t="s">
        <v>4596</v>
      </c>
      <c r="S7" s="60" t="s">
        <v>4597</v>
      </c>
      <c r="T7" s="60" t="s">
        <v>4377</v>
      </c>
      <c r="U7" s="60" t="s">
        <v>4552</v>
      </c>
      <c r="V7" s="60" t="s">
        <v>4374</v>
      </c>
      <c r="W7" s="60" t="s">
        <v>4377</v>
      </c>
      <c r="X7" s="60" t="s">
        <v>4598</v>
      </c>
      <c r="Y7" s="60" t="s">
        <v>4554</v>
      </c>
      <c r="Z7" s="60" t="s">
        <v>4555</v>
      </c>
      <c r="AA7" s="60" t="s">
        <v>4377</v>
      </c>
      <c r="AB7" s="60" t="s">
        <v>4556</v>
      </c>
      <c r="AC7" s="60" t="s">
        <v>4557</v>
      </c>
      <c r="AD7" s="60" t="s">
        <v>4377</v>
      </c>
      <c r="AE7" s="60" t="s">
        <v>4377</v>
      </c>
      <c r="AF7" s="60" t="s">
        <v>4377</v>
      </c>
      <c r="AG7" s="60" t="s">
        <v>4377</v>
      </c>
      <c r="AH7" s="60" t="s">
        <v>4377</v>
      </c>
      <c r="AI7" s="60" t="s">
        <v>4377</v>
      </c>
      <c r="AJ7" s="60" t="s">
        <v>4377</v>
      </c>
      <c r="AK7" s="60" t="s">
        <v>4377</v>
      </c>
      <c r="AL7" s="60" t="s">
        <v>4377</v>
      </c>
      <c r="AM7" s="60" t="s">
        <v>4377</v>
      </c>
      <c r="AN7" s="60" t="s">
        <v>4377</v>
      </c>
      <c r="AO7" s="60" t="s">
        <v>4377</v>
      </c>
      <c r="AP7" s="61">
        <v>45670.699849537</v>
      </c>
      <c r="AQ7" s="60" t="s">
        <v>4377</v>
      </c>
      <c r="AR7" s="60" t="s">
        <v>4377</v>
      </c>
      <c r="AS7" s="60" t="s">
        <v>4592</v>
      </c>
      <c r="AT7" s="60" t="s">
        <v>4571</v>
      </c>
      <c r="AU7" s="60" t="s">
        <v>4377</v>
      </c>
      <c r="AV7" s="60" t="s">
        <v>4377</v>
      </c>
      <c r="AW7" s="61">
        <v>45659.6642476852</v>
      </c>
      <c r="AX7" s="60" t="s">
        <v>4377</v>
      </c>
      <c r="AY7" s="60" t="s">
        <v>4559</v>
      </c>
      <c r="AZ7" s="60" t="s">
        <v>4377</v>
      </c>
      <c r="BA7" s="60" t="s">
        <v>4377</v>
      </c>
      <c r="BB7" s="60" t="s">
        <v>4377</v>
      </c>
      <c r="BC7" s="60" t="s">
        <v>4377</v>
      </c>
      <c r="BD7" s="60" t="s">
        <v>4572</v>
      </c>
      <c r="BE7" s="60" t="s">
        <v>4377</v>
      </c>
      <c r="BF7" s="60" t="s">
        <v>4561</v>
      </c>
      <c r="BG7" s="60" t="s">
        <v>4377</v>
      </c>
      <c r="BH7" s="60" t="s">
        <v>4377</v>
      </c>
      <c r="BI7" s="60" t="s">
        <v>2758</v>
      </c>
      <c r="BJ7" s="60" t="s">
        <v>4377</v>
      </c>
      <c r="BK7" s="60" t="s">
        <v>4377</v>
      </c>
      <c r="BL7" s="60" t="s">
        <v>4377</v>
      </c>
      <c r="BM7" s="60" t="s">
        <v>4377</v>
      </c>
      <c r="BN7" s="60">
        <v>5600</v>
      </c>
      <c r="BO7" s="60" t="s">
        <v>4377</v>
      </c>
      <c r="BP7" s="60" t="s">
        <v>4377</v>
      </c>
      <c r="BQ7" s="60" t="s">
        <v>4377</v>
      </c>
      <c r="BR7" s="60" t="s">
        <v>4377</v>
      </c>
      <c r="BS7" s="60" t="s">
        <v>4377</v>
      </c>
      <c r="BT7" s="60" t="s">
        <v>1582</v>
      </c>
      <c r="BU7" s="60" t="s">
        <v>4377</v>
      </c>
      <c r="BV7" s="60" t="s">
        <v>4377</v>
      </c>
      <c r="BW7" s="60" t="s">
        <v>4377</v>
      </c>
      <c r="BX7" s="60">
        <v>5600</v>
      </c>
      <c r="BY7" s="60" t="s">
        <v>4377</v>
      </c>
      <c r="BZ7" s="60" t="s">
        <v>4377</v>
      </c>
      <c r="CA7" s="60" t="s">
        <v>4545</v>
      </c>
      <c r="CB7" s="60" t="s">
        <v>4377</v>
      </c>
      <c r="CC7" s="60" t="s">
        <v>4377</v>
      </c>
      <c r="CD7" s="60" t="s">
        <v>4377</v>
      </c>
    </row>
    <row r="8" spans="1:82">
      <c r="A8" s="60">
        <v>23182</v>
      </c>
      <c r="B8" s="60" t="s">
        <v>4563</v>
      </c>
      <c r="C8" s="60" t="s">
        <v>4377</v>
      </c>
      <c r="D8" s="60" t="s">
        <v>4599</v>
      </c>
      <c r="E8" s="60" t="s">
        <v>4543</v>
      </c>
      <c r="F8" s="60" t="s">
        <v>4600</v>
      </c>
      <c r="G8" s="60" t="s">
        <v>4545</v>
      </c>
      <c r="H8" s="60" t="s">
        <v>4601</v>
      </c>
      <c r="I8" s="60">
        <v>6200</v>
      </c>
      <c r="J8" s="60" t="s">
        <v>1582</v>
      </c>
      <c r="K8" s="60" t="s">
        <v>4377</v>
      </c>
      <c r="L8" s="60" t="s">
        <v>4543</v>
      </c>
      <c r="M8" s="60" t="s">
        <v>4588</v>
      </c>
      <c r="N8" s="60" t="s">
        <v>4588</v>
      </c>
      <c r="O8" s="60" t="s">
        <v>4548</v>
      </c>
      <c r="P8" s="60" t="s">
        <v>4549</v>
      </c>
      <c r="Q8" s="60" t="s">
        <v>4601</v>
      </c>
      <c r="R8" s="60" t="s">
        <v>4602</v>
      </c>
      <c r="S8" s="60" t="s">
        <v>4603</v>
      </c>
      <c r="T8" s="60" t="s">
        <v>4377</v>
      </c>
      <c r="U8" s="60" t="s">
        <v>4552</v>
      </c>
      <c r="V8" s="60" t="s">
        <v>4374</v>
      </c>
      <c r="W8" s="60" t="s">
        <v>4377</v>
      </c>
      <c r="X8" s="60" t="s">
        <v>4598</v>
      </c>
      <c r="Y8" s="60" t="s">
        <v>4554</v>
      </c>
      <c r="Z8" s="60" t="s">
        <v>4555</v>
      </c>
      <c r="AA8" s="60" t="s">
        <v>4377</v>
      </c>
      <c r="AB8" s="60" t="s">
        <v>4556</v>
      </c>
      <c r="AC8" s="60" t="s">
        <v>4557</v>
      </c>
      <c r="AD8" s="60" t="s">
        <v>4377</v>
      </c>
      <c r="AE8" s="60" t="s">
        <v>4377</v>
      </c>
      <c r="AF8" s="60" t="s">
        <v>4377</v>
      </c>
      <c r="AG8" s="60" t="s">
        <v>4377</v>
      </c>
      <c r="AH8" s="60" t="s">
        <v>4377</v>
      </c>
      <c r="AI8" s="60" t="s">
        <v>4377</v>
      </c>
      <c r="AJ8" s="60" t="s">
        <v>4377</v>
      </c>
      <c r="AK8" s="60" t="s">
        <v>4377</v>
      </c>
      <c r="AL8" s="60" t="s">
        <v>4377</v>
      </c>
      <c r="AM8" s="60" t="s">
        <v>4377</v>
      </c>
      <c r="AN8" s="60" t="s">
        <v>4377</v>
      </c>
      <c r="AO8" s="60" t="s">
        <v>4377</v>
      </c>
      <c r="AP8" s="61">
        <v>45670.6998263889</v>
      </c>
      <c r="AQ8" s="60" t="s">
        <v>4377</v>
      </c>
      <c r="AR8" s="60" t="s">
        <v>4377</v>
      </c>
      <c r="AS8" s="60" t="s">
        <v>4592</v>
      </c>
      <c r="AT8" s="60" t="s">
        <v>4571</v>
      </c>
      <c r="AU8" s="60" t="s">
        <v>4377</v>
      </c>
      <c r="AV8" s="60" t="s">
        <v>4377</v>
      </c>
      <c r="AW8" s="61">
        <v>45659.6642476852</v>
      </c>
      <c r="AX8" s="60" t="s">
        <v>4377</v>
      </c>
      <c r="AY8" s="60" t="s">
        <v>4559</v>
      </c>
      <c r="AZ8" s="60" t="s">
        <v>4377</v>
      </c>
      <c r="BA8" s="60" t="s">
        <v>4377</v>
      </c>
      <c r="BB8" s="60" t="s">
        <v>4377</v>
      </c>
      <c r="BC8" s="60" t="s">
        <v>4377</v>
      </c>
      <c r="BD8" s="60" t="s">
        <v>4572</v>
      </c>
      <c r="BE8" s="60" t="s">
        <v>4377</v>
      </c>
      <c r="BF8" s="60" t="s">
        <v>4561</v>
      </c>
      <c r="BG8" s="60" t="s">
        <v>4377</v>
      </c>
      <c r="BH8" s="60" t="s">
        <v>4377</v>
      </c>
      <c r="BI8" s="60" t="s">
        <v>2758</v>
      </c>
      <c r="BJ8" s="60" t="s">
        <v>4377</v>
      </c>
      <c r="BK8" s="60" t="s">
        <v>4377</v>
      </c>
      <c r="BL8" s="60" t="s">
        <v>4377</v>
      </c>
      <c r="BM8" s="60" t="s">
        <v>4377</v>
      </c>
      <c r="BN8" s="60">
        <v>6200</v>
      </c>
      <c r="BO8" s="60" t="s">
        <v>4377</v>
      </c>
      <c r="BP8" s="60" t="s">
        <v>4377</v>
      </c>
      <c r="BQ8" s="60" t="s">
        <v>4377</v>
      </c>
      <c r="BR8" s="60" t="s">
        <v>4377</v>
      </c>
      <c r="BS8" s="60" t="s">
        <v>4377</v>
      </c>
      <c r="BT8" s="60" t="s">
        <v>1582</v>
      </c>
      <c r="BU8" s="60" t="s">
        <v>4377</v>
      </c>
      <c r="BV8" s="60" t="s">
        <v>4377</v>
      </c>
      <c r="BW8" s="60" t="s">
        <v>4377</v>
      </c>
      <c r="BX8" s="60">
        <v>6200</v>
      </c>
      <c r="BY8" s="60" t="s">
        <v>4377</v>
      </c>
      <c r="BZ8" s="60" t="s">
        <v>4377</v>
      </c>
      <c r="CA8" s="60" t="s">
        <v>4545</v>
      </c>
      <c r="CB8" s="60" t="s">
        <v>4377</v>
      </c>
      <c r="CC8" s="60" t="s">
        <v>4377</v>
      </c>
      <c r="CD8" s="60" t="s">
        <v>4377</v>
      </c>
    </row>
    <row r="9" spans="1:82">
      <c r="A9" s="60">
        <v>23183</v>
      </c>
      <c r="B9" s="60" t="s">
        <v>4563</v>
      </c>
      <c r="C9" s="60" t="s">
        <v>4377</v>
      </c>
      <c r="D9" s="60" t="s">
        <v>4604</v>
      </c>
      <c r="E9" s="60" t="s">
        <v>4543</v>
      </c>
      <c r="F9" s="60" t="s">
        <v>4605</v>
      </c>
      <c r="G9" s="60" t="s">
        <v>4545</v>
      </c>
      <c r="H9" s="60" t="s">
        <v>4606</v>
      </c>
      <c r="I9" s="60">
        <v>6100</v>
      </c>
      <c r="J9" s="60" t="s">
        <v>1582</v>
      </c>
      <c r="K9" s="60" t="s">
        <v>4377</v>
      </c>
      <c r="L9" s="60" t="s">
        <v>4543</v>
      </c>
      <c r="M9" s="60" t="s">
        <v>4588</v>
      </c>
      <c r="N9" s="60" t="s">
        <v>4588</v>
      </c>
      <c r="O9" s="60" t="s">
        <v>4548</v>
      </c>
      <c r="P9" s="60" t="s">
        <v>4549</v>
      </c>
      <c r="Q9" s="60" t="s">
        <v>4606</v>
      </c>
      <c r="R9" s="60" t="s">
        <v>4607</v>
      </c>
      <c r="S9" s="60" t="s">
        <v>4608</v>
      </c>
      <c r="T9" s="60" t="s">
        <v>4377</v>
      </c>
      <c r="U9" s="60" t="s">
        <v>4552</v>
      </c>
      <c r="V9" s="60" t="s">
        <v>4374</v>
      </c>
      <c r="W9" s="60" t="s">
        <v>4377</v>
      </c>
      <c r="X9" s="60" t="s">
        <v>4598</v>
      </c>
      <c r="Y9" s="60" t="s">
        <v>4554</v>
      </c>
      <c r="Z9" s="60" t="s">
        <v>4555</v>
      </c>
      <c r="AA9" s="60" t="s">
        <v>4377</v>
      </c>
      <c r="AB9" s="60" t="s">
        <v>4556</v>
      </c>
      <c r="AC9" s="60" t="s">
        <v>4557</v>
      </c>
      <c r="AD9" s="60" t="s">
        <v>4377</v>
      </c>
      <c r="AE9" s="60" t="s">
        <v>4377</v>
      </c>
      <c r="AF9" s="60" t="s">
        <v>4377</v>
      </c>
      <c r="AG9" s="60" t="s">
        <v>4377</v>
      </c>
      <c r="AH9" s="60" t="s">
        <v>4377</v>
      </c>
      <c r="AI9" s="60" t="s">
        <v>4377</v>
      </c>
      <c r="AJ9" s="60" t="s">
        <v>4377</v>
      </c>
      <c r="AK9" s="60" t="s">
        <v>4377</v>
      </c>
      <c r="AL9" s="60" t="s">
        <v>4377</v>
      </c>
      <c r="AM9" s="60" t="s">
        <v>4377</v>
      </c>
      <c r="AN9" s="60" t="s">
        <v>4377</v>
      </c>
      <c r="AO9" s="60" t="s">
        <v>4377</v>
      </c>
      <c r="AP9" s="61">
        <v>45670.699837963</v>
      </c>
      <c r="AQ9" s="60" t="s">
        <v>4377</v>
      </c>
      <c r="AR9" s="60" t="s">
        <v>4377</v>
      </c>
      <c r="AS9" s="60" t="s">
        <v>4592</v>
      </c>
      <c r="AT9" s="60" t="s">
        <v>4571</v>
      </c>
      <c r="AU9" s="60" t="s">
        <v>4377</v>
      </c>
      <c r="AV9" s="60" t="s">
        <v>4377</v>
      </c>
      <c r="AW9" s="61">
        <v>45659.6642361111</v>
      </c>
      <c r="AX9" s="60" t="s">
        <v>4377</v>
      </c>
      <c r="AY9" s="60" t="s">
        <v>4559</v>
      </c>
      <c r="AZ9" s="60" t="s">
        <v>4377</v>
      </c>
      <c r="BA9" s="60" t="s">
        <v>4377</v>
      </c>
      <c r="BB9" s="60" t="s">
        <v>4377</v>
      </c>
      <c r="BC9" s="60" t="s">
        <v>4377</v>
      </c>
      <c r="BD9" s="60" t="s">
        <v>4572</v>
      </c>
      <c r="BE9" s="60" t="s">
        <v>4377</v>
      </c>
      <c r="BF9" s="60" t="s">
        <v>4561</v>
      </c>
      <c r="BG9" s="60" t="s">
        <v>4377</v>
      </c>
      <c r="BH9" s="60" t="s">
        <v>4377</v>
      </c>
      <c r="BI9" s="60" t="s">
        <v>2758</v>
      </c>
      <c r="BJ9" s="60" t="s">
        <v>4377</v>
      </c>
      <c r="BK9" s="60" t="s">
        <v>4377</v>
      </c>
      <c r="BL9" s="60" t="s">
        <v>4377</v>
      </c>
      <c r="BM9" s="60" t="s">
        <v>4377</v>
      </c>
      <c r="BN9" s="60">
        <v>6100</v>
      </c>
      <c r="BO9" s="60" t="s">
        <v>4377</v>
      </c>
      <c r="BP9" s="60" t="s">
        <v>4377</v>
      </c>
      <c r="BQ9" s="60" t="s">
        <v>4377</v>
      </c>
      <c r="BR9" s="60" t="s">
        <v>4377</v>
      </c>
      <c r="BS9" s="60" t="s">
        <v>4377</v>
      </c>
      <c r="BT9" s="60" t="s">
        <v>1582</v>
      </c>
      <c r="BU9" s="60" t="s">
        <v>4377</v>
      </c>
      <c r="BV9" s="60" t="s">
        <v>4377</v>
      </c>
      <c r="BW9" s="60" t="s">
        <v>4377</v>
      </c>
      <c r="BX9" s="60">
        <v>6100</v>
      </c>
      <c r="BY9" s="60" t="s">
        <v>4377</v>
      </c>
      <c r="BZ9" s="60" t="s">
        <v>4377</v>
      </c>
      <c r="CA9" s="60" t="s">
        <v>4545</v>
      </c>
      <c r="CB9" s="60" t="s">
        <v>4377</v>
      </c>
      <c r="CC9" s="60" t="s">
        <v>4377</v>
      </c>
      <c r="CD9" s="60" t="s">
        <v>4377</v>
      </c>
    </row>
    <row r="10" spans="1:82">
      <c r="A10" s="60">
        <v>23184</v>
      </c>
      <c r="B10" s="60" t="s">
        <v>4563</v>
      </c>
      <c r="C10" s="60" t="s">
        <v>4377</v>
      </c>
      <c r="D10" s="60" t="s">
        <v>4609</v>
      </c>
      <c r="E10" s="60" t="s">
        <v>4543</v>
      </c>
      <c r="F10" s="60" t="s">
        <v>4610</v>
      </c>
      <c r="G10" s="60" t="s">
        <v>4545</v>
      </c>
      <c r="H10" s="60" t="s">
        <v>4611</v>
      </c>
      <c r="I10" s="60">
        <v>6115</v>
      </c>
      <c r="J10" s="60" t="s">
        <v>1582</v>
      </c>
      <c r="K10" s="60" t="s">
        <v>4377</v>
      </c>
      <c r="L10" s="60" t="s">
        <v>4543</v>
      </c>
      <c r="M10" s="60" t="s">
        <v>4588</v>
      </c>
      <c r="N10" s="60" t="s">
        <v>4588</v>
      </c>
      <c r="O10" s="60" t="s">
        <v>4548</v>
      </c>
      <c r="P10" s="60" t="s">
        <v>4549</v>
      </c>
      <c r="Q10" s="60" t="s">
        <v>4611</v>
      </c>
      <c r="R10" s="60" t="s">
        <v>4612</v>
      </c>
      <c r="S10" s="60" t="s">
        <v>4613</v>
      </c>
      <c r="T10" s="60" t="s">
        <v>4377</v>
      </c>
      <c r="U10" s="60" t="s">
        <v>4552</v>
      </c>
      <c r="V10" s="60" t="s">
        <v>4374</v>
      </c>
      <c r="W10" s="60" t="s">
        <v>4377</v>
      </c>
      <c r="X10" s="60" t="s">
        <v>4598</v>
      </c>
      <c r="Y10" s="60" t="s">
        <v>4554</v>
      </c>
      <c r="Z10" s="60" t="s">
        <v>4555</v>
      </c>
      <c r="AA10" s="60" t="s">
        <v>4377</v>
      </c>
      <c r="AB10" s="60" t="s">
        <v>4556</v>
      </c>
      <c r="AC10" s="60" t="s">
        <v>4557</v>
      </c>
      <c r="AD10" s="60" t="s">
        <v>4377</v>
      </c>
      <c r="AE10" s="60" t="s">
        <v>4377</v>
      </c>
      <c r="AF10" s="60" t="s">
        <v>4377</v>
      </c>
      <c r="AG10" s="60" t="s">
        <v>4377</v>
      </c>
      <c r="AH10" s="60" t="s">
        <v>4377</v>
      </c>
      <c r="AI10" s="60" t="s">
        <v>4377</v>
      </c>
      <c r="AJ10" s="60" t="s">
        <v>4377</v>
      </c>
      <c r="AK10" s="60" t="s">
        <v>4377</v>
      </c>
      <c r="AL10" s="60" t="s">
        <v>4377</v>
      </c>
      <c r="AM10" s="60" t="s">
        <v>4377</v>
      </c>
      <c r="AN10" s="60" t="s">
        <v>4377</v>
      </c>
      <c r="AO10" s="60" t="s">
        <v>4377</v>
      </c>
      <c r="AP10" s="61">
        <v>45670.6997800926</v>
      </c>
      <c r="AQ10" s="60" t="s">
        <v>4377</v>
      </c>
      <c r="AR10" s="60" t="s">
        <v>4377</v>
      </c>
      <c r="AS10" s="60" t="s">
        <v>4592</v>
      </c>
      <c r="AT10" s="60" t="s">
        <v>4571</v>
      </c>
      <c r="AU10" s="60" t="s">
        <v>4377</v>
      </c>
      <c r="AV10" s="60" t="s">
        <v>4377</v>
      </c>
      <c r="AW10" s="61">
        <v>45659.664224537</v>
      </c>
      <c r="AX10" s="60" t="s">
        <v>4377</v>
      </c>
      <c r="AY10" s="60" t="s">
        <v>4559</v>
      </c>
      <c r="AZ10" s="60" t="s">
        <v>4377</v>
      </c>
      <c r="BA10" s="60" t="s">
        <v>4377</v>
      </c>
      <c r="BB10" s="60" t="s">
        <v>4377</v>
      </c>
      <c r="BC10" s="60" t="s">
        <v>4377</v>
      </c>
      <c r="BD10" s="60" t="s">
        <v>4572</v>
      </c>
      <c r="BE10" s="60" t="s">
        <v>4377</v>
      </c>
      <c r="BF10" s="60" t="s">
        <v>4561</v>
      </c>
      <c r="BG10" s="60" t="s">
        <v>4377</v>
      </c>
      <c r="BH10" s="60" t="s">
        <v>4377</v>
      </c>
      <c r="BI10" s="60" t="s">
        <v>2758</v>
      </c>
      <c r="BJ10" s="60" t="s">
        <v>4377</v>
      </c>
      <c r="BK10" s="60" t="s">
        <v>4377</v>
      </c>
      <c r="BL10" s="60" t="s">
        <v>4377</v>
      </c>
      <c r="BM10" s="60" t="s">
        <v>4377</v>
      </c>
      <c r="BN10" s="60">
        <v>6115</v>
      </c>
      <c r="BO10" s="60" t="s">
        <v>4377</v>
      </c>
      <c r="BP10" s="60" t="s">
        <v>4377</v>
      </c>
      <c r="BQ10" s="60" t="s">
        <v>4377</v>
      </c>
      <c r="BR10" s="60" t="s">
        <v>4377</v>
      </c>
      <c r="BS10" s="60" t="s">
        <v>4377</v>
      </c>
      <c r="BT10" s="60" t="s">
        <v>1582</v>
      </c>
      <c r="BU10" s="60" t="s">
        <v>4377</v>
      </c>
      <c r="BV10" s="60" t="s">
        <v>4377</v>
      </c>
      <c r="BW10" s="60" t="s">
        <v>4377</v>
      </c>
      <c r="BX10" s="60">
        <v>6115</v>
      </c>
      <c r="BY10" s="60" t="s">
        <v>4377</v>
      </c>
      <c r="BZ10" s="60" t="s">
        <v>4377</v>
      </c>
      <c r="CA10" s="60" t="s">
        <v>4545</v>
      </c>
      <c r="CB10" s="60" t="s">
        <v>4377</v>
      </c>
      <c r="CC10" s="60" t="s">
        <v>4377</v>
      </c>
      <c r="CD10" s="60" t="s">
        <v>4377</v>
      </c>
    </row>
    <row r="11" spans="1:82">
      <c r="A11" s="60">
        <v>23185</v>
      </c>
      <c r="B11" s="60" t="s">
        <v>4563</v>
      </c>
      <c r="C11" s="60" t="s">
        <v>4377</v>
      </c>
      <c r="D11" s="60" t="s">
        <v>4614</v>
      </c>
      <c r="E11" s="60" t="s">
        <v>4543</v>
      </c>
      <c r="F11" s="60" t="s">
        <v>4615</v>
      </c>
      <c r="G11" s="60" t="s">
        <v>4545</v>
      </c>
      <c r="H11" s="60" t="s">
        <v>4616</v>
      </c>
      <c r="I11" s="60">
        <v>7000</v>
      </c>
      <c r="J11" s="60" t="s">
        <v>1582</v>
      </c>
      <c r="K11" s="60" t="s">
        <v>4377</v>
      </c>
      <c r="L11" s="60" t="s">
        <v>4543</v>
      </c>
      <c r="M11" s="60" t="s">
        <v>4588</v>
      </c>
      <c r="N11" s="60" t="s">
        <v>4588</v>
      </c>
      <c r="O11" s="60" t="s">
        <v>4548</v>
      </c>
      <c r="P11" s="60" t="s">
        <v>4549</v>
      </c>
      <c r="Q11" s="60" t="s">
        <v>4616</v>
      </c>
      <c r="R11" s="60" t="s">
        <v>4617</v>
      </c>
      <c r="S11" s="60" t="s">
        <v>4618</v>
      </c>
      <c r="T11" s="60" t="s">
        <v>4377</v>
      </c>
      <c r="U11" s="60" t="s">
        <v>4552</v>
      </c>
      <c r="V11" s="60" t="s">
        <v>4374</v>
      </c>
      <c r="W11" s="60" t="s">
        <v>4377</v>
      </c>
      <c r="X11" s="60" t="s">
        <v>4598</v>
      </c>
      <c r="Y11" s="60" t="s">
        <v>4554</v>
      </c>
      <c r="Z11" s="60" t="s">
        <v>4555</v>
      </c>
      <c r="AA11" s="60" t="s">
        <v>4377</v>
      </c>
      <c r="AB11" s="60" t="s">
        <v>4556</v>
      </c>
      <c r="AC11" s="60" t="s">
        <v>4557</v>
      </c>
      <c r="AD11" s="60" t="s">
        <v>4377</v>
      </c>
      <c r="AE11" s="60" t="s">
        <v>4377</v>
      </c>
      <c r="AF11" s="60" t="s">
        <v>4377</v>
      </c>
      <c r="AG11" s="60" t="s">
        <v>4377</v>
      </c>
      <c r="AH11" s="60" t="s">
        <v>4377</v>
      </c>
      <c r="AI11" s="60" t="s">
        <v>4377</v>
      </c>
      <c r="AJ11" s="60" t="s">
        <v>4377</v>
      </c>
      <c r="AK11" s="60" t="s">
        <v>4377</v>
      </c>
      <c r="AL11" s="60" t="s">
        <v>4377</v>
      </c>
      <c r="AM11" s="60" t="s">
        <v>4377</v>
      </c>
      <c r="AN11" s="60" t="s">
        <v>4377</v>
      </c>
      <c r="AO11" s="60" t="s">
        <v>4377</v>
      </c>
      <c r="AP11" s="61">
        <v>45670.6998263889</v>
      </c>
      <c r="AQ11" s="60" t="s">
        <v>4377</v>
      </c>
      <c r="AR11" s="60" t="s">
        <v>4377</v>
      </c>
      <c r="AS11" s="60" t="s">
        <v>4592</v>
      </c>
      <c r="AT11" s="60" t="s">
        <v>4571</v>
      </c>
      <c r="AU11" s="60" t="s">
        <v>4377</v>
      </c>
      <c r="AV11" s="60" t="s">
        <v>4377</v>
      </c>
      <c r="AW11" s="61">
        <v>45659.6628587963</v>
      </c>
      <c r="AX11" s="60" t="s">
        <v>4377</v>
      </c>
      <c r="AY11" s="60" t="s">
        <v>4559</v>
      </c>
      <c r="AZ11" s="60" t="s">
        <v>4377</v>
      </c>
      <c r="BA11" s="60" t="s">
        <v>4377</v>
      </c>
      <c r="BB11" s="60" t="s">
        <v>4377</v>
      </c>
      <c r="BC11" s="60" t="s">
        <v>4377</v>
      </c>
      <c r="BD11" s="60" t="s">
        <v>4572</v>
      </c>
      <c r="BE11" s="60" t="s">
        <v>4377</v>
      </c>
      <c r="BF11" s="60" t="s">
        <v>4561</v>
      </c>
      <c r="BG11" s="60" t="s">
        <v>4377</v>
      </c>
      <c r="BH11" s="60" t="s">
        <v>4377</v>
      </c>
      <c r="BI11" s="60" t="s">
        <v>2758</v>
      </c>
      <c r="BJ11" s="60" t="s">
        <v>4377</v>
      </c>
      <c r="BK11" s="60" t="s">
        <v>4377</v>
      </c>
      <c r="BL11" s="60" t="s">
        <v>4377</v>
      </c>
      <c r="BM11" s="60" t="s">
        <v>4377</v>
      </c>
      <c r="BN11" s="60">
        <v>7000</v>
      </c>
      <c r="BO11" s="60" t="s">
        <v>4377</v>
      </c>
      <c r="BP11" s="60" t="s">
        <v>4377</v>
      </c>
      <c r="BQ11" s="60" t="s">
        <v>4377</v>
      </c>
      <c r="BR11" s="60" t="s">
        <v>4377</v>
      </c>
      <c r="BS11" s="60" t="s">
        <v>4377</v>
      </c>
      <c r="BT11" s="60" t="s">
        <v>1582</v>
      </c>
      <c r="BU11" s="60" t="s">
        <v>4377</v>
      </c>
      <c r="BV11" s="60" t="s">
        <v>4377</v>
      </c>
      <c r="BW11" s="60" t="s">
        <v>4377</v>
      </c>
      <c r="BX11" s="60">
        <v>7000</v>
      </c>
      <c r="BY11" s="60" t="s">
        <v>4377</v>
      </c>
      <c r="BZ11" s="60" t="s">
        <v>4377</v>
      </c>
      <c r="CA11" s="60" t="s">
        <v>4545</v>
      </c>
      <c r="CB11" s="60" t="s">
        <v>4377</v>
      </c>
      <c r="CC11" s="60" t="s">
        <v>4377</v>
      </c>
      <c r="CD11" s="60" t="s">
        <v>4377</v>
      </c>
    </row>
    <row r="12" spans="1:82">
      <c r="A12" s="60">
        <v>23186</v>
      </c>
      <c r="B12" s="60" t="s">
        <v>4563</v>
      </c>
      <c r="C12" s="60" t="s">
        <v>4377</v>
      </c>
      <c r="D12" s="60" t="s">
        <v>4619</v>
      </c>
      <c r="E12" s="60" t="s">
        <v>4543</v>
      </c>
      <c r="F12" s="60" t="s">
        <v>4620</v>
      </c>
      <c r="G12" s="60" t="s">
        <v>4545</v>
      </c>
      <c r="H12" s="60" t="s">
        <v>4621</v>
      </c>
      <c r="I12" s="60">
        <v>7100</v>
      </c>
      <c r="J12" s="60" t="s">
        <v>1582</v>
      </c>
      <c r="K12" s="60" t="s">
        <v>4377</v>
      </c>
      <c r="L12" s="60" t="s">
        <v>4543</v>
      </c>
      <c r="M12" s="60" t="s">
        <v>4588</v>
      </c>
      <c r="N12" s="60" t="s">
        <v>4588</v>
      </c>
      <c r="O12" s="60" t="s">
        <v>4548</v>
      </c>
      <c r="P12" s="60" t="s">
        <v>4549</v>
      </c>
      <c r="Q12" s="60" t="s">
        <v>4621</v>
      </c>
      <c r="R12" s="60" t="s">
        <v>4622</v>
      </c>
      <c r="S12" s="60" t="s">
        <v>4623</v>
      </c>
      <c r="T12" s="60" t="s">
        <v>4377</v>
      </c>
      <c r="U12" s="60" t="s">
        <v>4552</v>
      </c>
      <c r="V12" s="60" t="s">
        <v>4374</v>
      </c>
      <c r="W12" s="60" t="s">
        <v>4377</v>
      </c>
      <c r="X12" s="60" t="s">
        <v>4598</v>
      </c>
      <c r="Y12" s="60" t="s">
        <v>4554</v>
      </c>
      <c r="Z12" s="60" t="s">
        <v>4555</v>
      </c>
      <c r="AA12" s="60" t="s">
        <v>4377</v>
      </c>
      <c r="AB12" s="60" t="s">
        <v>4556</v>
      </c>
      <c r="AC12" s="60" t="s">
        <v>4557</v>
      </c>
      <c r="AD12" s="60" t="s">
        <v>4377</v>
      </c>
      <c r="AE12" s="60" t="s">
        <v>4377</v>
      </c>
      <c r="AF12" s="60" t="s">
        <v>4377</v>
      </c>
      <c r="AG12" s="60" t="s">
        <v>4377</v>
      </c>
      <c r="AH12" s="60" t="s">
        <v>4377</v>
      </c>
      <c r="AI12" s="60" t="s">
        <v>4377</v>
      </c>
      <c r="AJ12" s="60" t="s">
        <v>4377</v>
      </c>
      <c r="AK12" s="60" t="s">
        <v>4377</v>
      </c>
      <c r="AL12" s="60" t="s">
        <v>4377</v>
      </c>
      <c r="AM12" s="60" t="s">
        <v>4377</v>
      </c>
      <c r="AN12" s="60" t="s">
        <v>4377</v>
      </c>
      <c r="AO12" s="60" t="s">
        <v>4377</v>
      </c>
      <c r="AP12" s="61">
        <v>45670.6998842593</v>
      </c>
      <c r="AQ12" s="60" t="s">
        <v>4377</v>
      </c>
      <c r="AR12" s="60" t="s">
        <v>4377</v>
      </c>
      <c r="AS12" s="60" t="s">
        <v>4592</v>
      </c>
      <c r="AT12" s="60" t="s">
        <v>4571</v>
      </c>
      <c r="AU12" s="60" t="s">
        <v>4377</v>
      </c>
      <c r="AV12" s="60" t="s">
        <v>4377</v>
      </c>
      <c r="AW12" s="61">
        <v>45659.6628587963</v>
      </c>
      <c r="AX12" s="60" t="s">
        <v>4377</v>
      </c>
      <c r="AY12" s="60" t="s">
        <v>4559</v>
      </c>
      <c r="AZ12" s="60" t="s">
        <v>4377</v>
      </c>
      <c r="BA12" s="60" t="s">
        <v>4377</v>
      </c>
      <c r="BB12" s="60" t="s">
        <v>4377</v>
      </c>
      <c r="BC12" s="60" t="s">
        <v>4377</v>
      </c>
      <c r="BD12" s="60" t="s">
        <v>4572</v>
      </c>
      <c r="BE12" s="60" t="s">
        <v>4377</v>
      </c>
      <c r="BF12" s="60" t="s">
        <v>4561</v>
      </c>
      <c r="BG12" s="60" t="s">
        <v>4377</v>
      </c>
      <c r="BH12" s="60" t="s">
        <v>4377</v>
      </c>
      <c r="BI12" s="60" t="s">
        <v>2758</v>
      </c>
      <c r="BJ12" s="60" t="s">
        <v>4377</v>
      </c>
      <c r="BK12" s="60" t="s">
        <v>4377</v>
      </c>
      <c r="BL12" s="60" t="s">
        <v>4377</v>
      </c>
      <c r="BM12" s="60" t="s">
        <v>4377</v>
      </c>
      <c r="BN12" s="60">
        <v>7100</v>
      </c>
      <c r="BO12" s="60" t="s">
        <v>4377</v>
      </c>
      <c r="BP12" s="60" t="s">
        <v>4377</v>
      </c>
      <c r="BQ12" s="60" t="s">
        <v>4377</v>
      </c>
      <c r="BR12" s="60" t="s">
        <v>4377</v>
      </c>
      <c r="BS12" s="60" t="s">
        <v>4377</v>
      </c>
      <c r="BT12" s="60" t="s">
        <v>1582</v>
      </c>
      <c r="BU12" s="60" t="s">
        <v>4377</v>
      </c>
      <c r="BV12" s="60" t="s">
        <v>4377</v>
      </c>
      <c r="BW12" s="60" t="s">
        <v>4377</v>
      </c>
      <c r="BX12" s="60">
        <v>7100</v>
      </c>
      <c r="BY12" s="60" t="s">
        <v>4377</v>
      </c>
      <c r="BZ12" s="60" t="s">
        <v>4377</v>
      </c>
      <c r="CA12" s="60" t="s">
        <v>4545</v>
      </c>
      <c r="CB12" s="60" t="s">
        <v>4377</v>
      </c>
      <c r="CC12" s="60" t="s">
        <v>4377</v>
      </c>
      <c r="CD12" s="60" t="s">
        <v>4377</v>
      </c>
    </row>
    <row r="13" spans="1:82">
      <c r="A13" s="60">
        <v>23247</v>
      </c>
      <c r="B13" s="60" t="s">
        <v>4377</v>
      </c>
      <c r="C13" s="60" t="s">
        <v>4624</v>
      </c>
      <c r="D13" s="60" t="s">
        <v>4377</v>
      </c>
      <c r="E13" s="60" t="s">
        <v>4543</v>
      </c>
      <c r="F13" s="60" t="s">
        <v>4625</v>
      </c>
      <c r="G13" s="60" t="s">
        <v>4545</v>
      </c>
      <c r="H13" s="60" t="s">
        <v>4626</v>
      </c>
      <c r="I13" s="60">
        <v>8816.98</v>
      </c>
      <c r="J13" s="60" t="s">
        <v>1582</v>
      </c>
      <c r="K13" s="60" t="s">
        <v>4377</v>
      </c>
      <c r="L13" s="60" t="s">
        <v>4543</v>
      </c>
      <c r="M13" s="60" t="s">
        <v>4627</v>
      </c>
      <c r="N13" s="60" t="s">
        <v>4627</v>
      </c>
      <c r="O13" s="60" t="s">
        <v>4548</v>
      </c>
      <c r="P13" s="60" t="s">
        <v>4549</v>
      </c>
      <c r="Q13" s="60" t="s">
        <v>4626</v>
      </c>
      <c r="R13" s="60" t="s">
        <v>4628</v>
      </c>
      <c r="S13" s="60" t="s">
        <v>4629</v>
      </c>
      <c r="T13" s="60" t="s">
        <v>4630</v>
      </c>
      <c r="U13" s="60" t="s">
        <v>4552</v>
      </c>
      <c r="V13" s="60" t="s">
        <v>4374</v>
      </c>
      <c r="W13" s="60" t="s">
        <v>4377</v>
      </c>
      <c r="X13" s="60" t="s">
        <v>4631</v>
      </c>
      <c r="Y13" s="60" t="s">
        <v>4554</v>
      </c>
      <c r="Z13" s="60" t="s">
        <v>4632</v>
      </c>
      <c r="AA13" s="60" t="s">
        <v>4377</v>
      </c>
      <c r="AB13" s="60" t="s">
        <v>4377</v>
      </c>
      <c r="AC13" s="60" t="s">
        <v>4377</v>
      </c>
      <c r="AD13" s="60" t="s">
        <v>4377</v>
      </c>
      <c r="AE13" s="60" t="s">
        <v>4377</v>
      </c>
      <c r="AF13" s="60" t="s">
        <v>4377</v>
      </c>
      <c r="AG13" s="60" t="s">
        <v>4377</v>
      </c>
      <c r="AH13" s="60" t="s">
        <v>4377</v>
      </c>
      <c r="AI13" s="60" t="s">
        <v>4377</v>
      </c>
      <c r="AJ13" s="60" t="s">
        <v>4377</v>
      </c>
      <c r="AK13" s="60" t="s">
        <v>4377</v>
      </c>
      <c r="AL13" s="60" t="s">
        <v>4377</v>
      </c>
      <c r="AM13" s="60" t="s">
        <v>4377</v>
      </c>
      <c r="AN13" s="60" t="s">
        <v>4377</v>
      </c>
      <c r="AO13" s="60" t="s">
        <v>4377</v>
      </c>
      <c r="AP13" s="61">
        <v>45693.4461458333</v>
      </c>
      <c r="AQ13" s="60" t="s">
        <v>4377</v>
      </c>
      <c r="AR13" s="60" t="s">
        <v>4377</v>
      </c>
      <c r="AS13" s="60" t="s">
        <v>4570</v>
      </c>
      <c r="AT13" s="60" t="s">
        <v>4571</v>
      </c>
      <c r="AU13" s="60" t="s">
        <v>4377</v>
      </c>
      <c r="AV13" s="60" t="s">
        <v>4377</v>
      </c>
      <c r="AW13" s="61">
        <v>45660.5770023148</v>
      </c>
      <c r="AX13" s="60" t="s">
        <v>4377</v>
      </c>
      <c r="AY13" s="60" t="s">
        <v>4559</v>
      </c>
      <c r="AZ13" s="60" t="s">
        <v>4377</v>
      </c>
      <c r="BA13" s="60" t="s">
        <v>4377</v>
      </c>
      <c r="BB13" s="60" t="s">
        <v>4377</v>
      </c>
      <c r="BC13" s="60" t="s">
        <v>4633</v>
      </c>
      <c r="BD13" s="60" t="s">
        <v>4634</v>
      </c>
      <c r="BE13" s="60" t="s">
        <v>4635</v>
      </c>
      <c r="BF13" s="60" t="s">
        <v>4561</v>
      </c>
      <c r="BG13" s="60" t="s">
        <v>4377</v>
      </c>
      <c r="BH13" s="60" t="s">
        <v>4377</v>
      </c>
      <c r="BI13" s="60" t="s">
        <v>2758</v>
      </c>
      <c r="BJ13" s="60" t="s">
        <v>4377</v>
      </c>
      <c r="BK13" s="60" t="s">
        <v>4377</v>
      </c>
      <c r="BL13" s="60">
        <v>3398966</v>
      </c>
      <c r="BM13" s="60" t="s">
        <v>4636</v>
      </c>
      <c r="BN13" s="60">
        <v>1110.6</v>
      </c>
      <c r="BO13" s="60" t="s">
        <v>4377</v>
      </c>
      <c r="BP13" s="60" t="s">
        <v>4377</v>
      </c>
      <c r="BQ13" s="60" t="s">
        <v>4377</v>
      </c>
      <c r="BR13" s="60" t="s">
        <v>4637</v>
      </c>
      <c r="BS13" s="60" t="s">
        <v>1582</v>
      </c>
      <c r="BT13" s="60" t="s">
        <v>4377</v>
      </c>
      <c r="BU13" s="60" t="s">
        <v>4377</v>
      </c>
      <c r="BV13" s="60" t="s">
        <v>4377</v>
      </c>
      <c r="BW13" s="60" t="s">
        <v>4377</v>
      </c>
      <c r="BX13" s="60">
        <v>1110.6</v>
      </c>
      <c r="BY13" s="60" t="s">
        <v>4377</v>
      </c>
      <c r="BZ13" s="60" t="s">
        <v>4377</v>
      </c>
      <c r="CA13" s="60" t="s">
        <v>4545</v>
      </c>
      <c r="CB13" s="60" t="s">
        <v>4377</v>
      </c>
      <c r="CC13" s="60" t="s">
        <v>4377</v>
      </c>
      <c r="CD13" s="60" t="s">
        <v>4377</v>
      </c>
    </row>
    <row r="14" spans="1:82">
      <c r="A14" s="60">
        <v>23248</v>
      </c>
      <c r="B14" s="60" t="s">
        <v>4377</v>
      </c>
      <c r="C14" s="60" t="s">
        <v>4624</v>
      </c>
      <c r="D14" s="60" t="s">
        <v>4377</v>
      </c>
      <c r="E14" s="60" t="s">
        <v>4543</v>
      </c>
      <c r="F14" s="60" t="s">
        <v>4625</v>
      </c>
      <c r="G14" s="60" t="s">
        <v>4545</v>
      </c>
      <c r="H14" s="60" t="s">
        <v>4626</v>
      </c>
      <c r="I14" s="60">
        <v>8816.98</v>
      </c>
      <c r="J14" s="60" t="s">
        <v>1582</v>
      </c>
      <c r="K14" s="60" t="s">
        <v>4377</v>
      </c>
      <c r="L14" s="60" t="s">
        <v>4543</v>
      </c>
      <c r="M14" s="60" t="s">
        <v>4627</v>
      </c>
      <c r="N14" s="60" t="s">
        <v>4627</v>
      </c>
      <c r="O14" s="60" t="s">
        <v>4548</v>
      </c>
      <c r="P14" s="60" t="s">
        <v>4549</v>
      </c>
      <c r="Q14" s="60" t="s">
        <v>4626</v>
      </c>
      <c r="R14" s="60" t="s">
        <v>4628</v>
      </c>
      <c r="S14" s="60" t="s">
        <v>4629</v>
      </c>
      <c r="T14" s="60" t="s">
        <v>4630</v>
      </c>
      <c r="U14" s="60" t="s">
        <v>4552</v>
      </c>
      <c r="V14" s="60" t="s">
        <v>4374</v>
      </c>
      <c r="W14" s="60" t="s">
        <v>4377</v>
      </c>
      <c r="X14" s="60" t="s">
        <v>4631</v>
      </c>
      <c r="Y14" s="60" t="s">
        <v>4554</v>
      </c>
      <c r="Z14" s="60" t="s">
        <v>4632</v>
      </c>
      <c r="AA14" s="60" t="s">
        <v>4377</v>
      </c>
      <c r="AB14" s="60" t="s">
        <v>4377</v>
      </c>
      <c r="AC14" s="60" t="s">
        <v>4377</v>
      </c>
      <c r="AD14" s="60" t="s">
        <v>4377</v>
      </c>
      <c r="AE14" s="60" t="s">
        <v>4377</v>
      </c>
      <c r="AF14" s="60" t="s">
        <v>4377</v>
      </c>
      <c r="AG14" s="60" t="s">
        <v>4377</v>
      </c>
      <c r="AH14" s="60" t="s">
        <v>4377</v>
      </c>
      <c r="AI14" s="60" t="s">
        <v>4377</v>
      </c>
      <c r="AJ14" s="60" t="s">
        <v>4377</v>
      </c>
      <c r="AK14" s="60" t="s">
        <v>4377</v>
      </c>
      <c r="AL14" s="60" t="s">
        <v>4377</v>
      </c>
      <c r="AM14" s="60" t="s">
        <v>4377</v>
      </c>
      <c r="AN14" s="60" t="s">
        <v>4377</v>
      </c>
      <c r="AO14" s="60" t="s">
        <v>4377</v>
      </c>
      <c r="AP14" s="61">
        <v>45693.4461458333</v>
      </c>
      <c r="AQ14" s="60" t="s">
        <v>4377</v>
      </c>
      <c r="AR14" s="60" t="s">
        <v>4377</v>
      </c>
      <c r="AS14" s="60" t="s">
        <v>4570</v>
      </c>
      <c r="AT14" s="60" t="s">
        <v>4571</v>
      </c>
      <c r="AU14" s="60" t="s">
        <v>4377</v>
      </c>
      <c r="AV14" s="60" t="s">
        <v>4377</v>
      </c>
      <c r="AW14" s="61">
        <v>45660.5770023148</v>
      </c>
      <c r="AX14" s="60" t="s">
        <v>4377</v>
      </c>
      <c r="AY14" s="60" t="s">
        <v>4559</v>
      </c>
      <c r="AZ14" s="60" t="s">
        <v>4377</v>
      </c>
      <c r="BA14" s="60" t="s">
        <v>4377</v>
      </c>
      <c r="BB14" s="60" t="s">
        <v>4377</v>
      </c>
      <c r="BC14" s="60" t="s">
        <v>4633</v>
      </c>
      <c r="BD14" s="60" t="s">
        <v>4634</v>
      </c>
      <c r="BE14" s="60" t="s">
        <v>4635</v>
      </c>
      <c r="BF14" s="60" t="s">
        <v>4561</v>
      </c>
      <c r="BG14" s="60" t="s">
        <v>4377</v>
      </c>
      <c r="BH14" s="60" t="s">
        <v>4377</v>
      </c>
      <c r="BI14" s="60" t="s">
        <v>2758</v>
      </c>
      <c r="BJ14" s="60" t="s">
        <v>4377</v>
      </c>
      <c r="BK14" s="60" t="s">
        <v>4377</v>
      </c>
      <c r="BL14" s="60">
        <v>3398957</v>
      </c>
      <c r="BM14" s="60" t="s">
        <v>4636</v>
      </c>
      <c r="BN14" s="60">
        <v>1200</v>
      </c>
      <c r="BO14" s="60" t="s">
        <v>4377</v>
      </c>
      <c r="BP14" s="60" t="s">
        <v>4377</v>
      </c>
      <c r="BQ14" s="60" t="s">
        <v>4377</v>
      </c>
      <c r="BR14" s="60" t="s">
        <v>4637</v>
      </c>
      <c r="BS14" s="60" t="s">
        <v>1582</v>
      </c>
      <c r="BT14" s="60" t="s">
        <v>4377</v>
      </c>
      <c r="BU14" s="60" t="s">
        <v>4377</v>
      </c>
      <c r="BV14" s="60" t="s">
        <v>4377</v>
      </c>
      <c r="BW14" s="60" t="s">
        <v>4377</v>
      </c>
      <c r="BX14" s="60">
        <v>1200</v>
      </c>
      <c r="BY14" s="60" t="s">
        <v>4377</v>
      </c>
      <c r="BZ14" s="60" t="s">
        <v>4377</v>
      </c>
      <c r="CA14" s="60" t="s">
        <v>4545</v>
      </c>
      <c r="CB14" s="60" t="s">
        <v>4377</v>
      </c>
      <c r="CC14" s="60" t="s">
        <v>4377</v>
      </c>
      <c r="CD14" s="60" t="s">
        <v>4377</v>
      </c>
    </row>
    <row r="15" spans="1:82">
      <c r="A15" s="60">
        <v>23249</v>
      </c>
      <c r="B15" s="60" t="s">
        <v>4377</v>
      </c>
      <c r="C15" s="60" t="s">
        <v>4624</v>
      </c>
      <c r="D15" s="60" t="s">
        <v>4377</v>
      </c>
      <c r="E15" s="60" t="s">
        <v>4543</v>
      </c>
      <c r="F15" s="60" t="s">
        <v>4625</v>
      </c>
      <c r="G15" s="60" t="s">
        <v>4545</v>
      </c>
      <c r="H15" s="60" t="s">
        <v>4626</v>
      </c>
      <c r="I15" s="60">
        <v>8816.98</v>
      </c>
      <c r="J15" s="60" t="s">
        <v>1582</v>
      </c>
      <c r="K15" s="60" t="s">
        <v>4377</v>
      </c>
      <c r="L15" s="60" t="s">
        <v>4543</v>
      </c>
      <c r="M15" s="60" t="s">
        <v>4627</v>
      </c>
      <c r="N15" s="60" t="s">
        <v>4627</v>
      </c>
      <c r="O15" s="60" t="s">
        <v>4548</v>
      </c>
      <c r="P15" s="60" t="s">
        <v>4549</v>
      </c>
      <c r="Q15" s="60" t="s">
        <v>4626</v>
      </c>
      <c r="R15" s="60" t="s">
        <v>4628</v>
      </c>
      <c r="S15" s="60" t="s">
        <v>4629</v>
      </c>
      <c r="T15" s="60" t="s">
        <v>4630</v>
      </c>
      <c r="U15" s="60" t="s">
        <v>4552</v>
      </c>
      <c r="V15" s="60" t="s">
        <v>4374</v>
      </c>
      <c r="W15" s="60" t="s">
        <v>4377</v>
      </c>
      <c r="X15" s="60" t="s">
        <v>4631</v>
      </c>
      <c r="Y15" s="60" t="s">
        <v>4554</v>
      </c>
      <c r="Z15" s="60" t="s">
        <v>4632</v>
      </c>
      <c r="AA15" s="60" t="s">
        <v>4377</v>
      </c>
      <c r="AB15" s="60" t="s">
        <v>4377</v>
      </c>
      <c r="AC15" s="60" t="s">
        <v>4377</v>
      </c>
      <c r="AD15" s="60" t="s">
        <v>4377</v>
      </c>
      <c r="AE15" s="60" t="s">
        <v>4377</v>
      </c>
      <c r="AF15" s="60" t="s">
        <v>4377</v>
      </c>
      <c r="AG15" s="60" t="s">
        <v>4377</v>
      </c>
      <c r="AH15" s="60" t="s">
        <v>4377</v>
      </c>
      <c r="AI15" s="60" t="s">
        <v>4377</v>
      </c>
      <c r="AJ15" s="60" t="s">
        <v>4377</v>
      </c>
      <c r="AK15" s="60" t="s">
        <v>4377</v>
      </c>
      <c r="AL15" s="60" t="s">
        <v>4377</v>
      </c>
      <c r="AM15" s="60" t="s">
        <v>4377</v>
      </c>
      <c r="AN15" s="60" t="s">
        <v>4377</v>
      </c>
      <c r="AO15" s="60" t="s">
        <v>4377</v>
      </c>
      <c r="AP15" s="61">
        <v>45693.4461458333</v>
      </c>
      <c r="AQ15" s="60" t="s">
        <v>4377</v>
      </c>
      <c r="AR15" s="60" t="s">
        <v>4377</v>
      </c>
      <c r="AS15" s="60" t="s">
        <v>4570</v>
      </c>
      <c r="AT15" s="60" t="s">
        <v>4571</v>
      </c>
      <c r="AU15" s="60" t="s">
        <v>4377</v>
      </c>
      <c r="AV15" s="60" t="s">
        <v>4377</v>
      </c>
      <c r="AW15" s="61">
        <v>45660.5770023148</v>
      </c>
      <c r="AX15" s="60" t="s">
        <v>4377</v>
      </c>
      <c r="AY15" s="60" t="s">
        <v>4559</v>
      </c>
      <c r="AZ15" s="60" t="s">
        <v>4377</v>
      </c>
      <c r="BA15" s="60" t="s">
        <v>4377</v>
      </c>
      <c r="BB15" s="60" t="s">
        <v>4377</v>
      </c>
      <c r="BC15" s="60" t="s">
        <v>4633</v>
      </c>
      <c r="BD15" s="60" t="s">
        <v>4634</v>
      </c>
      <c r="BE15" s="60" t="s">
        <v>4635</v>
      </c>
      <c r="BF15" s="60" t="s">
        <v>4561</v>
      </c>
      <c r="BG15" s="60" t="s">
        <v>4377</v>
      </c>
      <c r="BH15" s="60" t="s">
        <v>4377</v>
      </c>
      <c r="BI15" s="60" t="s">
        <v>2758</v>
      </c>
      <c r="BJ15" s="60" t="s">
        <v>4377</v>
      </c>
      <c r="BK15" s="60" t="s">
        <v>4377</v>
      </c>
      <c r="BL15" s="60">
        <v>3398958</v>
      </c>
      <c r="BM15" s="60" t="s">
        <v>4636</v>
      </c>
      <c r="BN15" s="60">
        <v>1308</v>
      </c>
      <c r="BO15" s="60" t="s">
        <v>4377</v>
      </c>
      <c r="BP15" s="60" t="s">
        <v>4377</v>
      </c>
      <c r="BQ15" s="60" t="s">
        <v>4377</v>
      </c>
      <c r="BR15" s="60" t="s">
        <v>4637</v>
      </c>
      <c r="BS15" s="60" t="s">
        <v>1582</v>
      </c>
      <c r="BT15" s="60" t="s">
        <v>4377</v>
      </c>
      <c r="BU15" s="60" t="s">
        <v>4377</v>
      </c>
      <c r="BV15" s="60" t="s">
        <v>4377</v>
      </c>
      <c r="BW15" s="60" t="s">
        <v>4377</v>
      </c>
      <c r="BX15" s="60">
        <v>1308</v>
      </c>
      <c r="BY15" s="60" t="s">
        <v>4377</v>
      </c>
      <c r="BZ15" s="60" t="s">
        <v>4377</v>
      </c>
      <c r="CA15" s="60" t="s">
        <v>4545</v>
      </c>
      <c r="CB15" s="60" t="s">
        <v>4377</v>
      </c>
      <c r="CC15" s="60" t="s">
        <v>4377</v>
      </c>
      <c r="CD15" s="60" t="s">
        <v>4377</v>
      </c>
    </row>
    <row r="16" spans="1:82">
      <c r="A16" s="60">
        <v>23250</v>
      </c>
      <c r="B16" s="60" t="s">
        <v>4377</v>
      </c>
      <c r="C16" s="60" t="s">
        <v>4624</v>
      </c>
      <c r="D16" s="60" t="s">
        <v>4377</v>
      </c>
      <c r="E16" s="60" t="s">
        <v>4543</v>
      </c>
      <c r="F16" s="60" t="s">
        <v>4625</v>
      </c>
      <c r="G16" s="60" t="s">
        <v>4545</v>
      </c>
      <c r="H16" s="60" t="s">
        <v>4626</v>
      </c>
      <c r="I16" s="60">
        <v>8816.98</v>
      </c>
      <c r="J16" s="60" t="s">
        <v>1582</v>
      </c>
      <c r="K16" s="60" t="s">
        <v>4377</v>
      </c>
      <c r="L16" s="60" t="s">
        <v>4543</v>
      </c>
      <c r="M16" s="60" t="s">
        <v>4627</v>
      </c>
      <c r="N16" s="60" t="s">
        <v>4627</v>
      </c>
      <c r="O16" s="60" t="s">
        <v>4548</v>
      </c>
      <c r="P16" s="60" t="s">
        <v>4549</v>
      </c>
      <c r="Q16" s="60" t="s">
        <v>4626</v>
      </c>
      <c r="R16" s="60" t="s">
        <v>4628</v>
      </c>
      <c r="S16" s="60" t="s">
        <v>4629</v>
      </c>
      <c r="T16" s="60" t="s">
        <v>4630</v>
      </c>
      <c r="U16" s="60" t="s">
        <v>4552</v>
      </c>
      <c r="V16" s="60" t="s">
        <v>4374</v>
      </c>
      <c r="W16" s="60" t="s">
        <v>4377</v>
      </c>
      <c r="X16" s="60" t="s">
        <v>4631</v>
      </c>
      <c r="Y16" s="60" t="s">
        <v>4554</v>
      </c>
      <c r="Z16" s="60" t="s">
        <v>4632</v>
      </c>
      <c r="AA16" s="60" t="s">
        <v>4377</v>
      </c>
      <c r="AB16" s="60" t="s">
        <v>4377</v>
      </c>
      <c r="AC16" s="60" t="s">
        <v>4377</v>
      </c>
      <c r="AD16" s="60" t="s">
        <v>4377</v>
      </c>
      <c r="AE16" s="60" t="s">
        <v>4377</v>
      </c>
      <c r="AF16" s="60" t="s">
        <v>4377</v>
      </c>
      <c r="AG16" s="60" t="s">
        <v>4377</v>
      </c>
      <c r="AH16" s="60" t="s">
        <v>4377</v>
      </c>
      <c r="AI16" s="60" t="s">
        <v>4377</v>
      </c>
      <c r="AJ16" s="60" t="s">
        <v>4377</v>
      </c>
      <c r="AK16" s="60" t="s">
        <v>4377</v>
      </c>
      <c r="AL16" s="60" t="s">
        <v>4377</v>
      </c>
      <c r="AM16" s="60" t="s">
        <v>4377</v>
      </c>
      <c r="AN16" s="60" t="s">
        <v>4377</v>
      </c>
      <c r="AO16" s="60" t="s">
        <v>4377</v>
      </c>
      <c r="AP16" s="61">
        <v>45693.4461458333</v>
      </c>
      <c r="AQ16" s="60" t="s">
        <v>4377</v>
      </c>
      <c r="AR16" s="60" t="s">
        <v>4377</v>
      </c>
      <c r="AS16" s="60" t="s">
        <v>4570</v>
      </c>
      <c r="AT16" s="60" t="s">
        <v>4571</v>
      </c>
      <c r="AU16" s="60" t="s">
        <v>4377</v>
      </c>
      <c r="AV16" s="60" t="s">
        <v>4377</v>
      </c>
      <c r="AW16" s="61">
        <v>45660.5770023148</v>
      </c>
      <c r="AX16" s="60" t="s">
        <v>4377</v>
      </c>
      <c r="AY16" s="60" t="s">
        <v>4559</v>
      </c>
      <c r="AZ16" s="60" t="s">
        <v>4377</v>
      </c>
      <c r="BA16" s="60" t="s">
        <v>4377</v>
      </c>
      <c r="BB16" s="60" t="s">
        <v>4377</v>
      </c>
      <c r="BC16" s="60" t="s">
        <v>4633</v>
      </c>
      <c r="BD16" s="60" t="s">
        <v>4634</v>
      </c>
      <c r="BE16" s="60" t="s">
        <v>4635</v>
      </c>
      <c r="BF16" s="60" t="s">
        <v>4561</v>
      </c>
      <c r="BG16" s="60" t="s">
        <v>4377</v>
      </c>
      <c r="BH16" s="60" t="s">
        <v>4377</v>
      </c>
      <c r="BI16" s="60" t="s">
        <v>2758</v>
      </c>
      <c r="BJ16" s="60" t="s">
        <v>4377</v>
      </c>
      <c r="BK16" s="60" t="s">
        <v>4377</v>
      </c>
      <c r="BL16" s="60">
        <v>3398959</v>
      </c>
      <c r="BM16" s="60" t="s">
        <v>4636</v>
      </c>
      <c r="BN16" s="60">
        <v>1200</v>
      </c>
      <c r="BO16" s="60" t="s">
        <v>4377</v>
      </c>
      <c r="BP16" s="60" t="s">
        <v>4377</v>
      </c>
      <c r="BQ16" s="60" t="s">
        <v>4377</v>
      </c>
      <c r="BR16" s="60" t="s">
        <v>4637</v>
      </c>
      <c r="BS16" s="60" t="s">
        <v>1582</v>
      </c>
      <c r="BT16" s="60" t="s">
        <v>4377</v>
      </c>
      <c r="BU16" s="60" t="s">
        <v>4377</v>
      </c>
      <c r="BV16" s="60" t="s">
        <v>4377</v>
      </c>
      <c r="BW16" s="60" t="s">
        <v>4377</v>
      </c>
      <c r="BX16" s="60">
        <v>1200</v>
      </c>
      <c r="BY16" s="60" t="s">
        <v>4377</v>
      </c>
      <c r="BZ16" s="60" t="s">
        <v>4377</v>
      </c>
      <c r="CA16" s="60" t="s">
        <v>4545</v>
      </c>
      <c r="CB16" s="60" t="s">
        <v>4377</v>
      </c>
      <c r="CC16" s="60" t="s">
        <v>4377</v>
      </c>
      <c r="CD16" s="60" t="s">
        <v>4377</v>
      </c>
    </row>
    <row r="17" spans="1:82">
      <c r="A17" s="60">
        <v>23251</v>
      </c>
      <c r="B17" s="60" t="s">
        <v>4377</v>
      </c>
      <c r="C17" s="60" t="s">
        <v>4624</v>
      </c>
      <c r="D17" s="60" t="s">
        <v>4377</v>
      </c>
      <c r="E17" s="60" t="s">
        <v>4543</v>
      </c>
      <c r="F17" s="60" t="s">
        <v>4625</v>
      </c>
      <c r="G17" s="60" t="s">
        <v>4545</v>
      </c>
      <c r="H17" s="60" t="s">
        <v>4626</v>
      </c>
      <c r="I17" s="60">
        <v>8816.98</v>
      </c>
      <c r="J17" s="60" t="s">
        <v>1582</v>
      </c>
      <c r="K17" s="60" t="s">
        <v>4377</v>
      </c>
      <c r="L17" s="60" t="s">
        <v>4543</v>
      </c>
      <c r="M17" s="60" t="s">
        <v>4627</v>
      </c>
      <c r="N17" s="60" t="s">
        <v>4627</v>
      </c>
      <c r="O17" s="60" t="s">
        <v>4548</v>
      </c>
      <c r="P17" s="60" t="s">
        <v>4549</v>
      </c>
      <c r="Q17" s="60" t="s">
        <v>4626</v>
      </c>
      <c r="R17" s="60" t="s">
        <v>4628</v>
      </c>
      <c r="S17" s="60" t="s">
        <v>4629</v>
      </c>
      <c r="T17" s="60" t="s">
        <v>4630</v>
      </c>
      <c r="U17" s="60" t="s">
        <v>4552</v>
      </c>
      <c r="V17" s="60" t="s">
        <v>4374</v>
      </c>
      <c r="W17" s="60" t="s">
        <v>4377</v>
      </c>
      <c r="X17" s="60" t="s">
        <v>4631</v>
      </c>
      <c r="Y17" s="60" t="s">
        <v>4554</v>
      </c>
      <c r="Z17" s="60" t="s">
        <v>4632</v>
      </c>
      <c r="AA17" s="60" t="s">
        <v>4377</v>
      </c>
      <c r="AB17" s="60" t="s">
        <v>4377</v>
      </c>
      <c r="AC17" s="60" t="s">
        <v>4377</v>
      </c>
      <c r="AD17" s="60" t="s">
        <v>4377</v>
      </c>
      <c r="AE17" s="60" t="s">
        <v>4377</v>
      </c>
      <c r="AF17" s="60" t="s">
        <v>4377</v>
      </c>
      <c r="AG17" s="60" t="s">
        <v>4377</v>
      </c>
      <c r="AH17" s="60" t="s">
        <v>4377</v>
      </c>
      <c r="AI17" s="60" t="s">
        <v>4377</v>
      </c>
      <c r="AJ17" s="60" t="s">
        <v>4377</v>
      </c>
      <c r="AK17" s="60" t="s">
        <v>4377</v>
      </c>
      <c r="AL17" s="60" t="s">
        <v>4377</v>
      </c>
      <c r="AM17" s="60" t="s">
        <v>4377</v>
      </c>
      <c r="AN17" s="60" t="s">
        <v>4377</v>
      </c>
      <c r="AO17" s="60" t="s">
        <v>4377</v>
      </c>
      <c r="AP17" s="61">
        <v>45693.4461458333</v>
      </c>
      <c r="AQ17" s="60" t="s">
        <v>4377</v>
      </c>
      <c r="AR17" s="60" t="s">
        <v>4377</v>
      </c>
      <c r="AS17" s="60" t="s">
        <v>4570</v>
      </c>
      <c r="AT17" s="60" t="s">
        <v>4571</v>
      </c>
      <c r="AU17" s="60" t="s">
        <v>4377</v>
      </c>
      <c r="AV17" s="60" t="s">
        <v>4377</v>
      </c>
      <c r="AW17" s="61">
        <v>45660.5770023148</v>
      </c>
      <c r="AX17" s="60" t="s">
        <v>4377</v>
      </c>
      <c r="AY17" s="60" t="s">
        <v>4559</v>
      </c>
      <c r="AZ17" s="60" t="s">
        <v>4377</v>
      </c>
      <c r="BA17" s="60" t="s">
        <v>4377</v>
      </c>
      <c r="BB17" s="60" t="s">
        <v>4377</v>
      </c>
      <c r="BC17" s="60" t="s">
        <v>4638</v>
      </c>
      <c r="BD17" s="60" t="s">
        <v>4634</v>
      </c>
      <c r="BE17" s="60" t="s">
        <v>4635</v>
      </c>
      <c r="BF17" s="60" t="s">
        <v>4561</v>
      </c>
      <c r="BG17" s="60" t="s">
        <v>4377</v>
      </c>
      <c r="BH17" s="60" t="s">
        <v>4377</v>
      </c>
      <c r="BI17" s="60" t="s">
        <v>2758</v>
      </c>
      <c r="BJ17" s="60" t="s">
        <v>4377</v>
      </c>
      <c r="BK17" s="60" t="s">
        <v>4377</v>
      </c>
      <c r="BL17" s="60">
        <v>3398960</v>
      </c>
      <c r="BM17" s="60" t="s">
        <v>4636</v>
      </c>
      <c r="BN17" s="60">
        <v>252.8</v>
      </c>
      <c r="BO17" s="60" t="s">
        <v>4377</v>
      </c>
      <c r="BP17" s="60" t="s">
        <v>4377</v>
      </c>
      <c r="BQ17" s="60" t="s">
        <v>4377</v>
      </c>
      <c r="BR17" s="60" t="s">
        <v>4637</v>
      </c>
      <c r="BS17" s="60" t="s">
        <v>1582</v>
      </c>
      <c r="BT17" s="60" t="s">
        <v>4377</v>
      </c>
      <c r="BU17" s="60" t="s">
        <v>4377</v>
      </c>
      <c r="BV17" s="60" t="s">
        <v>4377</v>
      </c>
      <c r="BW17" s="60" t="s">
        <v>4377</v>
      </c>
      <c r="BX17" s="60">
        <v>252.8</v>
      </c>
      <c r="BY17" s="60" t="s">
        <v>4377</v>
      </c>
      <c r="BZ17" s="60" t="s">
        <v>4377</v>
      </c>
      <c r="CA17" s="60" t="s">
        <v>4545</v>
      </c>
      <c r="CB17" s="60" t="s">
        <v>4377</v>
      </c>
      <c r="CC17" s="60" t="s">
        <v>4377</v>
      </c>
      <c r="CD17" s="60" t="s">
        <v>4377</v>
      </c>
    </row>
    <row r="18" spans="1:82">
      <c r="A18" s="60">
        <v>23252</v>
      </c>
      <c r="B18" s="60" t="s">
        <v>4377</v>
      </c>
      <c r="C18" s="60" t="s">
        <v>4624</v>
      </c>
      <c r="D18" s="60" t="s">
        <v>4377</v>
      </c>
      <c r="E18" s="60" t="s">
        <v>4543</v>
      </c>
      <c r="F18" s="60" t="s">
        <v>4625</v>
      </c>
      <c r="G18" s="60" t="s">
        <v>4545</v>
      </c>
      <c r="H18" s="60" t="s">
        <v>4626</v>
      </c>
      <c r="I18" s="60">
        <v>8816.98</v>
      </c>
      <c r="J18" s="60" t="s">
        <v>1582</v>
      </c>
      <c r="K18" s="60" t="s">
        <v>4377</v>
      </c>
      <c r="L18" s="60" t="s">
        <v>4543</v>
      </c>
      <c r="M18" s="60" t="s">
        <v>4627</v>
      </c>
      <c r="N18" s="60" t="s">
        <v>4627</v>
      </c>
      <c r="O18" s="60" t="s">
        <v>4548</v>
      </c>
      <c r="P18" s="60" t="s">
        <v>4549</v>
      </c>
      <c r="Q18" s="60" t="s">
        <v>4626</v>
      </c>
      <c r="R18" s="60" t="s">
        <v>4628</v>
      </c>
      <c r="S18" s="60" t="s">
        <v>4629</v>
      </c>
      <c r="T18" s="60" t="s">
        <v>4630</v>
      </c>
      <c r="U18" s="60" t="s">
        <v>4552</v>
      </c>
      <c r="V18" s="60" t="s">
        <v>4374</v>
      </c>
      <c r="W18" s="60" t="s">
        <v>4377</v>
      </c>
      <c r="X18" s="60" t="s">
        <v>4631</v>
      </c>
      <c r="Y18" s="60" t="s">
        <v>4554</v>
      </c>
      <c r="Z18" s="60" t="s">
        <v>4632</v>
      </c>
      <c r="AA18" s="60" t="s">
        <v>4377</v>
      </c>
      <c r="AB18" s="60" t="s">
        <v>4377</v>
      </c>
      <c r="AC18" s="60" t="s">
        <v>4377</v>
      </c>
      <c r="AD18" s="60" t="s">
        <v>4377</v>
      </c>
      <c r="AE18" s="60" t="s">
        <v>4377</v>
      </c>
      <c r="AF18" s="60" t="s">
        <v>4377</v>
      </c>
      <c r="AG18" s="60" t="s">
        <v>4377</v>
      </c>
      <c r="AH18" s="60" t="s">
        <v>4377</v>
      </c>
      <c r="AI18" s="60" t="s">
        <v>4377</v>
      </c>
      <c r="AJ18" s="60" t="s">
        <v>4377</v>
      </c>
      <c r="AK18" s="60" t="s">
        <v>4377</v>
      </c>
      <c r="AL18" s="60" t="s">
        <v>4377</v>
      </c>
      <c r="AM18" s="60" t="s">
        <v>4377</v>
      </c>
      <c r="AN18" s="60" t="s">
        <v>4377</v>
      </c>
      <c r="AO18" s="60" t="s">
        <v>4377</v>
      </c>
      <c r="AP18" s="61">
        <v>45693.4461458333</v>
      </c>
      <c r="AQ18" s="60" t="s">
        <v>4377</v>
      </c>
      <c r="AR18" s="60" t="s">
        <v>4377</v>
      </c>
      <c r="AS18" s="60" t="s">
        <v>4570</v>
      </c>
      <c r="AT18" s="60" t="s">
        <v>4571</v>
      </c>
      <c r="AU18" s="60" t="s">
        <v>4377</v>
      </c>
      <c r="AV18" s="60" t="s">
        <v>4377</v>
      </c>
      <c r="AW18" s="61">
        <v>45660.5770023148</v>
      </c>
      <c r="AX18" s="60" t="s">
        <v>4377</v>
      </c>
      <c r="AY18" s="60" t="s">
        <v>4559</v>
      </c>
      <c r="AZ18" s="60" t="s">
        <v>4377</v>
      </c>
      <c r="BA18" s="60" t="s">
        <v>4377</v>
      </c>
      <c r="BB18" s="60" t="s">
        <v>4377</v>
      </c>
      <c r="BC18" s="60" t="s">
        <v>4633</v>
      </c>
      <c r="BD18" s="60" t="s">
        <v>4634</v>
      </c>
      <c r="BE18" s="60" t="s">
        <v>4635</v>
      </c>
      <c r="BF18" s="60" t="s">
        <v>4561</v>
      </c>
      <c r="BG18" s="60" t="s">
        <v>4377</v>
      </c>
      <c r="BH18" s="60" t="s">
        <v>4377</v>
      </c>
      <c r="BI18" s="60" t="s">
        <v>2758</v>
      </c>
      <c r="BJ18" s="60" t="s">
        <v>4377</v>
      </c>
      <c r="BK18" s="60" t="s">
        <v>4377</v>
      </c>
      <c r="BL18" s="60">
        <v>3398961</v>
      </c>
      <c r="BM18" s="60" t="s">
        <v>4636</v>
      </c>
      <c r="BN18" s="60">
        <v>588</v>
      </c>
      <c r="BO18" s="60" t="s">
        <v>4377</v>
      </c>
      <c r="BP18" s="60" t="s">
        <v>4377</v>
      </c>
      <c r="BQ18" s="60" t="s">
        <v>4377</v>
      </c>
      <c r="BR18" s="60" t="s">
        <v>4637</v>
      </c>
      <c r="BS18" s="60" t="s">
        <v>1582</v>
      </c>
      <c r="BT18" s="60" t="s">
        <v>4377</v>
      </c>
      <c r="BU18" s="60" t="s">
        <v>4377</v>
      </c>
      <c r="BV18" s="60" t="s">
        <v>4377</v>
      </c>
      <c r="BW18" s="60" t="s">
        <v>4377</v>
      </c>
      <c r="BX18" s="60">
        <v>588</v>
      </c>
      <c r="BY18" s="60" t="s">
        <v>4377</v>
      </c>
      <c r="BZ18" s="60" t="s">
        <v>4377</v>
      </c>
      <c r="CA18" s="60" t="s">
        <v>4545</v>
      </c>
      <c r="CB18" s="60" t="s">
        <v>4377</v>
      </c>
      <c r="CC18" s="60" t="s">
        <v>4377</v>
      </c>
      <c r="CD18" s="60" t="s">
        <v>4377</v>
      </c>
    </row>
    <row r="19" spans="1:82">
      <c r="A19" s="60">
        <v>23253</v>
      </c>
      <c r="B19" s="60" t="s">
        <v>4377</v>
      </c>
      <c r="C19" s="60" t="s">
        <v>4624</v>
      </c>
      <c r="D19" s="60" t="s">
        <v>4377</v>
      </c>
      <c r="E19" s="60" t="s">
        <v>4543</v>
      </c>
      <c r="F19" s="60" t="s">
        <v>4625</v>
      </c>
      <c r="G19" s="60" t="s">
        <v>4545</v>
      </c>
      <c r="H19" s="60" t="s">
        <v>4626</v>
      </c>
      <c r="I19" s="60">
        <v>8816.98</v>
      </c>
      <c r="J19" s="60" t="s">
        <v>1582</v>
      </c>
      <c r="K19" s="60" t="s">
        <v>4377</v>
      </c>
      <c r="L19" s="60" t="s">
        <v>4543</v>
      </c>
      <c r="M19" s="60" t="s">
        <v>4627</v>
      </c>
      <c r="N19" s="60" t="s">
        <v>4627</v>
      </c>
      <c r="O19" s="60" t="s">
        <v>4548</v>
      </c>
      <c r="P19" s="60" t="s">
        <v>4549</v>
      </c>
      <c r="Q19" s="60" t="s">
        <v>4626</v>
      </c>
      <c r="R19" s="60" t="s">
        <v>4628</v>
      </c>
      <c r="S19" s="60" t="s">
        <v>4629</v>
      </c>
      <c r="T19" s="60" t="s">
        <v>4630</v>
      </c>
      <c r="U19" s="60" t="s">
        <v>4552</v>
      </c>
      <c r="V19" s="60" t="s">
        <v>4374</v>
      </c>
      <c r="W19" s="60" t="s">
        <v>4377</v>
      </c>
      <c r="X19" s="60" t="s">
        <v>4631</v>
      </c>
      <c r="Y19" s="60" t="s">
        <v>4554</v>
      </c>
      <c r="Z19" s="60" t="s">
        <v>4632</v>
      </c>
      <c r="AA19" s="60" t="s">
        <v>4377</v>
      </c>
      <c r="AB19" s="60" t="s">
        <v>4377</v>
      </c>
      <c r="AC19" s="60" t="s">
        <v>4377</v>
      </c>
      <c r="AD19" s="60" t="s">
        <v>4377</v>
      </c>
      <c r="AE19" s="60" t="s">
        <v>4377</v>
      </c>
      <c r="AF19" s="60" t="s">
        <v>4377</v>
      </c>
      <c r="AG19" s="60" t="s">
        <v>4377</v>
      </c>
      <c r="AH19" s="60" t="s">
        <v>4377</v>
      </c>
      <c r="AI19" s="60" t="s">
        <v>4377</v>
      </c>
      <c r="AJ19" s="60" t="s">
        <v>4377</v>
      </c>
      <c r="AK19" s="60" t="s">
        <v>4377</v>
      </c>
      <c r="AL19" s="60" t="s">
        <v>4377</v>
      </c>
      <c r="AM19" s="60" t="s">
        <v>4377</v>
      </c>
      <c r="AN19" s="60" t="s">
        <v>4377</v>
      </c>
      <c r="AO19" s="60" t="s">
        <v>4377</v>
      </c>
      <c r="AP19" s="61">
        <v>45693.4461458333</v>
      </c>
      <c r="AQ19" s="60" t="s">
        <v>4377</v>
      </c>
      <c r="AR19" s="60" t="s">
        <v>4377</v>
      </c>
      <c r="AS19" s="60" t="s">
        <v>4570</v>
      </c>
      <c r="AT19" s="60" t="s">
        <v>4571</v>
      </c>
      <c r="AU19" s="60" t="s">
        <v>4377</v>
      </c>
      <c r="AV19" s="60" t="s">
        <v>4377</v>
      </c>
      <c r="AW19" s="61">
        <v>45660.5770023148</v>
      </c>
      <c r="AX19" s="60" t="s">
        <v>4377</v>
      </c>
      <c r="AY19" s="60" t="s">
        <v>4559</v>
      </c>
      <c r="AZ19" s="60" t="s">
        <v>4377</v>
      </c>
      <c r="BA19" s="60" t="s">
        <v>4377</v>
      </c>
      <c r="BB19" s="60" t="s">
        <v>4377</v>
      </c>
      <c r="BC19" s="60" t="s">
        <v>4633</v>
      </c>
      <c r="BD19" s="60" t="s">
        <v>4634</v>
      </c>
      <c r="BE19" s="60" t="s">
        <v>4635</v>
      </c>
      <c r="BF19" s="60" t="s">
        <v>4561</v>
      </c>
      <c r="BG19" s="60" t="s">
        <v>4377</v>
      </c>
      <c r="BH19" s="60" t="s">
        <v>4377</v>
      </c>
      <c r="BI19" s="60" t="s">
        <v>2758</v>
      </c>
      <c r="BJ19" s="60" t="s">
        <v>4377</v>
      </c>
      <c r="BK19" s="60" t="s">
        <v>4377</v>
      </c>
      <c r="BL19" s="60">
        <v>3398962</v>
      </c>
      <c r="BM19" s="60" t="s">
        <v>4636</v>
      </c>
      <c r="BN19" s="60">
        <v>326.84</v>
      </c>
      <c r="BO19" s="60" t="s">
        <v>4377</v>
      </c>
      <c r="BP19" s="60" t="s">
        <v>4377</v>
      </c>
      <c r="BQ19" s="60" t="s">
        <v>4377</v>
      </c>
      <c r="BR19" s="60" t="s">
        <v>4637</v>
      </c>
      <c r="BS19" s="60" t="s">
        <v>1582</v>
      </c>
      <c r="BT19" s="60" t="s">
        <v>4377</v>
      </c>
      <c r="BU19" s="60" t="s">
        <v>4377</v>
      </c>
      <c r="BV19" s="60" t="s">
        <v>4377</v>
      </c>
      <c r="BW19" s="60" t="s">
        <v>4377</v>
      </c>
      <c r="BX19" s="60">
        <v>326.84</v>
      </c>
      <c r="BY19" s="60" t="s">
        <v>4377</v>
      </c>
      <c r="BZ19" s="60" t="s">
        <v>4377</v>
      </c>
      <c r="CA19" s="60" t="s">
        <v>4545</v>
      </c>
      <c r="CB19" s="60" t="s">
        <v>4377</v>
      </c>
      <c r="CC19" s="60" t="s">
        <v>4377</v>
      </c>
      <c r="CD19" s="60" t="s">
        <v>4377</v>
      </c>
    </row>
    <row r="20" spans="1:82">
      <c r="A20" s="60">
        <v>23254</v>
      </c>
      <c r="B20" s="60" t="s">
        <v>4377</v>
      </c>
      <c r="C20" s="60" t="s">
        <v>4624</v>
      </c>
      <c r="D20" s="60" t="s">
        <v>4377</v>
      </c>
      <c r="E20" s="60" t="s">
        <v>4543</v>
      </c>
      <c r="F20" s="60" t="s">
        <v>4625</v>
      </c>
      <c r="G20" s="60" t="s">
        <v>4545</v>
      </c>
      <c r="H20" s="60" t="s">
        <v>4626</v>
      </c>
      <c r="I20" s="60">
        <v>8816.98</v>
      </c>
      <c r="J20" s="60" t="s">
        <v>1582</v>
      </c>
      <c r="K20" s="60" t="s">
        <v>4377</v>
      </c>
      <c r="L20" s="60" t="s">
        <v>4543</v>
      </c>
      <c r="M20" s="60" t="s">
        <v>4627</v>
      </c>
      <c r="N20" s="60" t="s">
        <v>4627</v>
      </c>
      <c r="O20" s="60" t="s">
        <v>4548</v>
      </c>
      <c r="P20" s="60" t="s">
        <v>4549</v>
      </c>
      <c r="Q20" s="60" t="s">
        <v>4626</v>
      </c>
      <c r="R20" s="60" t="s">
        <v>4628</v>
      </c>
      <c r="S20" s="60" t="s">
        <v>4629</v>
      </c>
      <c r="T20" s="60" t="s">
        <v>4630</v>
      </c>
      <c r="U20" s="60" t="s">
        <v>4552</v>
      </c>
      <c r="V20" s="60" t="s">
        <v>4374</v>
      </c>
      <c r="W20" s="60" t="s">
        <v>4377</v>
      </c>
      <c r="X20" s="60" t="s">
        <v>4631</v>
      </c>
      <c r="Y20" s="60" t="s">
        <v>4554</v>
      </c>
      <c r="Z20" s="60" t="s">
        <v>4632</v>
      </c>
      <c r="AA20" s="60" t="s">
        <v>4377</v>
      </c>
      <c r="AB20" s="60" t="s">
        <v>4377</v>
      </c>
      <c r="AC20" s="60" t="s">
        <v>4377</v>
      </c>
      <c r="AD20" s="60" t="s">
        <v>4377</v>
      </c>
      <c r="AE20" s="60" t="s">
        <v>4377</v>
      </c>
      <c r="AF20" s="60" t="s">
        <v>4377</v>
      </c>
      <c r="AG20" s="60" t="s">
        <v>4377</v>
      </c>
      <c r="AH20" s="60" t="s">
        <v>4377</v>
      </c>
      <c r="AI20" s="60" t="s">
        <v>4377</v>
      </c>
      <c r="AJ20" s="60" t="s">
        <v>4377</v>
      </c>
      <c r="AK20" s="60" t="s">
        <v>4377</v>
      </c>
      <c r="AL20" s="60" t="s">
        <v>4377</v>
      </c>
      <c r="AM20" s="60" t="s">
        <v>4377</v>
      </c>
      <c r="AN20" s="60" t="s">
        <v>4377</v>
      </c>
      <c r="AO20" s="60" t="s">
        <v>4377</v>
      </c>
      <c r="AP20" s="61">
        <v>45693.4461458333</v>
      </c>
      <c r="AQ20" s="60" t="s">
        <v>4377</v>
      </c>
      <c r="AR20" s="60" t="s">
        <v>4377</v>
      </c>
      <c r="AS20" s="60" t="s">
        <v>4570</v>
      </c>
      <c r="AT20" s="60" t="s">
        <v>4571</v>
      </c>
      <c r="AU20" s="60" t="s">
        <v>4377</v>
      </c>
      <c r="AV20" s="60" t="s">
        <v>4377</v>
      </c>
      <c r="AW20" s="61">
        <v>45660.5770023148</v>
      </c>
      <c r="AX20" s="60" t="s">
        <v>4377</v>
      </c>
      <c r="AY20" s="60" t="s">
        <v>4559</v>
      </c>
      <c r="AZ20" s="60" t="s">
        <v>4377</v>
      </c>
      <c r="BA20" s="60" t="s">
        <v>4377</v>
      </c>
      <c r="BB20" s="60" t="s">
        <v>4377</v>
      </c>
      <c r="BC20" s="60" t="s">
        <v>4633</v>
      </c>
      <c r="BD20" s="60" t="s">
        <v>4634</v>
      </c>
      <c r="BE20" s="60" t="s">
        <v>4635</v>
      </c>
      <c r="BF20" s="60" t="s">
        <v>4561</v>
      </c>
      <c r="BG20" s="60" t="s">
        <v>4377</v>
      </c>
      <c r="BH20" s="60" t="s">
        <v>4377</v>
      </c>
      <c r="BI20" s="60" t="s">
        <v>2758</v>
      </c>
      <c r="BJ20" s="60" t="s">
        <v>4377</v>
      </c>
      <c r="BK20" s="60" t="s">
        <v>4377</v>
      </c>
      <c r="BL20" s="60">
        <v>3398963</v>
      </c>
      <c r="BM20" s="60" t="s">
        <v>4636</v>
      </c>
      <c r="BN20" s="60">
        <v>141.8</v>
      </c>
      <c r="BO20" s="60" t="s">
        <v>4377</v>
      </c>
      <c r="BP20" s="60" t="s">
        <v>4377</v>
      </c>
      <c r="BQ20" s="60" t="s">
        <v>4377</v>
      </c>
      <c r="BR20" s="60" t="s">
        <v>4637</v>
      </c>
      <c r="BS20" s="60" t="s">
        <v>1582</v>
      </c>
      <c r="BT20" s="60" t="s">
        <v>4377</v>
      </c>
      <c r="BU20" s="60" t="s">
        <v>4377</v>
      </c>
      <c r="BV20" s="60" t="s">
        <v>4377</v>
      </c>
      <c r="BW20" s="60" t="s">
        <v>4377</v>
      </c>
      <c r="BX20" s="60">
        <v>141.8</v>
      </c>
      <c r="BY20" s="60" t="s">
        <v>4377</v>
      </c>
      <c r="BZ20" s="60" t="s">
        <v>4377</v>
      </c>
      <c r="CA20" s="60" t="s">
        <v>4545</v>
      </c>
      <c r="CB20" s="60" t="s">
        <v>4377</v>
      </c>
      <c r="CC20" s="60" t="s">
        <v>4377</v>
      </c>
      <c r="CD20" s="60" t="s">
        <v>4377</v>
      </c>
    </row>
    <row r="21" spans="1:82">
      <c r="A21" s="60">
        <v>23255</v>
      </c>
      <c r="B21" s="60" t="s">
        <v>4377</v>
      </c>
      <c r="C21" s="60" t="s">
        <v>4624</v>
      </c>
      <c r="D21" s="60" t="s">
        <v>4377</v>
      </c>
      <c r="E21" s="60" t="s">
        <v>4543</v>
      </c>
      <c r="F21" s="60" t="s">
        <v>4625</v>
      </c>
      <c r="G21" s="60" t="s">
        <v>4545</v>
      </c>
      <c r="H21" s="60" t="s">
        <v>4626</v>
      </c>
      <c r="I21" s="60">
        <v>8816.98</v>
      </c>
      <c r="J21" s="60" t="s">
        <v>1582</v>
      </c>
      <c r="K21" s="60" t="s">
        <v>4377</v>
      </c>
      <c r="L21" s="60" t="s">
        <v>4543</v>
      </c>
      <c r="M21" s="60" t="s">
        <v>4627</v>
      </c>
      <c r="N21" s="60" t="s">
        <v>4627</v>
      </c>
      <c r="O21" s="60" t="s">
        <v>4548</v>
      </c>
      <c r="P21" s="60" t="s">
        <v>4549</v>
      </c>
      <c r="Q21" s="60" t="s">
        <v>4626</v>
      </c>
      <c r="R21" s="60" t="s">
        <v>4628</v>
      </c>
      <c r="S21" s="60" t="s">
        <v>4629</v>
      </c>
      <c r="T21" s="60" t="s">
        <v>4630</v>
      </c>
      <c r="U21" s="60" t="s">
        <v>4552</v>
      </c>
      <c r="V21" s="60" t="s">
        <v>4374</v>
      </c>
      <c r="W21" s="60" t="s">
        <v>4377</v>
      </c>
      <c r="X21" s="60" t="s">
        <v>4631</v>
      </c>
      <c r="Y21" s="60" t="s">
        <v>4554</v>
      </c>
      <c r="Z21" s="60" t="s">
        <v>4632</v>
      </c>
      <c r="AA21" s="60" t="s">
        <v>4377</v>
      </c>
      <c r="AB21" s="60" t="s">
        <v>4377</v>
      </c>
      <c r="AC21" s="60" t="s">
        <v>4377</v>
      </c>
      <c r="AD21" s="60" t="s">
        <v>4377</v>
      </c>
      <c r="AE21" s="60" t="s">
        <v>4377</v>
      </c>
      <c r="AF21" s="60" t="s">
        <v>4377</v>
      </c>
      <c r="AG21" s="60" t="s">
        <v>4377</v>
      </c>
      <c r="AH21" s="60" t="s">
        <v>4377</v>
      </c>
      <c r="AI21" s="60" t="s">
        <v>4377</v>
      </c>
      <c r="AJ21" s="60" t="s">
        <v>4377</v>
      </c>
      <c r="AK21" s="60" t="s">
        <v>4377</v>
      </c>
      <c r="AL21" s="60" t="s">
        <v>4377</v>
      </c>
      <c r="AM21" s="60" t="s">
        <v>4377</v>
      </c>
      <c r="AN21" s="60" t="s">
        <v>4377</v>
      </c>
      <c r="AO21" s="60" t="s">
        <v>4377</v>
      </c>
      <c r="AP21" s="61">
        <v>45693.4461458333</v>
      </c>
      <c r="AQ21" s="60" t="s">
        <v>4377</v>
      </c>
      <c r="AR21" s="60" t="s">
        <v>4377</v>
      </c>
      <c r="AS21" s="60" t="s">
        <v>4570</v>
      </c>
      <c r="AT21" s="60" t="s">
        <v>4571</v>
      </c>
      <c r="AU21" s="60" t="s">
        <v>4377</v>
      </c>
      <c r="AV21" s="60" t="s">
        <v>4377</v>
      </c>
      <c r="AW21" s="61">
        <v>45660.5770023148</v>
      </c>
      <c r="AX21" s="60" t="s">
        <v>4377</v>
      </c>
      <c r="AY21" s="60" t="s">
        <v>4559</v>
      </c>
      <c r="AZ21" s="60" t="s">
        <v>4377</v>
      </c>
      <c r="BA21" s="60" t="s">
        <v>4377</v>
      </c>
      <c r="BB21" s="60" t="s">
        <v>4377</v>
      </c>
      <c r="BC21" s="60" t="s">
        <v>4633</v>
      </c>
      <c r="BD21" s="60" t="s">
        <v>4634</v>
      </c>
      <c r="BE21" s="60" t="s">
        <v>4635</v>
      </c>
      <c r="BF21" s="60" t="s">
        <v>4561</v>
      </c>
      <c r="BG21" s="60" t="s">
        <v>4377</v>
      </c>
      <c r="BH21" s="60" t="s">
        <v>4377</v>
      </c>
      <c r="BI21" s="60" t="s">
        <v>2758</v>
      </c>
      <c r="BJ21" s="60" t="s">
        <v>4377</v>
      </c>
      <c r="BK21" s="60" t="s">
        <v>4377</v>
      </c>
      <c r="BL21" s="60">
        <v>3398964</v>
      </c>
      <c r="BM21" s="60" t="s">
        <v>4636</v>
      </c>
      <c r="BN21" s="60">
        <v>339.3</v>
      </c>
      <c r="BO21" s="60" t="s">
        <v>4377</v>
      </c>
      <c r="BP21" s="60" t="s">
        <v>4377</v>
      </c>
      <c r="BQ21" s="60" t="s">
        <v>4377</v>
      </c>
      <c r="BR21" s="60" t="s">
        <v>4637</v>
      </c>
      <c r="BS21" s="60" t="s">
        <v>1582</v>
      </c>
      <c r="BT21" s="60" t="s">
        <v>4377</v>
      </c>
      <c r="BU21" s="60" t="s">
        <v>4377</v>
      </c>
      <c r="BV21" s="60" t="s">
        <v>4377</v>
      </c>
      <c r="BW21" s="60" t="s">
        <v>4377</v>
      </c>
      <c r="BX21" s="60">
        <v>339.3</v>
      </c>
      <c r="BY21" s="60" t="s">
        <v>4377</v>
      </c>
      <c r="BZ21" s="60" t="s">
        <v>4377</v>
      </c>
      <c r="CA21" s="60" t="s">
        <v>4545</v>
      </c>
      <c r="CB21" s="60" t="s">
        <v>4377</v>
      </c>
      <c r="CC21" s="60" t="s">
        <v>4377</v>
      </c>
      <c r="CD21" s="60" t="s">
        <v>4377</v>
      </c>
    </row>
    <row r="22" spans="1:82">
      <c r="A22" s="60">
        <v>23256</v>
      </c>
      <c r="B22" s="60" t="s">
        <v>4377</v>
      </c>
      <c r="C22" s="60" t="s">
        <v>4624</v>
      </c>
      <c r="D22" s="60" t="s">
        <v>4377</v>
      </c>
      <c r="E22" s="60" t="s">
        <v>4543</v>
      </c>
      <c r="F22" s="60" t="s">
        <v>4625</v>
      </c>
      <c r="G22" s="60" t="s">
        <v>4545</v>
      </c>
      <c r="H22" s="60" t="s">
        <v>4626</v>
      </c>
      <c r="I22" s="60">
        <v>8816.98</v>
      </c>
      <c r="J22" s="60" t="s">
        <v>1582</v>
      </c>
      <c r="K22" s="60" t="s">
        <v>4377</v>
      </c>
      <c r="L22" s="60" t="s">
        <v>4543</v>
      </c>
      <c r="M22" s="60" t="s">
        <v>4627</v>
      </c>
      <c r="N22" s="60" t="s">
        <v>4627</v>
      </c>
      <c r="O22" s="60" t="s">
        <v>4548</v>
      </c>
      <c r="P22" s="60" t="s">
        <v>4549</v>
      </c>
      <c r="Q22" s="60" t="s">
        <v>4626</v>
      </c>
      <c r="R22" s="60" t="s">
        <v>4628</v>
      </c>
      <c r="S22" s="60" t="s">
        <v>4629</v>
      </c>
      <c r="T22" s="60" t="s">
        <v>4630</v>
      </c>
      <c r="U22" s="60" t="s">
        <v>4552</v>
      </c>
      <c r="V22" s="60" t="s">
        <v>4374</v>
      </c>
      <c r="W22" s="60" t="s">
        <v>4377</v>
      </c>
      <c r="X22" s="60" t="s">
        <v>4631</v>
      </c>
      <c r="Y22" s="60" t="s">
        <v>4554</v>
      </c>
      <c r="Z22" s="60" t="s">
        <v>4632</v>
      </c>
      <c r="AA22" s="60" t="s">
        <v>4377</v>
      </c>
      <c r="AB22" s="60" t="s">
        <v>4377</v>
      </c>
      <c r="AC22" s="60" t="s">
        <v>4377</v>
      </c>
      <c r="AD22" s="60" t="s">
        <v>4377</v>
      </c>
      <c r="AE22" s="60" t="s">
        <v>4377</v>
      </c>
      <c r="AF22" s="60" t="s">
        <v>4377</v>
      </c>
      <c r="AG22" s="60" t="s">
        <v>4377</v>
      </c>
      <c r="AH22" s="60" t="s">
        <v>4377</v>
      </c>
      <c r="AI22" s="60" t="s">
        <v>4377</v>
      </c>
      <c r="AJ22" s="60" t="s">
        <v>4377</v>
      </c>
      <c r="AK22" s="60" t="s">
        <v>4377</v>
      </c>
      <c r="AL22" s="60" t="s">
        <v>4377</v>
      </c>
      <c r="AM22" s="60" t="s">
        <v>4377</v>
      </c>
      <c r="AN22" s="60" t="s">
        <v>4377</v>
      </c>
      <c r="AO22" s="60" t="s">
        <v>4377</v>
      </c>
      <c r="AP22" s="61">
        <v>45693.4461458333</v>
      </c>
      <c r="AQ22" s="60" t="s">
        <v>4377</v>
      </c>
      <c r="AR22" s="60" t="s">
        <v>4377</v>
      </c>
      <c r="AS22" s="60" t="s">
        <v>4570</v>
      </c>
      <c r="AT22" s="60" t="s">
        <v>4571</v>
      </c>
      <c r="AU22" s="60" t="s">
        <v>4377</v>
      </c>
      <c r="AV22" s="60" t="s">
        <v>4377</v>
      </c>
      <c r="AW22" s="61">
        <v>45660.5770023148</v>
      </c>
      <c r="AX22" s="60" t="s">
        <v>4377</v>
      </c>
      <c r="AY22" s="60" t="s">
        <v>4559</v>
      </c>
      <c r="AZ22" s="60" t="s">
        <v>4377</v>
      </c>
      <c r="BA22" s="60" t="s">
        <v>4377</v>
      </c>
      <c r="BB22" s="60" t="s">
        <v>4377</v>
      </c>
      <c r="BC22" s="60" t="s">
        <v>4633</v>
      </c>
      <c r="BD22" s="60" t="s">
        <v>4634</v>
      </c>
      <c r="BE22" s="60" t="s">
        <v>4635</v>
      </c>
      <c r="BF22" s="60" t="s">
        <v>4561</v>
      </c>
      <c r="BG22" s="60" t="s">
        <v>4377</v>
      </c>
      <c r="BH22" s="60" t="s">
        <v>4377</v>
      </c>
      <c r="BI22" s="60" t="s">
        <v>2758</v>
      </c>
      <c r="BJ22" s="60" t="s">
        <v>4377</v>
      </c>
      <c r="BK22" s="60" t="s">
        <v>4377</v>
      </c>
      <c r="BL22" s="60">
        <v>3398965</v>
      </c>
      <c r="BM22" s="60" t="s">
        <v>4636</v>
      </c>
      <c r="BN22" s="60">
        <v>1200</v>
      </c>
      <c r="BO22" s="60" t="s">
        <v>4377</v>
      </c>
      <c r="BP22" s="60" t="s">
        <v>4377</v>
      </c>
      <c r="BQ22" s="60" t="s">
        <v>4377</v>
      </c>
      <c r="BR22" s="60" t="s">
        <v>4637</v>
      </c>
      <c r="BS22" s="60" t="s">
        <v>1582</v>
      </c>
      <c r="BT22" s="60" t="s">
        <v>4377</v>
      </c>
      <c r="BU22" s="60" t="s">
        <v>4377</v>
      </c>
      <c r="BV22" s="60" t="s">
        <v>4377</v>
      </c>
      <c r="BW22" s="60" t="s">
        <v>4377</v>
      </c>
      <c r="BX22" s="60">
        <v>1200</v>
      </c>
      <c r="BY22" s="60" t="s">
        <v>4377</v>
      </c>
      <c r="BZ22" s="60" t="s">
        <v>4377</v>
      </c>
      <c r="CA22" s="60" t="s">
        <v>4545</v>
      </c>
      <c r="CB22" s="60" t="s">
        <v>4377</v>
      </c>
      <c r="CC22" s="60" t="s">
        <v>4377</v>
      </c>
      <c r="CD22" s="60" t="s">
        <v>4377</v>
      </c>
    </row>
    <row r="23" spans="1:82">
      <c r="A23" s="60">
        <v>23257</v>
      </c>
      <c r="B23" s="60" t="s">
        <v>4377</v>
      </c>
      <c r="C23" s="60" t="s">
        <v>4624</v>
      </c>
      <c r="D23" s="60" t="s">
        <v>4377</v>
      </c>
      <c r="E23" s="60" t="s">
        <v>4543</v>
      </c>
      <c r="F23" s="60" t="s">
        <v>4625</v>
      </c>
      <c r="G23" s="60" t="s">
        <v>4545</v>
      </c>
      <c r="H23" s="60" t="s">
        <v>4626</v>
      </c>
      <c r="I23" s="60">
        <v>8816.98</v>
      </c>
      <c r="J23" s="60" t="s">
        <v>1582</v>
      </c>
      <c r="K23" s="60" t="s">
        <v>4377</v>
      </c>
      <c r="L23" s="60" t="s">
        <v>4543</v>
      </c>
      <c r="M23" s="60" t="s">
        <v>4627</v>
      </c>
      <c r="N23" s="60" t="s">
        <v>4627</v>
      </c>
      <c r="O23" s="60" t="s">
        <v>4548</v>
      </c>
      <c r="P23" s="60" t="s">
        <v>4549</v>
      </c>
      <c r="Q23" s="60" t="s">
        <v>4626</v>
      </c>
      <c r="R23" s="60" t="s">
        <v>4628</v>
      </c>
      <c r="S23" s="60" t="s">
        <v>4629</v>
      </c>
      <c r="T23" s="60" t="s">
        <v>4630</v>
      </c>
      <c r="U23" s="60" t="s">
        <v>4552</v>
      </c>
      <c r="V23" s="60" t="s">
        <v>4374</v>
      </c>
      <c r="W23" s="60" t="s">
        <v>4377</v>
      </c>
      <c r="X23" s="60" t="s">
        <v>4631</v>
      </c>
      <c r="Y23" s="60" t="s">
        <v>4554</v>
      </c>
      <c r="Z23" s="60" t="s">
        <v>4632</v>
      </c>
      <c r="AA23" s="60" t="s">
        <v>4377</v>
      </c>
      <c r="AB23" s="60" t="s">
        <v>4377</v>
      </c>
      <c r="AC23" s="60" t="s">
        <v>4377</v>
      </c>
      <c r="AD23" s="60" t="s">
        <v>4377</v>
      </c>
      <c r="AE23" s="60" t="s">
        <v>4377</v>
      </c>
      <c r="AF23" s="60" t="s">
        <v>4377</v>
      </c>
      <c r="AG23" s="60" t="s">
        <v>4377</v>
      </c>
      <c r="AH23" s="60" t="s">
        <v>4377</v>
      </c>
      <c r="AI23" s="60" t="s">
        <v>4377</v>
      </c>
      <c r="AJ23" s="60" t="s">
        <v>4377</v>
      </c>
      <c r="AK23" s="60" t="s">
        <v>4377</v>
      </c>
      <c r="AL23" s="60" t="s">
        <v>4377</v>
      </c>
      <c r="AM23" s="60" t="s">
        <v>4377</v>
      </c>
      <c r="AN23" s="60" t="s">
        <v>4377</v>
      </c>
      <c r="AO23" s="60" t="s">
        <v>4377</v>
      </c>
      <c r="AP23" s="61">
        <v>45693.4461458333</v>
      </c>
      <c r="AQ23" s="60" t="s">
        <v>4377</v>
      </c>
      <c r="AR23" s="60" t="s">
        <v>4377</v>
      </c>
      <c r="AS23" s="60" t="s">
        <v>4570</v>
      </c>
      <c r="AT23" s="60" t="s">
        <v>4571</v>
      </c>
      <c r="AU23" s="60" t="s">
        <v>4377</v>
      </c>
      <c r="AV23" s="60" t="s">
        <v>4377</v>
      </c>
      <c r="AW23" s="61">
        <v>45660.5770023148</v>
      </c>
      <c r="AX23" s="60" t="s">
        <v>4377</v>
      </c>
      <c r="AY23" s="60" t="s">
        <v>4559</v>
      </c>
      <c r="AZ23" s="60" t="s">
        <v>4377</v>
      </c>
      <c r="BA23" s="60" t="s">
        <v>4377</v>
      </c>
      <c r="BB23" s="60" t="s">
        <v>4377</v>
      </c>
      <c r="BC23" s="60" t="s">
        <v>4633</v>
      </c>
      <c r="BD23" s="60" t="s">
        <v>4634</v>
      </c>
      <c r="BE23" s="60" t="s">
        <v>4635</v>
      </c>
      <c r="BF23" s="60" t="s">
        <v>4561</v>
      </c>
      <c r="BG23" s="60" t="s">
        <v>4377</v>
      </c>
      <c r="BH23" s="60" t="s">
        <v>4377</v>
      </c>
      <c r="BI23" s="60" t="s">
        <v>2758</v>
      </c>
      <c r="BJ23" s="60" t="s">
        <v>4377</v>
      </c>
      <c r="BK23" s="60" t="s">
        <v>4377</v>
      </c>
      <c r="BL23" s="60">
        <v>3398967</v>
      </c>
      <c r="BM23" s="60" t="s">
        <v>4636</v>
      </c>
      <c r="BN23" s="60">
        <v>872</v>
      </c>
      <c r="BO23" s="60" t="s">
        <v>4377</v>
      </c>
      <c r="BP23" s="60" t="s">
        <v>4377</v>
      </c>
      <c r="BQ23" s="60" t="s">
        <v>4377</v>
      </c>
      <c r="BR23" s="60" t="s">
        <v>4637</v>
      </c>
      <c r="BS23" s="60" t="s">
        <v>1582</v>
      </c>
      <c r="BT23" s="60" t="s">
        <v>4377</v>
      </c>
      <c r="BU23" s="60" t="s">
        <v>4377</v>
      </c>
      <c r="BV23" s="60" t="s">
        <v>4377</v>
      </c>
      <c r="BW23" s="60" t="s">
        <v>4377</v>
      </c>
      <c r="BX23" s="60">
        <v>872</v>
      </c>
      <c r="BY23" s="60" t="s">
        <v>4377</v>
      </c>
      <c r="BZ23" s="60" t="s">
        <v>4377</v>
      </c>
      <c r="CA23" s="60" t="s">
        <v>4545</v>
      </c>
      <c r="CB23" s="60" t="s">
        <v>4377</v>
      </c>
      <c r="CC23" s="60" t="s">
        <v>4377</v>
      </c>
      <c r="CD23" s="60" t="s">
        <v>4377</v>
      </c>
    </row>
    <row r="24" spans="1:82">
      <c r="A24" s="60">
        <v>23258</v>
      </c>
      <c r="B24" s="60" t="s">
        <v>4377</v>
      </c>
      <c r="C24" s="60" t="s">
        <v>4624</v>
      </c>
      <c r="D24" s="60" t="s">
        <v>4377</v>
      </c>
      <c r="E24" s="60" t="s">
        <v>4543</v>
      </c>
      <c r="F24" s="60" t="s">
        <v>4625</v>
      </c>
      <c r="G24" s="60" t="s">
        <v>4545</v>
      </c>
      <c r="H24" s="60" t="s">
        <v>4626</v>
      </c>
      <c r="I24" s="60">
        <v>8816.98</v>
      </c>
      <c r="J24" s="60" t="s">
        <v>1582</v>
      </c>
      <c r="K24" s="60" t="s">
        <v>4377</v>
      </c>
      <c r="L24" s="60" t="s">
        <v>4543</v>
      </c>
      <c r="M24" s="60" t="s">
        <v>4627</v>
      </c>
      <c r="N24" s="60" t="s">
        <v>4627</v>
      </c>
      <c r="O24" s="60" t="s">
        <v>4548</v>
      </c>
      <c r="P24" s="60" t="s">
        <v>4549</v>
      </c>
      <c r="Q24" s="60" t="s">
        <v>4626</v>
      </c>
      <c r="R24" s="60" t="s">
        <v>4628</v>
      </c>
      <c r="S24" s="60" t="s">
        <v>4629</v>
      </c>
      <c r="T24" s="60" t="s">
        <v>4630</v>
      </c>
      <c r="U24" s="60" t="s">
        <v>4552</v>
      </c>
      <c r="V24" s="60" t="s">
        <v>4374</v>
      </c>
      <c r="W24" s="60" t="s">
        <v>4377</v>
      </c>
      <c r="X24" s="60" t="s">
        <v>4631</v>
      </c>
      <c r="Y24" s="60" t="s">
        <v>4554</v>
      </c>
      <c r="Z24" s="60" t="s">
        <v>4632</v>
      </c>
      <c r="AA24" s="60" t="s">
        <v>4377</v>
      </c>
      <c r="AB24" s="60" t="s">
        <v>4377</v>
      </c>
      <c r="AC24" s="60" t="s">
        <v>4377</v>
      </c>
      <c r="AD24" s="60" t="s">
        <v>4377</v>
      </c>
      <c r="AE24" s="60" t="s">
        <v>4377</v>
      </c>
      <c r="AF24" s="60" t="s">
        <v>4377</v>
      </c>
      <c r="AG24" s="60" t="s">
        <v>4377</v>
      </c>
      <c r="AH24" s="60" t="s">
        <v>4377</v>
      </c>
      <c r="AI24" s="60" t="s">
        <v>4377</v>
      </c>
      <c r="AJ24" s="60" t="s">
        <v>4377</v>
      </c>
      <c r="AK24" s="60" t="s">
        <v>4377</v>
      </c>
      <c r="AL24" s="60" t="s">
        <v>4377</v>
      </c>
      <c r="AM24" s="60" t="s">
        <v>4377</v>
      </c>
      <c r="AN24" s="60" t="s">
        <v>4377</v>
      </c>
      <c r="AO24" s="60" t="s">
        <v>4377</v>
      </c>
      <c r="AP24" s="61">
        <v>45693.4461458333</v>
      </c>
      <c r="AQ24" s="60" t="s">
        <v>4377</v>
      </c>
      <c r="AR24" s="60" t="s">
        <v>4377</v>
      </c>
      <c r="AS24" s="60" t="s">
        <v>4570</v>
      </c>
      <c r="AT24" s="60" t="s">
        <v>4571</v>
      </c>
      <c r="AU24" s="60" t="s">
        <v>4377</v>
      </c>
      <c r="AV24" s="60" t="s">
        <v>4377</v>
      </c>
      <c r="AW24" s="61">
        <v>45660.5770023148</v>
      </c>
      <c r="AX24" s="60" t="s">
        <v>4377</v>
      </c>
      <c r="AY24" s="60" t="s">
        <v>4559</v>
      </c>
      <c r="AZ24" s="60" t="s">
        <v>4377</v>
      </c>
      <c r="BA24" s="60" t="s">
        <v>4377</v>
      </c>
      <c r="BB24" s="60" t="s">
        <v>4377</v>
      </c>
      <c r="BC24" s="60" t="s">
        <v>4633</v>
      </c>
      <c r="BD24" s="60" t="s">
        <v>4634</v>
      </c>
      <c r="BE24" s="60" t="s">
        <v>4635</v>
      </c>
      <c r="BF24" s="60" t="s">
        <v>4561</v>
      </c>
      <c r="BG24" s="60" t="s">
        <v>4377</v>
      </c>
      <c r="BH24" s="60" t="s">
        <v>4377</v>
      </c>
      <c r="BI24" s="60" t="s">
        <v>2758</v>
      </c>
      <c r="BJ24" s="60" t="s">
        <v>4377</v>
      </c>
      <c r="BK24" s="60" t="s">
        <v>4377</v>
      </c>
      <c r="BL24" s="60">
        <v>3398968</v>
      </c>
      <c r="BM24" s="60" t="s">
        <v>4636</v>
      </c>
      <c r="BN24" s="60">
        <v>277.64</v>
      </c>
      <c r="BO24" s="60" t="s">
        <v>4377</v>
      </c>
      <c r="BP24" s="60" t="s">
        <v>4377</v>
      </c>
      <c r="BQ24" s="60" t="s">
        <v>4377</v>
      </c>
      <c r="BR24" s="60" t="s">
        <v>4637</v>
      </c>
      <c r="BS24" s="60" t="s">
        <v>1582</v>
      </c>
      <c r="BT24" s="60" t="s">
        <v>4377</v>
      </c>
      <c r="BU24" s="60" t="s">
        <v>4377</v>
      </c>
      <c r="BV24" s="60" t="s">
        <v>4377</v>
      </c>
      <c r="BW24" s="60" t="s">
        <v>4377</v>
      </c>
      <c r="BX24" s="60">
        <v>277.64</v>
      </c>
      <c r="BY24" s="60" t="s">
        <v>4377</v>
      </c>
      <c r="BZ24" s="60" t="s">
        <v>4377</v>
      </c>
      <c r="CA24" s="60" t="s">
        <v>4545</v>
      </c>
      <c r="CB24" s="60" t="s">
        <v>4377</v>
      </c>
      <c r="CC24" s="60" t="s">
        <v>4377</v>
      </c>
      <c r="CD24" s="60" t="s">
        <v>4377</v>
      </c>
    </row>
    <row r="25" spans="1:82">
      <c r="A25" s="60">
        <v>23260</v>
      </c>
      <c r="B25" s="60" t="s">
        <v>4377</v>
      </c>
      <c r="C25" s="60" t="s">
        <v>4639</v>
      </c>
      <c r="D25" s="60" t="s">
        <v>4377</v>
      </c>
      <c r="E25" s="60" t="s">
        <v>4543</v>
      </c>
      <c r="F25" s="60" t="s">
        <v>4640</v>
      </c>
      <c r="G25" s="60" t="s">
        <v>4545</v>
      </c>
      <c r="H25" s="60" t="s">
        <v>4641</v>
      </c>
      <c r="I25" s="60">
        <v>1560</v>
      </c>
      <c r="J25" s="60" t="s">
        <v>1582</v>
      </c>
      <c r="K25" s="60" t="s">
        <v>4377</v>
      </c>
      <c r="L25" s="60" t="s">
        <v>4543</v>
      </c>
      <c r="M25" s="60" t="s">
        <v>4627</v>
      </c>
      <c r="N25" s="60" t="s">
        <v>4627</v>
      </c>
      <c r="O25" s="60" t="s">
        <v>4548</v>
      </c>
      <c r="P25" s="60" t="s">
        <v>4549</v>
      </c>
      <c r="Q25" s="60" t="s">
        <v>4641</v>
      </c>
      <c r="R25" s="60" t="s">
        <v>4642</v>
      </c>
      <c r="S25" s="60" t="s">
        <v>4643</v>
      </c>
      <c r="T25" s="60" t="s">
        <v>4630</v>
      </c>
      <c r="U25" s="60" t="s">
        <v>4552</v>
      </c>
      <c r="V25" s="60" t="s">
        <v>4374</v>
      </c>
      <c r="W25" s="60" t="s">
        <v>4377</v>
      </c>
      <c r="X25" s="60" t="s">
        <v>4644</v>
      </c>
      <c r="Y25" s="60" t="s">
        <v>4554</v>
      </c>
      <c r="Z25" s="60" t="s">
        <v>4632</v>
      </c>
      <c r="AA25" s="60" t="s">
        <v>4377</v>
      </c>
      <c r="AB25" s="60" t="s">
        <v>4377</v>
      </c>
      <c r="AC25" s="60" t="s">
        <v>4377</v>
      </c>
      <c r="AD25" s="60" t="s">
        <v>4377</v>
      </c>
      <c r="AE25" s="60" t="s">
        <v>4377</v>
      </c>
      <c r="AF25" s="60" t="s">
        <v>4377</v>
      </c>
      <c r="AG25" s="60" t="s">
        <v>4377</v>
      </c>
      <c r="AH25" s="60" t="s">
        <v>4377</v>
      </c>
      <c r="AI25" s="60" t="s">
        <v>4377</v>
      </c>
      <c r="AJ25" s="60" t="s">
        <v>4377</v>
      </c>
      <c r="AK25" s="60" t="s">
        <v>4377</v>
      </c>
      <c r="AL25" s="60" t="s">
        <v>4377</v>
      </c>
      <c r="AM25" s="60" t="s">
        <v>4377</v>
      </c>
      <c r="AN25" s="60" t="s">
        <v>4377</v>
      </c>
      <c r="AO25" s="60" t="s">
        <v>4377</v>
      </c>
      <c r="AP25" s="61">
        <v>45693.4463773148</v>
      </c>
      <c r="AQ25" s="60" t="s">
        <v>4377</v>
      </c>
      <c r="AR25" s="60" t="s">
        <v>4377</v>
      </c>
      <c r="AS25" s="60" t="s">
        <v>4570</v>
      </c>
      <c r="AT25" s="60" t="s">
        <v>4571</v>
      </c>
      <c r="AU25" s="60" t="s">
        <v>4377</v>
      </c>
      <c r="AV25" s="60" t="s">
        <v>4377</v>
      </c>
      <c r="AW25" s="61">
        <v>45660.3695717593</v>
      </c>
      <c r="AX25" s="60" t="s">
        <v>4377</v>
      </c>
      <c r="AY25" s="60" t="s">
        <v>4559</v>
      </c>
      <c r="AZ25" s="60" t="s">
        <v>4377</v>
      </c>
      <c r="BA25" s="60" t="s">
        <v>4377</v>
      </c>
      <c r="BB25" s="60" t="s">
        <v>4377</v>
      </c>
      <c r="BC25" s="60" t="s">
        <v>4645</v>
      </c>
      <c r="BD25" s="60" t="s">
        <v>4646</v>
      </c>
      <c r="BE25" s="60" t="s">
        <v>4647</v>
      </c>
      <c r="BF25" s="60" t="s">
        <v>4561</v>
      </c>
      <c r="BG25" s="60" t="s">
        <v>4377</v>
      </c>
      <c r="BH25" s="60" t="s">
        <v>4377</v>
      </c>
      <c r="BI25" s="60" t="s">
        <v>2758</v>
      </c>
      <c r="BJ25" s="60" t="s">
        <v>4377</v>
      </c>
      <c r="BK25" s="60" t="s">
        <v>4377</v>
      </c>
      <c r="BL25" s="60">
        <v>3109895</v>
      </c>
      <c r="BM25" s="60" t="s">
        <v>4648</v>
      </c>
      <c r="BN25" s="60">
        <v>1560</v>
      </c>
      <c r="BO25" s="60" t="s">
        <v>4377</v>
      </c>
      <c r="BP25" s="60" t="s">
        <v>4377</v>
      </c>
      <c r="BQ25" s="60" t="s">
        <v>4377</v>
      </c>
      <c r="BR25" s="60" t="s">
        <v>4649</v>
      </c>
      <c r="BS25" s="60" t="s">
        <v>1582</v>
      </c>
      <c r="BT25" s="60" t="s">
        <v>4377</v>
      </c>
      <c r="BU25" s="60" t="s">
        <v>4377</v>
      </c>
      <c r="BV25" s="60" t="s">
        <v>4377</v>
      </c>
      <c r="BW25" s="60" t="s">
        <v>4377</v>
      </c>
      <c r="BX25" s="60">
        <v>1560</v>
      </c>
      <c r="BY25" s="60" t="s">
        <v>4377</v>
      </c>
      <c r="BZ25" s="60" t="s">
        <v>4377</v>
      </c>
      <c r="CA25" s="60" t="s">
        <v>4545</v>
      </c>
      <c r="CB25" s="60" t="s">
        <v>4377</v>
      </c>
      <c r="CC25" s="60" t="s">
        <v>4377</v>
      </c>
      <c r="CD25" s="60" t="s">
        <v>4377</v>
      </c>
    </row>
    <row r="26" spans="1:82">
      <c r="A26" s="60">
        <v>23274</v>
      </c>
      <c r="B26" s="60" t="s">
        <v>4377</v>
      </c>
      <c r="C26" s="60" t="s">
        <v>4650</v>
      </c>
      <c r="D26" s="60" t="s">
        <v>4377</v>
      </c>
      <c r="E26" s="60" t="s">
        <v>4543</v>
      </c>
      <c r="F26" s="60" t="s">
        <v>4651</v>
      </c>
      <c r="G26" s="60" t="s">
        <v>4545</v>
      </c>
      <c r="H26" s="60" t="s">
        <v>4652</v>
      </c>
      <c r="I26" s="60">
        <v>172730.77</v>
      </c>
      <c r="J26" s="60" t="s">
        <v>1582</v>
      </c>
      <c r="K26" s="60" t="s">
        <v>4377</v>
      </c>
      <c r="L26" s="60" t="s">
        <v>4543</v>
      </c>
      <c r="M26" s="60" t="s">
        <v>4653</v>
      </c>
      <c r="N26" s="60" t="s">
        <v>4653</v>
      </c>
      <c r="O26" s="60" t="s">
        <v>4548</v>
      </c>
      <c r="P26" s="60" t="s">
        <v>4549</v>
      </c>
      <c r="Q26" s="60" t="s">
        <v>4652</v>
      </c>
      <c r="R26" s="60" t="s">
        <v>4654</v>
      </c>
      <c r="S26" s="60" t="s">
        <v>4655</v>
      </c>
      <c r="T26" s="60" t="s">
        <v>4630</v>
      </c>
      <c r="U26" s="60" t="s">
        <v>4552</v>
      </c>
      <c r="V26" s="60" t="s">
        <v>4374</v>
      </c>
      <c r="W26" s="60" t="s">
        <v>4377</v>
      </c>
      <c r="X26" s="60" t="s">
        <v>4656</v>
      </c>
      <c r="Y26" s="60" t="s">
        <v>4554</v>
      </c>
      <c r="Z26" s="60" t="s">
        <v>4632</v>
      </c>
      <c r="AA26" s="60" t="s">
        <v>4377</v>
      </c>
      <c r="AB26" s="60" t="s">
        <v>4377</v>
      </c>
      <c r="AC26" s="60" t="s">
        <v>4377</v>
      </c>
      <c r="AD26" s="60" t="s">
        <v>4377</v>
      </c>
      <c r="AE26" s="60" t="s">
        <v>4377</v>
      </c>
      <c r="AF26" s="60" t="s">
        <v>4377</v>
      </c>
      <c r="AG26" s="60" t="s">
        <v>4377</v>
      </c>
      <c r="AH26" s="60" t="s">
        <v>4377</v>
      </c>
      <c r="AI26" s="60" t="s">
        <v>4377</v>
      </c>
      <c r="AJ26" s="60" t="s">
        <v>4377</v>
      </c>
      <c r="AK26" s="60" t="s">
        <v>4377</v>
      </c>
      <c r="AL26" s="60" t="s">
        <v>4377</v>
      </c>
      <c r="AM26" s="60" t="s">
        <v>4377</v>
      </c>
      <c r="AN26" s="60" t="s">
        <v>4377</v>
      </c>
      <c r="AO26" s="60" t="s">
        <v>4377</v>
      </c>
      <c r="AP26" s="61">
        <v>45693.4465393518</v>
      </c>
      <c r="AQ26" s="60" t="s">
        <v>4377</v>
      </c>
      <c r="AR26" s="60" t="s">
        <v>4377</v>
      </c>
      <c r="AS26" s="60" t="s">
        <v>4570</v>
      </c>
      <c r="AT26" s="60" t="s">
        <v>4571</v>
      </c>
      <c r="AU26" s="60" t="s">
        <v>4377</v>
      </c>
      <c r="AV26" s="60" t="s">
        <v>4377</v>
      </c>
      <c r="AW26" s="61">
        <v>45660.5764583333</v>
      </c>
      <c r="AX26" s="60" t="s">
        <v>4377</v>
      </c>
      <c r="AY26" s="60" t="s">
        <v>4559</v>
      </c>
      <c r="AZ26" s="60" t="s">
        <v>4377</v>
      </c>
      <c r="BA26" s="60" t="s">
        <v>4377</v>
      </c>
      <c r="BB26" s="60" t="s">
        <v>4377</v>
      </c>
      <c r="BC26" s="60" t="s">
        <v>4657</v>
      </c>
      <c r="BD26" s="60" t="s">
        <v>4658</v>
      </c>
      <c r="BE26" s="60" t="s">
        <v>4659</v>
      </c>
      <c r="BF26" s="60" t="s">
        <v>4561</v>
      </c>
      <c r="BG26" s="60" t="s">
        <v>4377</v>
      </c>
      <c r="BH26" s="60" t="s">
        <v>4377</v>
      </c>
      <c r="BI26" s="60" t="s">
        <v>2758</v>
      </c>
      <c r="BJ26" s="60" t="s">
        <v>4377</v>
      </c>
      <c r="BK26" s="60" t="s">
        <v>4377</v>
      </c>
      <c r="BL26" s="60">
        <v>3057356</v>
      </c>
      <c r="BM26" s="60" t="s">
        <v>4660</v>
      </c>
      <c r="BN26" s="60">
        <v>172730.77</v>
      </c>
      <c r="BO26" s="60" t="s">
        <v>4377</v>
      </c>
      <c r="BP26" s="60" t="s">
        <v>4377</v>
      </c>
      <c r="BQ26" s="60" t="s">
        <v>4377</v>
      </c>
      <c r="BR26" s="60" t="s">
        <v>4661</v>
      </c>
      <c r="BS26" s="60" t="s">
        <v>1582</v>
      </c>
      <c r="BT26" s="60" t="s">
        <v>4377</v>
      </c>
      <c r="BU26" s="60" t="s">
        <v>4377</v>
      </c>
      <c r="BV26" s="60" t="s">
        <v>4377</v>
      </c>
      <c r="BW26" s="60" t="s">
        <v>4377</v>
      </c>
      <c r="BX26" s="60">
        <v>172730.77</v>
      </c>
      <c r="BY26" s="60" t="s">
        <v>4377</v>
      </c>
      <c r="BZ26" s="60" t="s">
        <v>4377</v>
      </c>
      <c r="CA26" s="60" t="s">
        <v>4545</v>
      </c>
      <c r="CB26" s="60" t="s">
        <v>4377</v>
      </c>
      <c r="CC26" s="60" t="s">
        <v>4377</v>
      </c>
      <c r="CD26" s="60" t="s">
        <v>4377</v>
      </c>
    </row>
    <row r="27" spans="1:82">
      <c r="A27" s="60">
        <v>23365</v>
      </c>
      <c r="B27" s="60" t="s">
        <v>4377</v>
      </c>
      <c r="C27" s="60" t="s">
        <v>4662</v>
      </c>
      <c r="D27" s="60" t="s">
        <v>4377</v>
      </c>
      <c r="E27" s="60" t="s">
        <v>4543</v>
      </c>
      <c r="F27" s="60" t="s">
        <v>4663</v>
      </c>
      <c r="G27" s="60" t="s">
        <v>4545</v>
      </c>
      <c r="H27" s="60" t="s">
        <v>4664</v>
      </c>
      <c r="I27" s="60">
        <v>625482.7</v>
      </c>
      <c r="J27" s="60" t="s">
        <v>1582</v>
      </c>
      <c r="K27" s="60" t="s">
        <v>4377</v>
      </c>
      <c r="L27" s="60" t="s">
        <v>4543</v>
      </c>
      <c r="M27" s="60" t="s">
        <v>4665</v>
      </c>
      <c r="N27" s="60" t="s">
        <v>4665</v>
      </c>
      <c r="O27" s="60" t="s">
        <v>4548</v>
      </c>
      <c r="P27" s="60" t="s">
        <v>4549</v>
      </c>
      <c r="Q27" s="60" t="s">
        <v>4664</v>
      </c>
      <c r="R27" s="60" t="s">
        <v>4666</v>
      </c>
      <c r="S27" s="60" t="s">
        <v>4667</v>
      </c>
      <c r="T27" s="60" t="s">
        <v>4630</v>
      </c>
      <c r="U27" s="60" t="s">
        <v>4552</v>
      </c>
      <c r="V27" s="60" t="s">
        <v>4374</v>
      </c>
      <c r="W27" s="60" t="s">
        <v>4377</v>
      </c>
      <c r="X27" s="60" t="s">
        <v>4668</v>
      </c>
      <c r="Y27" s="60" t="s">
        <v>4554</v>
      </c>
      <c r="Z27" s="60" t="s">
        <v>4669</v>
      </c>
      <c r="AA27" s="60" t="s">
        <v>4377</v>
      </c>
      <c r="AB27" s="60" t="s">
        <v>4377</v>
      </c>
      <c r="AC27" s="60" t="s">
        <v>4377</v>
      </c>
      <c r="AD27" s="60" t="s">
        <v>4377</v>
      </c>
      <c r="AE27" s="60" t="s">
        <v>4377</v>
      </c>
      <c r="AF27" s="60" t="s">
        <v>4377</v>
      </c>
      <c r="AG27" s="60" t="s">
        <v>4377</v>
      </c>
      <c r="AH27" s="60" t="s">
        <v>4377</v>
      </c>
      <c r="AI27" s="60" t="s">
        <v>4377</v>
      </c>
      <c r="AJ27" s="60" t="s">
        <v>4377</v>
      </c>
      <c r="AK27" s="60" t="s">
        <v>4377</v>
      </c>
      <c r="AL27" s="60" t="s">
        <v>4377</v>
      </c>
      <c r="AM27" s="60" t="s">
        <v>4377</v>
      </c>
      <c r="AN27" s="60" t="s">
        <v>4377</v>
      </c>
      <c r="AO27" s="60" t="s">
        <v>4377</v>
      </c>
      <c r="AP27" s="61">
        <v>45670.699849537</v>
      </c>
      <c r="AQ27" s="60" t="s">
        <v>4377</v>
      </c>
      <c r="AR27" s="60" t="s">
        <v>4377</v>
      </c>
      <c r="AS27" s="60" t="s">
        <v>4592</v>
      </c>
      <c r="AT27" s="60" t="s">
        <v>4571</v>
      </c>
      <c r="AU27" s="60" t="s">
        <v>4377</v>
      </c>
      <c r="AV27" s="60" t="s">
        <v>4377</v>
      </c>
      <c r="AW27" s="61">
        <v>45660.5772453704</v>
      </c>
      <c r="AX27" s="60" t="s">
        <v>4377</v>
      </c>
      <c r="AY27" s="60" t="s">
        <v>4559</v>
      </c>
      <c r="AZ27" s="60" t="s">
        <v>4377</v>
      </c>
      <c r="BA27" s="60" t="s">
        <v>4377</v>
      </c>
      <c r="BB27" s="60" t="s">
        <v>4377</v>
      </c>
      <c r="BC27" s="60" t="s">
        <v>4448</v>
      </c>
      <c r="BD27" s="60" t="s">
        <v>4670</v>
      </c>
      <c r="BE27" s="60" t="s">
        <v>4671</v>
      </c>
      <c r="BF27" s="60" t="s">
        <v>4561</v>
      </c>
      <c r="BG27" s="60" t="s">
        <v>4377</v>
      </c>
      <c r="BH27" s="60" t="s">
        <v>4377</v>
      </c>
      <c r="BI27" s="60" t="s">
        <v>2758</v>
      </c>
      <c r="BJ27" s="60" t="s">
        <v>4377</v>
      </c>
      <c r="BK27" s="60" t="s">
        <v>4377</v>
      </c>
      <c r="BL27" s="60">
        <v>3206885</v>
      </c>
      <c r="BM27" s="60" t="s">
        <v>4672</v>
      </c>
      <c r="BN27" s="60">
        <v>216935.9</v>
      </c>
      <c r="BO27" s="60" t="s">
        <v>4377</v>
      </c>
      <c r="BP27" s="60" t="s">
        <v>4377</v>
      </c>
      <c r="BQ27" s="60" t="s">
        <v>4377</v>
      </c>
      <c r="BR27" s="60" t="s">
        <v>4673</v>
      </c>
      <c r="BS27" s="60" t="s">
        <v>1582</v>
      </c>
      <c r="BT27" s="60" t="s">
        <v>4377</v>
      </c>
      <c r="BU27" s="60" t="s">
        <v>4377</v>
      </c>
      <c r="BV27" s="60" t="s">
        <v>4377</v>
      </c>
      <c r="BW27" s="60" t="s">
        <v>4377</v>
      </c>
      <c r="BX27" s="60">
        <v>216935.9</v>
      </c>
      <c r="BY27" s="60" t="s">
        <v>4377</v>
      </c>
      <c r="BZ27" s="60" t="s">
        <v>4377</v>
      </c>
      <c r="CA27" s="60" t="s">
        <v>4545</v>
      </c>
      <c r="CB27" s="60" t="s">
        <v>4377</v>
      </c>
      <c r="CC27" s="60" t="s">
        <v>4377</v>
      </c>
      <c r="CD27" s="60" t="s">
        <v>4377</v>
      </c>
    </row>
    <row r="28" spans="1:82">
      <c r="A28" s="60">
        <v>23366</v>
      </c>
      <c r="B28" s="60" t="s">
        <v>4377</v>
      </c>
      <c r="C28" s="60" t="s">
        <v>4662</v>
      </c>
      <c r="D28" s="60" t="s">
        <v>4377</v>
      </c>
      <c r="E28" s="60" t="s">
        <v>4543</v>
      </c>
      <c r="F28" s="60" t="s">
        <v>4663</v>
      </c>
      <c r="G28" s="60" t="s">
        <v>4545</v>
      </c>
      <c r="H28" s="60" t="s">
        <v>4664</v>
      </c>
      <c r="I28" s="60">
        <v>625482.7</v>
      </c>
      <c r="J28" s="60" t="s">
        <v>1582</v>
      </c>
      <c r="K28" s="60" t="s">
        <v>4377</v>
      </c>
      <c r="L28" s="60" t="s">
        <v>4543</v>
      </c>
      <c r="M28" s="60" t="s">
        <v>4665</v>
      </c>
      <c r="N28" s="60" t="s">
        <v>4665</v>
      </c>
      <c r="O28" s="60" t="s">
        <v>4548</v>
      </c>
      <c r="P28" s="60" t="s">
        <v>4549</v>
      </c>
      <c r="Q28" s="60" t="s">
        <v>4664</v>
      </c>
      <c r="R28" s="60" t="s">
        <v>4666</v>
      </c>
      <c r="S28" s="60" t="s">
        <v>4667</v>
      </c>
      <c r="T28" s="60" t="s">
        <v>4630</v>
      </c>
      <c r="U28" s="60" t="s">
        <v>4552</v>
      </c>
      <c r="V28" s="60" t="s">
        <v>4374</v>
      </c>
      <c r="W28" s="60" t="s">
        <v>4377</v>
      </c>
      <c r="X28" s="60" t="s">
        <v>4668</v>
      </c>
      <c r="Y28" s="60" t="s">
        <v>4554</v>
      </c>
      <c r="Z28" s="60" t="s">
        <v>4669</v>
      </c>
      <c r="AA28" s="60" t="s">
        <v>4377</v>
      </c>
      <c r="AB28" s="60" t="s">
        <v>4377</v>
      </c>
      <c r="AC28" s="60" t="s">
        <v>4377</v>
      </c>
      <c r="AD28" s="60" t="s">
        <v>4377</v>
      </c>
      <c r="AE28" s="60" t="s">
        <v>4377</v>
      </c>
      <c r="AF28" s="60" t="s">
        <v>4377</v>
      </c>
      <c r="AG28" s="60" t="s">
        <v>4377</v>
      </c>
      <c r="AH28" s="60" t="s">
        <v>4377</v>
      </c>
      <c r="AI28" s="60" t="s">
        <v>4377</v>
      </c>
      <c r="AJ28" s="60" t="s">
        <v>4377</v>
      </c>
      <c r="AK28" s="60" t="s">
        <v>4377</v>
      </c>
      <c r="AL28" s="60" t="s">
        <v>4377</v>
      </c>
      <c r="AM28" s="60" t="s">
        <v>4377</v>
      </c>
      <c r="AN28" s="60" t="s">
        <v>4377</v>
      </c>
      <c r="AO28" s="60" t="s">
        <v>4377</v>
      </c>
      <c r="AP28" s="61">
        <v>45670.699849537</v>
      </c>
      <c r="AQ28" s="60" t="s">
        <v>4377</v>
      </c>
      <c r="AR28" s="60" t="s">
        <v>4377</v>
      </c>
      <c r="AS28" s="60" t="s">
        <v>4592</v>
      </c>
      <c r="AT28" s="60" t="s">
        <v>4571</v>
      </c>
      <c r="AU28" s="60" t="s">
        <v>4377</v>
      </c>
      <c r="AV28" s="60" t="s">
        <v>4377</v>
      </c>
      <c r="AW28" s="61">
        <v>45660.5772453704</v>
      </c>
      <c r="AX28" s="60" t="s">
        <v>4377</v>
      </c>
      <c r="AY28" s="60" t="s">
        <v>4559</v>
      </c>
      <c r="AZ28" s="60" t="s">
        <v>4377</v>
      </c>
      <c r="BA28" s="60" t="s">
        <v>4377</v>
      </c>
      <c r="BB28" s="60" t="s">
        <v>4377</v>
      </c>
      <c r="BC28" s="60" t="s">
        <v>4448</v>
      </c>
      <c r="BD28" s="60" t="s">
        <v>4670</v>
      </c>
      <c r="BE28" s="60" t="s">
        <v>4671</v>
      </c>
      <c r="BF28" s="60" t="s">
        <v>4561</v>
      </c>
      <c r="BG28" s="60" t="s">
        <v>4377</v>
      </c>
      <c r="BH28" s="60" t="s">
        <v>4377</v>
      </c>
      <c r="BI28" s="60" t="s">
        <v>2758</v>
      </c>
      <c r="BJ28" s="60" t="s">
        <v>4377</v>
      </c>
      <c r="BK28" s="60" t="s">
        <v>4377</v>
      </c>
      <c r="BL28" s="60">
        <v>3206885</v>
      </c>
      <c r="BM28" s="60" t="s">
        <v>4672</v>
      </c>
      <c r="BN28" s="60">
        <v>203082.6</v>
      </c>
      <c r="BO28" s="60" t="s">
        <v>4377</v>
      </c>
      <c r="BP28" s="60" t="s">
        <v>4377</v>
      </c>
      <c r="BQ28" s="60" t="s">
        <v>4377</v>
      </c>
      <c r="BR28" s="60" t="s">
        <v>4673</v>
      </c>
      <c r="BS28" s="60" t="s">
        <v>1582</v>
      </c>
      <c r="BT28" s="60" t="s">
        <v>4377</v>
      </c>
      <c r="BU28" s="60" t="s">
        <v>4377</v>
      </c>
      <c r="BV28" s="60" t="s">
        <v>4377</v>
      </c>
      <c r="BW28" s="60" t="s">
        <v>4377</v>
      </c>
      <c r="BX28" s="60">
        <v>203082.6</v>
      </c>
      <c r="BY28" s="60" t="s">
        <v>4377</v>
      </c>
      <c r="BZ28" s="60" t="s">
        <v>4377</v>
      </c>
      <c r="CA28" s="60" t="s">
        <v>4545</v>
      </c>
      <c r="CB28" s="60" t="s">
        <v>4377</v>
      </c>
      <c r="CC28" s="60" t="s">
        <v>4377</v>
      </c>
      <c r="CD28" s="60" t="s">
        <v>4377</v>
      </c>
    </row>
    <row r="29" spans="1:82">
      <c r="A29" s="60">
        <v>23367</v>
      </c>
      <c r="B29" s="60" t="s">
        <v>4377</v>
      </c>
      <c r="C29" s="60" t="s">
        <v>4662</v>
      </c>
      <c r="D29" s="60" t="s">
        <v>4377</v>
      </c>
      <c r="E29" s="60" t="s">
        <v>4543</v>
      </c>
      <c r="F29" s="60" t="s">
        <v>4663</v>
      </c>
      <c r="G29" s="60" t="s">
        <v>4545</v>
      </c>
      <c r="H29" s="60" t="s">
        <v>4664</v>
      </c>
      <c r="I29" s="60">
        <v>625482.7</v>
      </c>
      <c r="J29" s="60" t="s">
        <v>1582</v>
      </c>
      <c r="K29" s="60" t="s">
        <v>4377</v>
      </c>
      <c r="L29" s="60" t="s">
        <v>4543</v>
      </c>
      <c r="M29" s="60" t="s">
        <v>4665</v>
      </c>
      <c r="N29" s="60" t="s">
        <v>4665</v>
      </c>
      <c r="O29" s="60" t="s">
        <v>4548</v>
      </c>
      <c r="P29" s="60" t="s">
        <v>4549</v>
      </c>
      <c r="Q29" s="60" t="s">
        <v>4664</v>
      </c>
      <c r="R29" s="60" t="s">
        <v>4666</v>
      </c>
      <c r="S29" s="60" t="s">
        <v>4667</v>
      </c>
      <c r="T29" s="60" t="s">
        <v>4630</v>
      </c>
      <c r="U29" s="60" t="s">
        <v>4552</v>
      </c>
      <c r="V29" s="60" t="s">
        <v>4374</v>
      </c>
      <c r="W29" s="60" t="s">
        <v>4377</v>
      </c>
      <c r="X29" s="60" t="s">
        <v>4668</v>
      </c>
      <c r="Y29" s="60" t="s">
        <v>4554</v>
      </c>
      <c r="Z29" s="60" t="s">
        <v>4669</v>
      </c>
      <c r="AA29" s="60" t="s">
        <v>4377</v>
      </c>
      <c r="AB29" s="60" t="s">
        <v>4377</v>
      </c>
      <c r="AC29" s="60" t="s">
        <v>4377</v>
      </c>
      <c r="AD29" s="60" t="s">
        <v>4377</v>
      </c>
      <c r="AE29" s="60" t="s">
        <v>4377</v>
      </c>
      <c r="AF29" s="60" t="s">
        <v>4377</v>
      </c>
      <c r="AG29" s="60" t="s">
        <v>4377</v>
      </c>
      <c r="AH29" s="60" t="s">
        <v>4377</v>
      </c>
      <c r="AI29" s="60" t="s">
        <v>4377</v>
      </c>
      <c r="AJ29" s="60" t="s">
        <v>4377</v>
      </c>
      <c r="AK29" s="60" t="s">
        <v>4377</v>
      </c>
      <c r="AL29" s="60" t="s">
        <v>4377</v>
      </c>
      <c r="AM29" s="60" t="s">
        <v>4377</v>
      </c>
      <c r="AN29" s="60" t="s">
        <v>4377</v>
      </c>
      <c r="AO29" s="60" t="s">
        <v>4377</v>
      </c>
      <c r="AP29" s="61">
        <v>45670.699849537</v>
      </c>
      <c r="AQ29" s="60" t="s">
        <v>4377</v>
      </c>
      <c r="AR29" s="60" t="s">
        <v>4377</v>
      </c>
      <c r="AS29" s="60" t="s">
        <v>4592</v>
      </c>
      <c r="AT29" s="60" t="s">
        <v>4571</v>
      </c>
      <c r="AU29" s="60" t="s">
        <v>4377</v>
      </c>
      <c r="AV29" s="60" t="s">
        <v>4377</v>
      </c>
      <c r="AW29" s="61">
        <v>45660.5772453704</v>
      </c>
      <c r="AX29" s="60" t="s">
        <v>4377</v>
      </c>
      <c r="AY29" s="60" t="s">
        <v>4559</v>
      </c>
      <c r="AZ29" s="60" t="s">
        <v>4377</v>
      </c>
      <c r="BA29" s="60" t="s">
        <v>4377</v>
      </c>
      <c r="BB29" s="60" t="s">
        <v>4377</v>
      </c>
      <c r="BC29" s="60" t="s">
        <v>4448</v>
      </c>
      <c r="BD29" s="60" t="s">
        <v>4670</v>
      </c>
      <c r="BE29" s="60" t="s">
        <v>4671</v>
      </c>
      <c r="BF29" s="60" t="s">
        <v>4561</v>
      </c>
      <c r="BG29" s="60" t="s">
        <v>4377</v>
      </c>
      <c r="BH29" s="60" t="s">
        <v>4377</v>
      </c>
      <c r="BI29" s="60" t="s">
        <v>2758</v>
      </c>
      <c r="BJ29" s="60" t="s">
        <v>4377</v>
      </c>
      <c r="BK29" s="60" t="s">
        <v>4377</v>
      </c>
      <c r="BL29" s="60">
        <v>3206885</v>
      </c>
      <c r="BM29" s="60" t="s">
        <v>4672</v>
      </c>
      <c r="BN29" s="60">
        <v>205464.2</v>
      </c>
      <c r="BO29" s="60" t="s">
        <v>4377</v>
      </c>
      <c r="BP29" s="60" t="s">
        <v>4377</v>
      </c>
      <c r="BQ29" s="60" t="s">
        <v>4377</v>
      </c>
      <c r="BR29" s="60" t="s">
        <v>4673</v>
      </c>
      <c r="BS29" s="60" t="s">
        <v>1582</v>
      </c>
      <c r="BT29" s="60" t="s">
        <v>4377</v>
      </c>
      <c r="BU29" s="60" t="s">
        <v>4377</v>
      </c>
      <c r="BV29" s="60" t="s">
        <v>4377</v>
      </c>
      <c r="BW29" s="60" t="s">
        <v>4377</v>
      </c>
      <c r="BX29" s="60">
        <v>205464.2</v>
      </c>
      <c r="BY29" s="60" t="s">
        <v>4377</v>
      </c>
      <c r="BZ29" s="60" t="s">
        <v>4377</v>
      </c>
      <c r="CA29" s="60" t="s">
        <v>4545</v>
      </c>
      <c r="CB29" s="60" t="s">
        <v>4377</v>
      </c>
      <c r="CC29" s="60" t="s">
        <v>4377</v>
      </c>
      <c r="CD29" s="60" t="s">
        <v>4377</v>
      </c>
    </row>
    <row r="30" spans="1:82">
      <c r="A30" s="60">
        <v>23449</v>
      </c>
      <c r="B30" s="60" t="s">
        <v>4377</v>
      </c>
      <c r="C30" s="60" t="s">
        <v>4674</v>
      </c>
      <c r="D30" s="60" t="s">
        <v>4377</v>
      </c>
      <c r="E30" s="60" t="s">
        <v>4543</v>
      </c>
      <c r="F30" s="60" t="s">
        <v>4675</v>
      </c>
      <c r="G30" s="60" t="s">
        <v>4545</v>
      </c>
      <c r="H30" s="60" t="s">
        <v>2835</v>
      </c>
      <c r="I30" s="60">
        <v>1067.81</v>
      </c>
      <c r="J30" s="60" t="s">
        <v>1582</v>
      </c>
      <c r="K30" s="60" t="s">
        <v>4377</v>
      </c>
      <c r="L30" s="60" t="s">
        <v>4543</v>
      </c>
      <c r="M30" s="60" t="s">
        <v>4676</v>
      </c>
      <c r="N30" s="60" t="s">
        <v>4676</v>
      </c>
      <c r="O30" s="60" t="s">
        <v>4548</v>
      </c>
      <c r="P30" s="60" t="s">
        <v>4549</v>
      </c>
      <c r="Q30" s="60" t="s">
        <v>2835</v>
      </c>
      <c r="R30" s="60" t="s">
        <v>4677</v>
      </c>
      <c r="S30" s="60" t="s">
        <v>4678</v>
      </c>
      <c r="T30" s="60" t="s">
        <v>4630</v>
      </c>
      <c r="U30" s="60" t="s">
        <v>4552</v>
      </c>
      <c r="V30" s="60" t="s">
        <v>4374</v>
      </c>
      <c r="W30" s="60" t="s">
        <v>4377</v>
      </c>
      <c r="X30" s="60" t="s">
        <v>4679</v>
      </c>
      <c r="Y30" s="60" t="s">
        <v>4554</v>
      </c>
      <c r="Z30" s="60" t="s">
        <v>4669</v>
      </c>
      <c r="AA30" s="60" t="s">
        <v>4377</v>
      </c>
      <c r="AB30" s="60" t="s">
        <v>4377</v>
      </c>
      <c r="AC30" s="60" t="s">
        <v>4377</v>
      </c>
      <c r="AD30" s="60" t="s">
        <v>4377</v>
      </c>
      <c r="AE30" s="60" t="s">
        <v>4377</v>
      </c>
      <c r="AF30" s="60" t="s">
        <v>4377</v>
      </c>
      <c r="AG30" s="60" t="s">
        <v>4377</v>
      </c>
      <c r="AH30" s="60" t="s">
        <v>4377</v>
      </c>
      <c r="AI30" s="60" t="s">
        <v>4377</v>
      </c>
      <c r="AJ30" s="60" t="s">
        <v>4377</v>
      </c>
      <c r="AK30" s="60" t="s">
        <v>4377</v>
      </c>
      <c r="AL30" s="60" t="s">
        <v>4377</v>
      </c>
      <c r="AM30" s="60" t="s">
        <v>4377</v>
      </c>
      <c r="AN30" s="60" t="s">
        <v>4377</v>
      </c>
      <c r="AO30" s="60" t="s">
        <v>4377</v>
      </c>
      <c r="AP30" s="61">
        <v>45670.699849537</v>
      </c>
      <c r="AQ30" s="60" t="s">
        <v>4377</v>
      </c>
      <c r="AR30" s="60" t="s">
        <v>4377</v>
      </c>
      <c r="AS30" s="60" t="s">
        <v>4592</v>
      </c>
      <c r="AT30" s="60" t="s">
        <v>4571</v>
      </c>
      <c r="AU30" s="60" t="s">
        <v>4377</v>
      </c>
      <c r="AV30" s="60" t="s">
        <v>4377</v>
      </c>
      <c r="AW30" s="61">
        <v>45659.582662037</v>
      </c>
      <c r="AX30" s="60" t="s">
        <v>4377</v>
      </c>
      <c r="AY30" s="60" t="s">
        <v>4559</v>
      </c>
      <c r="AZ30" s="60" t="s">
        <v>4377</v>
      </c>
      <c r="BA30" s="60" t="s">
        <v>4377</v>
      </c>
      <c r="BB30" s="60" t="s">
        <v>4377</v>
      </c>
      <c r="BC30" s="60" t="s">
        <v>1619</v>
      </c>
      <c r="BD30" s="60" t="s">
        <v>4634</v>
      </c>
      <c r="BE30" s="60" t="s">
        <v>4680</v>
      </c>
      <c r="BF30" s="60" t="s">
        <v>4561</v>
      </c>
      <c r="BG30" s="60" t="s">
        <v>4377</v>
      </c>
      <c r="BH30" s="60" t="s">
        <v>4377</v>
      </c>
      <c r="BI30" s="60" t="s">
        <v>2758</v>
      </c>
      <c r="BJ30" s="60" t="s">
        <v>4377</v>
      </c>
      <c r="BK30" s="60" t="s">
        <v>4377</v>
      </c>
      <c r="BL30" s="60">
        <v>3409212</v>
      </c>
      <c r="BM30" s="60" t="s">
        <v>4681</v>
      </c>
      <c r="BN30" s="60">
        <v>91.8</v>
      </c>
      <c r="BO30" s="60" t="s">
        <v>4377</v>
      </c>
      <c r="BP30" s="60" t="s">
        <v>4377</v>
      </c>
      <c r="BQ30" s="60" t="s">
        <v>4377</v>
      </c>
      <c r="BR30" s="60" t="s">
        <v>4682</v>
      </c>
      <c r="BS30" s="60" t="s">
        <v>1582</v>
      </c>
      <c r="BT30" s="60" t="s">
        <v>4377</v>
      </c>
      <c r="BU30" s="60" t="s">
        <v>4377</v>
      </c>
      <c r="BV30" s="60" t="s">
        <v>4377</v>
      </c>
      <c r="BW30" s="60" t="s">
        <v>4377</v>
      </c>
      <c r="BX30" s="60">
        <v>91.8</v>
      </c>
      <c r="BY30" s="60" t="s">
        <v>4377</v>
      </c>
      <c r="BZ30" s="60" t="s">
        <v>4377</v>
      </c>
      <c r="CA30" s="60" t="s">
        <v>4545</v>
      </c>
      <c r="CB30" s="60" t="s">
        <v>4377</v>
      </c>
      <c r="CC30" s="60" t="s">
        <v>4377</v>
      </c>
      <c r="CD30" s="60" t="s">
        <v>4377</v>
      </c>
    </row>
    <row r="31" spans="1:82">
      <c r="A31" s="60">
        <v>23450</v>
      </c>
      <c r="B31" s="60" t="s">
        <v>4377</v>
      </c>
      <c r="C31" s="60" t="s">
        <v>4674</v>
      </c>
      <c r="D31" s="60" t="s">
        <v>4377</v>
      </c>
      <c r="E31" s="60" t="s">
        <v>4543</v>
      </c>
      <c r="F31" s="60" t="s">
        <v>4675</v>
      </c>
      <c r="G31" s="60" t="s">
        <v>4545</v>
      </c>
      <c r="H31" s="60" t="s">
        <v>2835</v>
      </c>
      <c r="I31" s="60">
        <v>1067.81</v>
      </c>
      <c r="J31" s="60" t="s">
        <v>1582</v>
      </c>
      <c r="K31" s="60" t="s">
        <v>4377</v>
      </c>
      <c r="L31" s="60" t="s">
        <v>4543</v>
      </c>
      <c r="M31" s="60" t="s">
        <v>4676</v>
      </c>
      <c r="N31" s="60" t="s">
        <v>4676</v>
      </c>
      <c r="O31" s="60" t="s">
        <v>4548</v>
      </c>
      <c r="P31" s="60" t="s">
        <v>4549</v>
      </c>
      <c r="Q31" s="60" t="s">
        <v>2835</v>
      </c>
      <c r="R31" s="60" t="s">
        <v>4677</v>
      </c>
      <c r="S31" s="60" t="s">
        <v>4678</v>
      </c>
      <c r="T31" s="60" t="s">
        <v>4630</v>
      </c>
      <c r="U31" s="60" t="s">
        <v>4552</v>
      </c>
      <c r="V31" s="60" t="s">
        <v>4374</v>
      </c>
      <c r="W31" s="60" t="s">
        <v>4377</v>
      </c>
      <c r="X31" s="60" t="s">
        <v>4679</v>
      </c>
      <c r="Y31" s="60" t="s">
        <v>4554</v>
      </c>
      <c r="Z31" s="60" t="s">
        <v>4669</v>
      </c>
      <c r="AA31" s="60" t="s">
        <v>4377</v>
      </c>
      <c r="AB31" s="60" t="s">
        <v>4377</v>
      </c>
      <c r="AC31" s="60" t="s">
        <v>4377</v>
      </c>
      <c r="AD31" s="60" t="s">
        <v>4377</v>
      </c>
      <c r="AE31" s="60" t="s">
        <v>4377</v>
      </c>
      <c r="AF31" s="60" t="s">
        <v>4377</v>
      </c>
      <c r="AG31" s="60" t="s">
        <v>4377</v>
      </c>
      <c r="AH31" s="60" t="s">
        <v>4377</v>
      </c>
      <c r="AI31" s="60" t="s">
        <v>4377</v>
      </c>
      <c r="AJ31" s="60" t="s">
        <v>4377</v>
      </c>
      <c r="AK31" s="60" t="s">
        <v>4377</v>
      </c>
      <c r="AL31" s="60" t="s">
        <v>4377</v>
      </c>
      <c r="AM31" s="60" t="s">
        <v>4377</v>
      </c>
      <c r="AN31" s="60" t="s">
        <v>4377</v>
      </c>
      <c r="AO31" s="60" t="s">
        <v>4377</v>
      </c>
      <c r="AP31" s="61">
        <v>45670.699849537</v>
      </c>
      <c r="AQ31" s="60" t="s">
        <v>4377</v>
      </c>
      <c r="AR31" s="60" t="s">
        <v>4377</v>
      </c>
      <c r="AS31" s="60" t="s">
        <v>4592</v>
      </c>
      <c r="AT31" s="60" t="s">
        <v>4571</v>
      </c>
      <c r="AU31" s="60" t="s">
        <v>4377</v>
      </c>
      <c r="AV31" s="60" t="s">
        <v>4377</v>
      </c>
      <c r="AW31" s="61">
        <v>45659.582662037</v>
      </c>
      <c r="AX31" s="60" t="s">
        <v>4377</v>
      </c>
      <c r="AY31" s="60" t="s">
        <v>4559</v>
      </c>
      <c r="AZ31" s="60" t="s">
        <v>4377</v>
      </c>
      <c r="BA31" s="60" t="s">
        <v>4377</v>
      </c>
      <c r="BB31" s="60" t="s">
        <v>4377</v>
      </c>
      <c r="BC31" s="60" t="s">
        <v>2103</v>
      </c>
      <c r="BD31" s="60" t="s">
        <v>4634</v>
      </c>
      <c r="BE31" s="60" t="s">
        <v>4680</v>
      </c>
      <c r="BF31" s="60" t="s">
        <v>4561</v>
      </c>
      <c r="BG31" s="60" t="s">
        <v>4377</v>
      </c>
      <c r="BH31" s="60" t="s">
        <v>4377</v>
      </c>
      <c r="BI31" s="60" t="s">
        <v>2758</v>
      </c>
      <c r="BJ31" s="60" t="s">
        <v>4377</v>
      </c>
      <c r="BK31" s="60" t="s">
        <v>4377</v>
      </c>
      <c r="BL31" s="60">
        <v>3409213</v>
      </c>
      <c r="BM31" s="60" t="s">
        <v>4681</v>
      </c>
      <c r="BN31" s="60">
        <v>976.01</v>
      </c>
      <c r="BO31" s="60" t="s">
        <v>4377</v>
      </c>
      <c r="BP31" s="60" t="s">
        <v>4377</v>
      </c>
      <c r="BQ31" s="60" t="s">
        <v>4377</v>
      </c>
      <c r="BR31" s="60" t="s">
        <v>4682</v>
      </c>
      <c r="BS31" s="60" t="s">
        <v>1582</v>
      </c>
      <c r="BT31" s="60" t="s">
        <v>4377</v>
      </c>
      <c r="BU31" s="60" t="s">
        <v>4377</v>
      </c>
      <c r="BV31" s="60" t="s">
        <v>4377</v>
      </c>
      <c r="BW31" s="60" t="s">
        <v>4377</v>
      </c>
      <c r="BX31" s="60">
        <v>976.01</v>
      </c>
      <c r="BY31" s="60" t="s">
        <v>4377</v>
      </c>
      <c r="BZ31" s="60" t="s">
        <v>4377</v>
      </c>
      <c r="CA31" s="60" t="s">
        <v>4545</v>
      </c>
      <c r="CB31" s="60" t="s">
        <v>4377</v>
      </c>
      <c r="CC31" s="60" t="s">
        <v>4377</v>
      </c>
      <c r="CD31" s="60" t="s">
        <v>4377</v>
      </c>
    </row>
    <row r="32" spans="1:82">
      <c r="A32" s="60">
        <v>23451</v>
      </c>
      <c r="B32" s="60" t="s">
        <v>4377</v>
      </c>
      <c r="C32" s="60" t="s">
        <v>4683</v>
      </c>
      <c r="D32" s="60" t="s">
        <v>4377</v>
      </c>
      <c r="E32" s="60" t="s">
        <v>4543</v>
      </c>
      <c r="F32" s="60" t="s">
        <v>4684</v>
      </c>
      <c r="G32" s="60" t="s">
        <v>4545</v>
      </c>
      <c r="H32" s="60" t="s">
        <v>4626</v>
      </c>
      <c r="I32" s="60">
        <v>1676</v>
      </c>
      <c r="J32" s="60" t="s">
        <v>1582</v>
      </c>
      <c r="K32" s="60" t="s">
        <v>4377</v>
      </c>
      <c r="L32" s="60" t="s">
        <v>4543</v>
      </c>
      <c r="M32" s="60" t="s">
        <v>4676</v>
      </c>
      <c r="N32" s="60" t="s">
        <v>4676</v>
      </c>
      <c r="O32" s="60" t="s">
        <v>4548</v>
      </c>
      <c r="P32" s="60" t="s">
        <v>4549</v>
      </c>
      <c r="Q32" s="60" t="s">
        <v>4626</v>
      </c>
      <c r="R32" s="60" t="s">
        <v>4628</v>
      </c>
      <c r="S32" s="60" t="s">
        <v>4629</v>
      </c>
      <c r="T32" s="60" t="s">
        <v>4630</v>
      </c>
      <c r="U32" s="60" t="s">
        <v>4552</v>
      </c>
      <c r="V32" s="60" t="s">
        <v>4374</v>
      </c>
      <c r="W32" s="60" t="s">
        <v>4377</v>
      </c>
      <c r="X32" s="60" t="s">
        <v>4685</v>
      </c>
      <c r="Y32" s="60" t="s">
        <v>4554</v>
      </c>
      <c r="Z32" s="60" t="s">
        <v>4669</v>
      </c>
      <c r="AA32" s="60" t="s">
        <v>4377</v>
      </c>
      <c r="AB32" s="60" t="s">
        <v>4377</v>
      </c>
      <c r="AC32" s="60" t="s">
        <v>4377</v>
      </c>
      <c r="AD32" s="60" t="s">
        <v>4377</v>
      </c>
      <c r="AE32" s="60" t="s">
        <v>4377</v>
      </c>
      <c r="AF32" s="60" t="s">
        <v>4377</v>
      </c>
      <c r="AG32" s="60" t="s">
        <v>4377</v>
      </c>
      <c r="AH32" s="60" t="s">
        <v>4377</v>
      </c>
      <c r="AI32" s="60" t="s">
        <v>4377</v>
      </c>
      <c r="AJ32" s="60" t="s">
        <v>4377</v>
      </c>
      <c r="AK32" s="60" t="s">
        <v>4377</v>
      </c>
      <c r="AL32" s="60" t="s">
        <v>4377</v>
      </c>
      <c r="AM32" s="60" t="s">
        <v>4377</v>
      </c>
      <c r="AN32" s="60" t="s">
        <v>4377</v>
      </c>
      <c r="AO32" s="60" t="s">
        <v>4377</v>
      </c>
      <c r="AP32" s="61">
        <v>45670.6998148148</v>
      </c>
      <c r="AQ32" s="60" t="s">
        <v>4377</v>
      </c>
      <c r="AR32" s="60" t="s">
        <v>4377</v>
      </c>
      <c r="AS32" s="60" t="s">
        <v>4592</v>
      </c>
      <c r="AT32" s="60" t="s">
        <v>4571</v>
      </c>
      <c r="AU32" s="60" t="s">
        <v>4377</v>
      </c>
      <c r="AV32" s="60" t="s">
        <v>4377</v>
      </c>
      <c r="AW32" s="61">
        <v>45659.5860300926</v>
      </c>
      <c r="AX32" s="60" t="s">
        <v>4377</v>
      </c>
      <c r="AY32" s="60" t="s">
        <v>4559</v>
      </c>
      <c r="AZ32" s="60" t="s">
        <v>4377</v>
      </c>
      <c r="BA32" s="60" t="s">
        <v>4377</v>
      </c>
      <c r="BB32" s="60" t="s">
        <v>4377</v>
      </c>
      <c r="BC32" s="60" t="s">
        <v>1842</v>
      </c>
      <c r="BD32" s="60" t="s">
        <v>4634</v>
      </c>
      <c r="BE32" s="60" t="s">
        <v>4635</v>
      </c>
      <c r="BF32" s="60" t="s">
        <v>4561</v>
      </c>
      <c r="BG32" s="60" t="s">
        <v>4377</v>
      </c>
      <c r="BH32" s="60" t="s">
        <v>4377</v>
      </c>
      <c r="BI32" s="60" t="s">
        <v>2758</v>
      </c>
      <c r="BJ32" s="60" t="s">
        <v>4377</v>
      </c>
      <c r="BK32" s="60" t="s">
        <v>4377</v>
      </c>
      <c r="BL32" s="60">
        <v>3417286</v>
      </c>
      <c r="BM32" s="60" t="s">
        <v>4686</v>
      </c>
      <c r="BN32" s="60">
        <v>210</v>
      </c>
      <c r="BO32" s="60" t="s">
        <v>4377</v>
      </c>
      <c r="BP32" s="60" t="s">
        <v>4377</v>
      </c>
      <c r="BQ32" s="60" t="s">
        <v>4377</v>
      </c>
      <c r="BR32" s="60" t="s">
        <v>4687</v>
      </c>
      <c r="BS32" s="60" t="s">
        <v>1582</v>
      </c>
      <c r="BT32" s="60" t="s">
        <v>4377</v>
      </c>
      <c r="BU32" s="60" t="s">
        <v>4377</v>
      </c>
      <c r="BV32" s="60" t="s">
        <v>4377</v>
      </c>
      <c r="BW32" s="60" t="s">
        <v>4377</v>
      </c>
      <c r="BX32" s="60">
        <v>210</v>
      </c>
      <c r="BY32" s="60" t="s">
        <v>4377</v>
      </c>
      <c r="BZ32" s="60" t="s">
        <v>4377</v>
      </c>
      <c r="CA32" s="60" t="s">
        <v>4545</v>
      </c>
      <c r="CB32" s="60" t="s">
        <v>4377</v>
      </c>
      <c r="CC32" s="60" t="s">
        <v>4377</v>
      </c>
      <c r="CD32" s="60" t="s">
        <v>4377</v>
      </c>
    </row>
    <row r="33" spans="1:82">
      <c r="A33" s="60">
        <v>23452</v>
      </c>
      <c r="B33" s="60" t="s">
        <v>4377</v>
      </c>
      <c r="C33" s="60" t="s">
        <v>4683</v>
      </c>
      <c r="D33" s="60" t="s">
        <v>4377</v>
      </c>
      <c r="E33" s="60" t="s">
        <v>4543</v>
      </c>
      <c r="F33" s="60" t="s">
        <v>4684</v>
      </c>
      <c r="G33" s="60" t="s">
        <v>4545</v>
      </c>
      <c r="H33" s="60" t="s">
        <v>4626</v>
      </c>
      <c r="I33" s="60">
        <v>1676</v>
      </c>
      <c r="J33" s="60" t="s">
        <v>1582</v>
      </c>
      <c r="K33" s="60" t="s">
        <v>4377</v>
      </c>
      <c r="L33" s="60" t="s">
        <v>4543</v>
      </c>
      <c r="M33" s="60" t="s">
        <v>4676</v>
      </c>
      <c r="N33" s="60" t="s">
        <v>4676</v>
      </c>
      <c r="O33" s="60" t="s">
        <v>4548</v>
      </c>
      <c r="P33" s="60" t="s">
        <v>4549</v>
      </c>
      <c r="Q33" s="60" t="s">
        <v>4626</v>
      </c>
      <c r="R33" s="60" t="s">
        <v>4628</v>
      </c>
      <c r="S33" s="60" t="s">
        <v>4629</v>
      </c>
      <c r="T33" s="60" t="s">
        <v>4630</v>
      </c>
      <c r="U33" s="60" t="s">
        <v>4552</v>
      </c>
      <c r="V33" s="60" t="s">
        <v>4374</v>
      </c>
      <c r="W33" s="60" t="s">
        <v>4377</v>
      </c>
      <c r="X33" s="60" t="s">
        <v>4685</v>
      </c>
      <c r="Y33" s="60" t="s">
        <v>4554</v>
      </c>
      <c r="Z33" s="60" t="s">
        <v>4669</v>
      </c>
      <c r="AA33" s="60" t="s">
        <v>4377</v>
      </c>
      <c r="AB33" s="60" t="s">
        <v>4377</v>
      </c>
      <c r="AC33" s="60" t="s">
        <v>4377</v>
      </c>
      <c r="AD33" s="60" t="s">
        <v>4377</v>
      </c>
      <c r="AE33" s="60" t="s">
        <v>4377</v>
      </c>
      <c r="AF33" s="60" t="s">
        <v>4377</v>
      </c>
      <c r="AG33" s="60" t="s">
        <v>4377</v>
      </c>
      <c r="AH33" s="60" t="s">
        <v>4377</v>
      </c>
      <c r="AI33" s="60" t="s">
        <v>4377</v>
      </c>
      <c r="AJ33" s="60" t="s">
        <v>4377</v>
      </c>
      <c r="AK33" s="60" t="s">
        <v>4377</v>
      </c>
      <c r="AL33" s="60" t="s">
        <v>4377</v>
      </c>
      <c r="AM33" s="60" t="s">
        <v>4377</v>
      </c>
      <c r="AN33" s="60" t="s">
        <v>4377</v>
      </c>
      <c r="AO33" s="60" t="s">
        <v>4377</v>
      </c>
      <c r="AP33" s="61">
        <v>45670.6998148148</v>
      </c>
      <c r="AQ33" s="60" t="s">
        <v>4377</v>
      </c>
      <c r="AR33" s="60" t="s">
        <v>4377</v>
      </c>
      <c r="AS33" s="60" t="s">
        <v>4592</v>
      </c>
      <c r="AT33" s="60" t="s">
        <v>4571</v>
      </c>
      <c r="AU33" s="60" t="s">
        <v>4377</v>
      </c>
      <c r="AV33" s="60" t="s">
        <v>4377</v>
      </c>
      <c r="AW33" s="61">
        <v>45659.5860300926</v>
      </c>
      <c r="AX33" s="60" t="s">
        <v>4377</v>
      </c>
      <c r="AY33" s="60" t="s">
        <v>4559</v>
      </c>
      <c r="AZ33" s="60" t="s">
        <v>4377</v>
      </c>
      <c r="BA33" s="60" t="s">
        <v>4377</v>
      </c>
      <c r="BB33" s="60" t="s">
        <v>4377</v>
      </c>
      <c r="BC33" s="60" t="s">
        <v>4633</v>
      </c>
      <c r="BD33" s="60" t="s">
        <v>4634</v>
      </c>
      <c r="BE33" s="60" t="s">
        <v>4635</v>
      </c>
      <c r="BF33" s="60" t="s">
        <v>4561</v>
      </c>
      <c r="BG33" s="60" t="s">
        <v>4377</v>
      </c>
      <c r="BH33" s="60" t="s">
        <v>4377</v>
      </c>
      <c r="BI33" s="60" t="s">
        <v>2758</v>
      </c>
      <c r="BJ33" s="60" t="s">
        <v>4377</v>
      </c>
      <c r="BK33" s="60" t="s">
        <v>4377</v>
      </c>
      <c r="BL33" s="60">
        <v>3417287</v>
      </c>
      <c r="BM33" s="60" t="s">
        <v>4686</v>
      </c>
      <c r="BN33" s="60">
        <v>61</v>
      </c>
      <c r="BO33" s="60" t="s">
        <v>4377</v>
      </c>
      <c r="BP33" s="60" t="s">
        <v>4377</v>
      </c>
      <c r="BQ33" s="60" t="s">
        <v>4377</v>
      </c>
      <c r="BR33" s="60" t="s">
        <v>4687</v>
      </c>
      <c r="BS33" s="60" t="s">
        <v>1582</v>
      </c>
      <c r="BT33" s="60" t="s">
        <v>4377</v>
      </c>
      <c r="BU33" s="60" t="s">
        <v>4377</v>
      </c>
      <c r="BV33" s="60" t="s">
        <v>4377</v>
      </c>
      <c r="BW33" s="60" t="s">
        <v>4377</v>
      </c>
      <c r="BX33" s="60">
        <v>61</v>
      </c>
      <c r="BY33" s="60" t="s">
        <v>4377</v>
      </c>
      <c r="BZ33" s="60" t="s">
        <v>4377</v>
      </c>
      <c r="CA33" s="60" t="s">
        <v>4545</v>
      </c>
      <c r="CB33" s="60" t="s">
        <v>4377</v>
      </c>
      <c r="CC33" s="60" t="s">
        <v>4377</v>
      </c>
      <c r="CD33" s="60" t="s">
        <v>4377</v>
      </c>
    </row>
    <row r="34" spans="1:82">
      <c r="A34" s="60">
        <v>23453</v>
      </c>
      <c r="B34" s="60" t="s">
        <v>4377</v>
      </c>
      <c r="C34" s="60" t="s">
        <v>4683</v>
      </c>
      <c r="D34" s="60" t="s">
        <v>4377</v>
      </c>
      <c r="E34" s="60" t="s">
        <v>4543</v>
      </c>
      <c r="F34" s="60" t="s">
        <v>4684</v>
      </c>
      <c r="G34" s="60" t="s">
        <v>4545</v>
      </c>
      <c r="H34" s="60" t="s">
        <v>4626</v>
      </c>
      <c r="I34" s="60">
        <v>1676</v>
      </c>
      <c r="J34" s="60" t="s">
        <v>1582</v>
      </c>
      <c r="K34" s="60" t="s">
        <v>4377</v>
      </c>
      <c r="L34" s="60" t="s">
        <v>4543</v>
      </c>
      <c r="M34" s="60" t="s">
        <v>4676</v>
      </c>
      <c r="N34" s="60" t="s">
        <v>4676</v>
      </c>
      <c r="O34" s="60" t="s">
        <v>4548</v>
      </c>
      <c r="P34" s="60" t="s">
        <v>4549</v>
      </c>
      <c r="Q34" s="60" t="s">
        <v>4626</v>
      </c>
      <c r="R34" s="60" t="s">
        <v>4628</v>
      </c>
      <c r="S34" s="60" t="s">
        <v>4629</v>
      </c>
      <c r="T34" s="60" t="s">
        <v>4630</v>
      </c>
      <c r="U34" s="60" t="s">
        <v>4552</v>
      </c>
      <c r="V34" s="60" t="s">
        <v>4374</v>
      </c>
      <c r="W34" s="60" t="s">
        <v>4377</v>
      </c>
      <c r="X34" s="60" t="s">
        <v>4685</v>
      </c>
      <c r="Y34" s="60" t="s">
        <v>4554</v>
      </c>
      <c r="Z34" s="60" t="s">
        <v>4669</v>
      </c>
      <c r="AA34" s="60" t="s">
        <v>4377</v>
      </c>
      <c r="AB34" s="60" t="s">
        <v>4377</v>
      </c>
      <c r="AC34" s="60" t="s">
        <v>4377</v>
      </c>
      <c r="AD34" s="60" t="s">
        <v>4377</v>
      </c>
      <c r="AE34" s="60" t="s">
        <v>4377</v>
      </c>
      <c r="AF34" s="60" t="s">
        <v>4377</v>
      </c>
      <c r="AG34" s="60" t="s">
        <v>4377</v>
      </c>
      <c r="AH34" s="60" t="s">
        <v>4377</v>
      </c>
      <c r="AI34" s="60" t="s">
        <v>4377</v>
      </c>
      <c r="AJ34" s="60" t="s">
        <v>4377</v>
      </c>
      <c r="AK34" s="60" t="s">
        <v>4377</v>
      </c>
      <c r="AL34" s="60" t="s">
        <v>4377</v>
      </c>
      <c r="AM34" s="60" t="s">
        <v>4377</v>
      </c>
      <c r="AN34" s="60" t="s">
        <v>4377</v>
      </c>
      <c r="AO34" s="60" t="s">
        <v>4377</v>
      </c>
      <c r="AP34" s="61">
        <v>45670.6998148148</v>
      </c>
      <c r="AQ34" s="60" t="s">
        <v>4377</v>
      </c>
      <c r="AR34" s="60" t="s">
        <v>4377</v>
      </c>
      <c r="AS34" s="60" t="s">
        <v>4592</v>
      </c>
      <c r="AT34" s="60" t="s">
        <v>4571</v>
      </c>
      <c r="AU34" s="60" t="s">
        <v>4377</v>
      </c>
      <c r="AV34" s="60" t="s">
        <v>4377</v>
      </c>
      <c r="AW34" s="61">
        <v>45659.5860300926</v>
      </c>
      <c r="AX34" s="60" t="s">
        <v>4377</v>
      </c>
      <c r="AY34" s="60" t="s">
        <v>4559</v>
      </c>
      <c r="AZ34" s="60" t="s">
        <v>4377</v>
      </c>
      <c r="BA34" s="60" t="s">
        <v>4377</v>
      </c>
      <c r="BB34" s="60" t="s">
        <v>4377</v>
      </c>
      <c r="BC34" s="60" t="s">
        <v>1842</v>
      </c>
      <c r="BD34" s="60" t="s">
        <v>4634</v>
      </c>
      <c r="BE34" s="60" t="s">
        <v>4635</v>
      </c>
      <c r="BF34" s="60" t="s">
        <v>4561</v>
      </c>
      <c r="BG34" s="60" t="s">
        <v>4377</v>
      </c>
      <c r="BH34" s="60" t="s">
        <v>4377</v>
      </c>
      <c r="BI34" s="60" t="s">
        <v>2758</v>
      </c>
      <c r="BJ34" s="60" t="s">
        <v>4377</v>
      </c>
      <c r="BK34" s="60" t="s">
        <v>4377</v>
      </c>
      <c r="BL34" s="60">
        <v>3417288</v>
      </c>
      <c r="BM34" s="60" t="s">
        <v>4686</v>
      </c>
      <c r="BN34" s="60">
        <v>650</v>
      </c>
      <c r="BO34" s="60" t="s">
        <v>4377</v>
      </c>
      <c r="BP34" s="60" t="s">
        <v>4377</v>
      </c>
      <c r="BQ34" s="60" t="s">
        <v>4377</v>
      </c>
      <c r="BR34" s="60" t="s">
        <v>4687</v>
      </c>
      <c r="BS34" s="60" t="s">
        <v>1582</v>
      </c>
      <c r="BT34" s="60" t="s">
        <v>4377</v>
      </c>
      <c r="BU34" s="60" t="s">
        <v>4377</v>
      </c>
      <c r="BV34" s="60" t="s">
        <v>4377</v>
      </c>
      <c r="BW34" s="60" t="s">
        <v>4377</v>
      </c>
      <c r="BX34" s="60">
        <v>650</v>
      </c>
      <c r="BY34" s="60" t="s">
        <v>4377</v>
      </c>
      <c r="BZ34" s="60" t="s">
        <v>4377</v>
      </c>
      <c r="CA34" s="60" t="s">
        <v>4545</v>
      </c>
      <c r="CB34" s="60" t="s">
        <v>4377</v>
      </c>
      <c r="CC34" s="60" t="s">
        <v>4377</v>
      </c>
      <c r="CD34" s="60" t="s">
        <v>4377</v>
      </c>
    </row>
    <row r="35" spans="1:82">
      <c r="A35" s="60">
        <v>23454</v>
      </c>
      <c r="B35" s="60" t="s">
        <v>4377</v>
      </c>
      <c r="C35" s="60" t="s">
        <v>4683</v>
      </c>
      <c r="D35" s="60" t="s">
        <v>4377</v>
      </c>
      <c r="E35" s="60" t="s">
        <v>4543</v>
      </c>
      <c r="F35" s="60" t="s">
        <v>4684</v>
      </c>
      <c r="G35" s="60" t="s">
        <v>4545</v>
      </c>
      <c r="H35" s="60" t="s">
        <v>4626</v>
      </c>
      <c r="I35" s="60">
        <v>1676</v>
      </c>
      <c r="J35" s="60" t="s">
        <v>1582</v>
      </c>
      <c r="K35" s="60" t="s">
        <v>4377</v>
      </c>
      <c r="L35" s="60" t="s">
        <v>4543</v>
      </c>
      <c r="M35" s="60" t="s">
        <v>4676</v>
      </c>
      <c r="N35" s="60" t="s">
        <v>4676</v>
      </c>
      <c r="O35" s="60" t="s">
        <v>4548</v>
      </c>
      <c r="P35" s="60" t="s">
        <v>4549</v>
      </c>
      <c r="Q35" s="60" t="s">
        <v>4626</v>
      </c>
      <c r="R35" s="60" t="s">
        <v>4628</v>
      </c>
      <c r="S35" s="60" t="s">
        <v>4629</v>
      </c>
      <c r="T35" s="60" t="s">
        <v>4630</v>
      </c>
      <c r="U35" s="60" t="s">
        <v>4552</v>
      </c>
      <c r="V35" s="60" t="s">
        <v>4374</v>
      </c>
      <c r="W35" s="60" t="s">
        <v>4377</v>
      </c>
      <c r="X35" s="60" t="s">
        <v>4685</v>
      </c>
      <c r="Y35" s="60" t="s">
        <v>4554</v>
      </c>
      <c r="Z35" s="60" t="s">
        <v>4669</v>
      </c>
      <c r="AA35" s="60" t="s">
        <v>4377</v>
      </c>
      <c r="AB35" s="60" t="s">
        <v>4377</v>
      </c>
      <c r="AC35" s="60" t="s">
        <v>4377</v>
      </c>
      <c r="AD35" s="60" t="s">
        <v>4377</v>
      </c>
      <c r="AE35" s="60" t="s">
        <v>4377</v>
      </c>
      <c r="AF35" s="60" t="s">
        <v>4377</v>
      </c>
      <c r="AG35" s="60" t="s">
        <v>4377</v>
      </c>
      <c r="AH35" s="60" t="s">
        <v>4377</v>
      </c>
      <c r="AI35" s="60" t="s">
        <v>4377</v>
      </c>
      <c r="AJ35" s="60" t="s">
        <v>4377</v>
      </c>
      <c r="AK35" s="60" t="s">
        <v>4377</v>
      </c>
      <c r="AL35" s="60" t="s">
        <v>4377</v>
      </c>
      <c r="AM35" s="60" t="s">
        <v>4377</v>
      </c>
      <c r="AN35" s="60" t="s">
        <v>4377</v>
      </c>
      <c r="AO35" s="60" t="s">
        <v>4377</v>
      </c>
      <c r="AP35" s="61">
        <v>45670.6998148148</v>
      </c>
      <c r="AQ35" s="60" t="s">
        <v>4377</v>
      </c>
      <c r="AR35" s="60" t="s">
        <v>4377</v>
      </c>
      <c r="AS35" s="60" t="s">
        <v>4592</v>
      </c>
      <c r="AT35" s="60" t="s">
        <v>4571</v>
      </c>
      <c r="AU35" s="60" t="s">
        <v>4377</v>
      </c>
      <c r="AV35" s="60" t="s">
        <v>4377</v>
      </c>
      <c r="AW35" s="61">
        <v>45659.5860300926</v>
      </c>
      <c r="AX35" s="60" t="s">
        <v>4377</v>
      </c>
      <c r="AY35" s="60" t="s">
        <v>4559</v>
      </c>
      <c r="AZ35" s="60" t="s">
        <v>4377</v>
      </c>
      <c r="BA35" s="60" t="s">
        <v>4377</v>
      </c>
      <c r="BB35" s="60" t="s">
        <v>4377</v>
      </c>
      <c r="BC35" s="60" t="s">
        <v>1842</v>
      </c>
      <c r="BD35" s="60" t="s">
        <v>4634</v>
      </c>
      <c r="BE35" s="60" t="s">
        <v>4635</v>
      </c>
      <c r="BF35" s="60" t="s">
        <v>4561</v>
      </c>
      <c r="BG35" s="60" t="s">
        <v>4377</v>
      </c>
      <c r="BH35" s="60" t="s">
        <v>4377</v>
      </c>
      <c r="BI35" s="60" t="s">
        <v>2758</v>
      </c>
      <c r="BJ35" s="60" t="s">
        <v>4377</v>
      </c>
      <c r="BK35" s="60" t="s">
        <v>4377</v>
      </c>
      <c r="BL35" s="60">
        <v>3417289</v>
      </c>
      <c r="BM35" s="60" t="s">
        <v>4686</v>
      </c>
      <c r="BN35" s="60">
        <v>755</v>
      </c>
      <c r="BO35" s="60" t="s">
        <v>4377</v>
      </c>
      <c r="BP35" s="60" t="s">
        <v>4377</v>
      </c>
      <c r="BQ35" s="60" t="s">
        <v>4377</v>
      </c>
      <c r="BR35" s="60" t="s">
        <v>4687</v>
      </c>
      <c r="BS35" s="60" t="s">
        <v>1582</v>
      </c>
      <c r="BT35" s="60" t="s">
        <v>4377</v>
      </c>
      <c r="BU35" s="60" t="s">
        <v>4377</v>
      </c>
      <c r="BV35" s="60" t="s">
        <v>4377</v>
      </c>
      <c r="BW35" s="60" t="s">
        <v>4377</v>
      </c>
      <c r="BX35" s="60">
        <v>755</v>
      </c>
      <c r="BY35" s="60" t="s">
        <v>4377</v>
      </c>
      <c r="BZ35" s="60" t="s">
        <v>4377</v>
      </c>
      <c r="CA35" s="60" t="s">
        <v>4545</v>
      </c>
      <c r="CB35" s="60" t="s">
        <v>4377</v>
      </c>
      <c r="CC35" s="60" t="s">
        <v>4377</v>
      </c>
      <c r="CD35" s="60" t="s">
        <v>4377</v>
      </c>
    </row>
    <row r="36" spans="1:82">
      <c r="A36" s="60">
        <v>23455</v>
      </c>
      <c r="B36" s="60" t="s">
        <v>4377</v>
      </c>
      <c r="C36" s="60" t="s">
        <v>4688</v>
      </c>
      <c r="D36" s="60" t="s">
        <v>4377</v>
      </c>
      <c r="E36" s="60" t="s">
        <v>4543</v>
      </c>
      <c r="F36" s="60" t="s">
        <v>4689</v>
      </c>
      <c r="G36" s="60" t="s">
        <v>4545</v>
      </c>
      <c r="H36" s="60" t="s">
        <v>4690</v>
      </c>
      <c r="I36" s="60">
        <v>7000</v>
      </c>
      <c r="J36" s="60" t="s">
        <v>1582</v>
      </c>
      <c r="K36" s="60" t="s">
        <v>4377</v>
      </c>
      <c r="L36" s="60" t="s">
        <v>4543</v>
      </c>
      <c r="M36" s="60" t="s">
        <v>4676</v>
      </c>
      <c r="N36" s="60" t="s">
        <v>4676</v>
      </c>
      <c r="O36" s="60" t="s">
        <v>4548</v>
      </c>
      <c r="P36" s="60" t="s">
        <v>4549</v>
      </c>
      <c r="Q36" s="60" t="s">
        <v>4690</v>
      </c>
      <c r="R36" s="60" t="s">
        <v>4691</v>
      </c>
      <c r="S36" s="60" t="s">
        <v>4692</v>
      </c>
      <c r="T36" s="60" t="s">
        <v>4630</v>
      </c>
      <c r="U36" s="60" t="s">
        <v>4552</v>
      </c>
      <c r="V36" s="60" t="s">
        <v>4374</v>
      </c>
      <c r="W36" s="60" t="s">
        <v>4377</v>
      </c>
      <c r="X36" s="60" t="s">
        <v>4693</v>
      </c>
      <c r="Y36" s="60" t="s">
        <v>4554</v>
      </c>
      <c r="Z36" s="60" t="s">
        <v>4632</v>
      </c>
      <c r="AA36" s="60" t="s">
        <v>4377</v>
      </c>
      <c r="AB36" s="60" t="s">
        <v>4377</v>
      </c>
      <c r="AC36" s="60" t="s">
        <v>4377</v>
      </c>
      <c r="AD36" s="60" t="s">
        <v>4377</v>
      </c>
      <c r="AE36" s="60" t="s">
        <v>4377</v>
      </c>
      <c r="AF36" s="60" t="s">
        <v>4377</v>
      </c>
      <c r="AG36" s="60" t="s">
        <v>4377</v>
      </c>
      <c r="AH36" s="60" t="s">
        <v>4377</v>
      </c>
      <c r="AI36" s="60" t="s">
        <v>4377</v>
      </c>
      <c r="AJ36" s="60" t="s">
        <v>4377</v>
      </c>
      <c r="AK36" s="60" t="s">
        <v>4377</v>
      </c>
      <c r="AL36" s="60" t="s">
        <v>4377</v>
      </c>
      <c r="AM36" s="60" t="s">
        <v>4377</v>
      </c>
      <c r="AN36" s="60" t="s">
        <v>4377</v>
      </c>
      <c r="AO36" s="60" t="s">
        <v>4377</v>
      </c>
      <c r="AP36" s="61">
        <v>45693.4466782407</v>
      </c>
      <c r="AQ36" s="60" t="s">
        <v>4377</v>
      </c>
      <c r="AR36" s="60" t="s">
        <v>4377</v>
      </c>
      <c r="AS36" s="60" t="s">
        <v>4592</v>
      </c>
      <c r="AT36" s="60" t="s">
        <v>4571</v>
      </c>
      <c r="AU36" s="60" t="s">
        <v>4377</v>
      </c>
      <c r="AV36" s="60" t="s">
        <v>4377</v>
      </c>
      <c r="AW36" s="61">
        <v>45659.5830787037</v>
      </c>
      <c r="AX36" s="60" t="s">
        <v>4377</v>
      </c>
      <c r="AY36" s="60" t="s">
        <v>4559</v>
      </c>
      <c r="AZ36" s="60" t="s">
        <v>4377</v>
      </c>
      <c r="BA36" s="60" t="s">
        <v>4377</v>
      </c>
      <c r="BB36" s="60" t="s">
        <v>4377</v>
      </c>
      <c r="BC36" s="60" t="s">
        <v>4694</v>
      </c>
      <c r="BD36" s="60" t="s">
        <v>4695</v>
      </c>
      <c r="BE36" s="60" t="s">
        <v>4696</v>
      </c>
      <c r="BF36" s="60" t="s">
        <v>4561</v>
      </c>
      <c r="BG36" s="60" t="s">
        <v>4377</v>
      </c>
      <c r="BH36" s="60" t="s">
        <v>4377</v>
      </c>
      <c r="BI36" s="60" t="s">
        <v>2758</v>
      </c>
      <c r="BJ36" s="60" t="s">
        <v>4377</v>
      </c>
      <c r="BK36" s="60" t="s">
        <v>4377</v>
      </c>
      <c r="BL36" s="60">
        <v>3206886</v>
      </c>
      <c r="BM36" s="60" t="s">
        <v>4697</v>
      </c>
      <c r="BN36" s="60">
        <v>7000</v>
      </c>
      <c r="BO36" s="60" t="s">
        <v>4377</v>
      </c>
      <c r="BP36" s="60" t="s">
        <v>4377</v>
      </c>
      <c r="BQ36" s="60" t="s">
        <v>4377</v>
      </c>
      <c r="BR36" s="60" t="s">
        <v>4698</v>
      </c>
      <c r="BS36" s="60" t="s">
        <v>1582</v>
      </c>
      <c r="BT36" s="60" t="s">
        <v>4377</v>
      </c>
      <c r="BU36" s="60" t="s">
        <v>4377</v>
      </c>
      <c r="BV36" s="60" t="s">
        <v>4377</v>
      </c>
      <c r="BW36" s="60" t="s">
        <v>4377</v>
      </c>
      <c r="BX36" s="60">
        <v>7000</v>
      </c>
      <c r="BY36" s="60" t="s">
        <v>4377</v>
      </c>
      <c r="BZ36" s="60" t="s">
        <v>4377</v>
      </c>
      <c r="CA36" s="60" t="s">
        <v>4545</v>
      </c>
      <c r="CB36" s="60" t="s">
        <v>4377</v>
      </c>
      <c r="CC36" s="60" t="s">
        <v>4377</v>
      </c>
      <c r="CD36" s="60" t="s">
        <v>4377</v>
      </c>
    </row>
    <row r="37" spans="1:82">
      <c r="A37" s="60">
        <v>23504</v>
      </c>
      <c r="B37" s="60" t="s">
        <v>4377</v>
      </c>
      <c r="C37" s="60" t="s">
        <v>4699</v>
      </c>
      <c r="D37" s="60" t="s">
        <v>4377</v>
      </c>
      <c r="E37" s="60" t="s">
        <v>4543</v>
      </c>
      <c r="F37" s="60" t="s">
        <v>4700</v>
      </c>
      <c r="G37" s="60" t="s">
        <v>4545</v>
      </c>
      <c r="H37" s="60" t="s">
        <v>2835</v>
      </c>
      <c r="I37" s="60">
        <v>3485.05</v>
      </c>
      <c r="J37" s="60" t="s">
        <v>1582</v>
      </c>
      <c r="K37" s="60" t="s">
        <v>4377</v>
      </c>
      <c r="L37" s="60" t="s">
        <v>4543</v>
      </c>
      <c r="M37" s="60" t="s">
        <v>4701</v>
      </c>
      <c r="N37" s="60" t="s">
        <v>4701</v>
      </c>
      <c r="O37" s="60" t="s">
        <v>4548</v>
      </c>
      <c r="P37" s="60" t="s">
        <v>4549</v>
      </c>
      <c r="Q37" s="60" t="s">
        <v>2835</v>
      </c>
      <c r="R37" s="60" t="s">
        <v>4677</v>
      </c>
      <c r="S37" s="60" t="s">
        <v>4678</v>
      </c>
      <c r="T37" s="60" t="s">
        <v>4630</v>
      </c>
      <c r="U37" s="60" t="s">
        <v>4552</v>
      </c>
      <c r="V37" s="60" t="s">
        <v>4374</v>
      </c>
      <c r="W37" s="60" t="s">
        <v>4377</v>
      </c>
      <c r="X37" s="60" t="s">
        <v>4702</v>
      </c>
      <c r="Y37" s="60" t="s">
        <v>4554</v>
      </c>
      <c r="Z37" s="60" t="s">
        <v>4669</v>
      </c>
      <c r="AA37" s="60" t="s">
        <v>4377</v>
      </c>
      <c r="AB37" s="60" t="s">
        <v>4377</v>
      </c>
      <c r="AC37" s="60" t="s">
        <v>4377</v>
      </c>
      <c r="AD37" s="60" t="s">
        <v>4377</v>
      </c>
      <c r="AE37" s="60" t="s">
        <v>4377</v>
      </c>
      <c r="AF37" s="60" t="s">
        <v>4377</v>
      </c>
      <c r="AG37" s="60" t="s">
        <v>4377</v>
      </c>
      <c r="AH37" s="60" t="s">
        <v>4377</v>
      </c>
      <c r="AI37" s="60" t="s">
        <v>4377</v>
      </c>
      <c r="AJ37" s="60" t="s">
        <v>4377</v>
      </c>
      <c r="AK37" s="60" t="s">
        <v>4377</v>
      </c>
      <c r="AL37" s="60" t="s">
        <v>4377</v>
      </c>
      <c r="AM37" s="60" t="s">
        <v>4377</v>
      </c>
      <c r="AN37" s="60" t="s">
        <v>4377</v>
      </c>
      <c r="AO37" s="60" t="s">
        <v>4377</v>
      </c>
      <c r="AP37" s="61">
        <v>45670.699837963</v>
      </c>
      <c r="AQ37" s="60" t="s">
        <v>4377</v>
      </c>
      <c r="AR37" s="60" t="s">
        <v>4377</v>
      </c>
      <c r="AS37" s="60" t="s">
        <v>4592</v>
      </c>
      <c r="AT37" s="60" t="s">
        <v>4571</v>
      </c>
      <c r="AU37" s="60" t="s">
        <v>4377</v>
      </c>
      <c r="AV37" s="60" t="s">
        <v>4377</v>
      </c>
      <c r="AW37" s="61">
        <v>45659.5825694444</v>
      </c>
      <c r="AX37" s="60" t="s">
        <v>4377</v>
      </c>
      <c r="AY37" s="60" t="s">
        <v>4559</v>
      </c>
      <c r="AZ37" s="60" t="s">
        <v>4377</v>
      </c>
      <c r="BA37" s="60" t="s">
        <v>4377</v>
      </c>
      <c r="BB37" s="60" t="s">
        <v>4377</v>
      </c>
      <c r="BC37" s="60" t="s">
        <v>4703</v>
      </c>
      <c r="BD37" s="60" t="s">
        <v>4634</v>
      </c>
      <c r="BE37" s="60" t="s">
        <v>4680</v>
      </c>
      <c r="BF37" s="60" t="s">
        <v>4561</v>
      </c>
      <c r="BG37" s="60" t="s">
        <v>4377</v>
      </c>
      <c r="BH37" s="60" t="s">
        <v>4377</v>
      </c>
      <c r="BI37" s="60" t="s">
        <v>2758</v>
      </c>
      <c r="BJ37" s="60" t="s">
        <v>4377</v>
      </c>
      <c r="BK37" s="60" t="s">
        <v>4377</v>
      </c>
      <c r="BL37" s="60">
        <v>3376530</v>
      </c>
      <c r="BM37" s="60" t="s">
        <v>4704</v>
      </c>
      <c r="BN37" s="60">
        <v>50</v>
      </c>
      <c r="BO37" s="60" t="s">
        <v>4377</v>
      </c>
      <c r="BP37" s="60" t="s">
        <v>4377</v>
      </c>
      <c r="BQ37" s="60" t="s">
        <v>4377</v>
      </c>
      <c r="BR37" s="60" t="s">
        <v>4705</v>
      </c>
      <c r="BS37" s="60" t="s">
        <v>1582</v>
      </c>
      <c r="BT37" s="60" t="s">
        <v>4377</v>
      </c>
      <c r="BU37" s="60" t="s">
        <v>4377</v>
      </c>
      <c r="BV37" s="60" t="s">
        <v>4377</v>
      </c>
      <c r="BW37" s="60" t="s">
        <v>4377</v>
      </c>
      <c r="BX37" s="60">
        <v>50</v>
      </c>
      <c r="BY37" s="60" t="s">
        <v>4377</v>
      </c>
      <c r="BZ37" s="60" t="s">
        <v>4377</v>
      </c>
      <c r="CA37" s="60" t="s">
        <v>4545</v>
      </c>
      <c r="CB37" s="60" t="s">
        <v>4377</v>
      </c>
      <c r="CC37" s="60" t="s">
        <v>4377</v>
      </c>
      <c r="CD37" s="60" t="s">
        <v>4377</v>
      </c>
    </row>
    <row r="38" spans="1:82">
      <c r="A38" s="60">
        <v>23505</v>
      </c>
      <c r="B38" s="60" t="s">
        <v>4377</v>
      </c>
      <c r="C38" s="60" t="s">
        <v>4699</v>
      </c>
      <c r="D38" s="60" t="s">
        <v>4377</v>
      </c>
      <c r="E38" s="60" t="s">
        <v>4543</v>
      </c>
      <c r="F38" s="60" t="s">
        <v>4700</v>
      </c>
      <c r="G38" s="60" t="s">
        <v>4545</v>
      </c>
      <c r="H38" s="60" t="s">
        <v>2835</v>
      </c>
      <c r="I38" s="60">
        <v>3485.05</v>
      </c>
      <c r="J38" s="60" t="s">
        <v>1582</v>
      </c>
      <c r="K38" s="60" t="s">
        <v>4377</v>
      </c>
      <c r="L38" s="60" t="s">
        <v>4543</v>
      </c>
      <c r="M38" s="60" t="s">
        <v>4701</v>
      </c>
      <c r="N38" s="60" t="s">
        <v>4701</v>
      </c>
      <c r="O38" s="60" t="s">
        <v>4548</v>
      </c>
      <c r="P38" s="60" t="s">
        <v>4549</v>
      </c>
      <c r="Q38" s="60" t="s">
        <v>2835</v>
      </c>
      <c r="R38" s="60" t="s">
        <v>4677</v>
      </c>
      <c r="S38" s="60" t="s">
        <v>4678</v>
      </c>
      <c r="T38" s="60" t="s">
        <v>4630</v>
      </c>
      <c r="U38" s="60" t="s">
        <v>4552</v>
      </c>
      <c r="V38" s="60" t="s">
        <v>4374</v>
      </c>
      <c r="W38" s="60" t="s">
        <v>4377</v>
      </c>
      <c r="X38" s="60" t="s">
        <v>4702</v>
      </c>
      <c r="Y38" s="60" t="s">
        <v>4554</v>
      </c>
      <c r="Z38" s="60" t="s">
        <v>4669</v>
      </c>
      <c r="AA38" s="60" t="s">
        <v>4377</v>
      </c>
      <c r="AB38" s="60" t="s">
        <v>4377</v>
      </c>
      <c r="AC38" s="60" t="s">
        <v>4377</v>
      </c>
      <c r="AD38" s="60" t="s">
        <v>4377</v>
      </c>
      <c r="AE38" s="60" t="s">
        <v>4377</v>
      </c>
      <c r="AF38" s="60" t="s">
        <v>4377</v>
      </c>
      <c r="AG38" s="60" t="s">
        <v>4377</v>
      </c>
      <c r="AH38" s="60" t="s">
        <v>4377</v>
      </c>
      <c r="AI38" s="60" t="s">
        <v>4377</v>
      </c>
      <c r="AJ38" s="60" t="s">
        <v>4377</v>
      </c>
      <c r="AK38" s="60" t="s">
        <v>4377</v>
      </c>
      <c r="AL38" s="60" t="s">
        <v>4377</v>
      </c>
      <c r="AM38" s="60" t="s">
        <v>4377</v>
      </c>
      <c r="AN38" s="60" t="s">
        <v>4377</v>
      </c>
      <c r="AO38" s="60" t="s">
        <v>4377</v>
      </c>
      <c r="AP38" s="61">
        <v>45670.699837963</v>
      </c>
      <c r="AQ38" s="60" t="s">
        <v>4377</v>
      </c>
      <c r="AR38" s="60" t="s">
        <v>4377</v>
      </c>
      <c r="AS38" s="60" t="s">
        <v>4592</v>
      </c>
      <c r="AT38" s="60" t="s">
        <v>4571</v>
      </c>
      <c r="AU38" s="60" t="s">
        <v>4377</v>
      </c>
      <c r="AV38" s="60" t="s">
        <v>4377</v>
      </c>
      <c r="AW38" s="61">
        <v>45659.5825694444</v>
      </c>
      <c r="AX38" s="60" t="s">
        <v>4377</v>
      </c>
      <c r="AY38" s="60" t="s">
        <v>4559</v>
      </c>
      <c r="AZ38" s="60" t="s">
        <v>4377</v>
      </c>
      <c r="BA38" s="60" t="s">
        <v>4377</v>
      </c>
      <c r="BB38" s="60" t="s">
        <v>4377</v>
      </c>
      <c r="BC38" s="60" t="s">
        <v>4703</v>
      </c>
      <c r="BD38" s="60" t="s">
        <v>4634</v>
      </c>
      <c r="BE38" s="60" t="s">
        <v>4680</v>
      </c>
      <c r="BF38" s="60" t="s">
        <v>4561</v>
      </c>
      <c r="BG38" s="60" t="s">
        <v>4377</v>
      </c>
      <c r="BH38" s="60" t="s">
        <v>4377</v>
      </c>
      <c r="BI38" s="60" t="s">
        <v>2758</v>
      </c>
      <c r="BJ38" s="60" t="s">
        <v>4377</v>
      </c>
      <c r="BK38" s="60" t="s">
        <v>4377</v>
      </c>
      <c r="BL38" s="60">
        <v>3376532</v>
      </c>
      <c r="BM38" s="60" t="s">
        <v>4704</v>
      </c>
      <c r="BN38" s="60">
        <v>189.45</v>
      </c>
      <c r="BO38" s="60" t="s">
        <v>4377</v>
      </c>
      <c r="BP38" s="60" t="s">
        <v>4377</v>
      </c>
      <c r="BQ38" s="60" t="s">
        <v>4377</v>
      </c>
      <c r="BR38" s="60" t="s">
        <v>4705</v>
      </c>
      <c r="BS38" s="60" t="s">
        <v>1582</v>
      </c>
      <c r="BT38" s="60" t="s">
        <v>4377</v>
      </c>
      <c r="BU38" s="60" t="s">
        <v>4377</v>
      </c>
      <c r="BV38" s="60" t="s">
        <v>4377</v>
      </c>
      <c r="BW38" s="60" t="s">
        <v>4377</v>
      </c>
      <c r="BX38" s="60">
        <v>189.45</v>
      </c>
      <c r="BY38" s="60" t="s">
        <v>4377</v>
      </c>
      <c r="BZ38" s="60" t="s">
        <v>4377</v>
      </c>
      <c r="CA38" s="60" t="s">
        <v>4545</v>
      </c>
      <c r="CB38" s="60" t="s">
        <v>4377</v>
      </c>
      <c r="CC38" s="60" t="s">
        <v>4377</v>
      </c>
      <c r="CD38" s="60" t="s">
        <v>4377</v>
      </c>
    </row>
    <row r="39" spans="1:82">
      <c r="A39" s="60">
        <v>23506</v>
      </c>
      <c r="B39" s="60" t="s">
        <v>4377</v>
      </c>
      <c r="C39" s="60" t="s">
        <v>4699</v>
      </c>
      <c r="D39" s="60" t="s">
        <v>4377</v>
      </c>
      <c r="E39" s="60" t="s">
        <v>4543</v>
      </c>
      <c r="F39" s="60" t="s">
        <v>4700</v>
      </c>
      <c r="G39" s="60" t="s">
        <v>4545</v>
      </c>
      <c r="H39" s="60" t="s">
        <v>2835</v>
      </c>
      <c r="I39" s="60">
        <v>3485.05</v>
      </c>
      <c r="J39" s="60" t="s">
        <v>1582</v>
      </c>
      <c r="K39" s="60" t="s">
        <v>4377</v>
      </c>
      <c r="L39" s="60" t="s">
        <v>4543</v>
      </c>
      <c r="M39" s="60" t="s">
        <v>4701</v>
      </c>
      <c r="N39" s="60" t="s">
        <v>4701</v>
      </c>
      <c r="O39" s="60" t="s">
        <v>4548</v>
      </c>
      <c r="P39" s="60" t="s">
        <v>4549</v>
      </c>
      <c r="Q39" s="60" t="s">
        <v>2835</v>
      </c>
      <c r="R39" s="60" t="s">
        <v>4677</v>
      </c>
      <c r="S39" s="60" t="s">
        <v>4678</v>
      </c>
      <c r="T39" s="60" t="s">
        <v>4630</v>
      </c>
      <c r="U39" s="60" t="s">
        <v>4552</v>
      </c>
      <c r="V39" s="60" t="s">
        <v>4374</v>
      </c>
      <c r="W39" s="60" t="s">
        <v>4377</v>
      </c>
      <c r="X39" s="60" t="s">
        <v>4702</v>
      </c>
      <c r="Y39" s="60" t="s">
        <v>4554</v>
      </c>
      <c r="Z39" s="60" t="s">
        <v>4669</v>
      </c>
      <c r="AA39" s="60" t="s">
        <v>4377</v>
      </c>
      <c r="AB39" s="60" t="s">
        <v>4377</v>
      </c>
      <c r="AC39" s="60" t="s">
        <v>4377</v>
      </c>
      <c r="AD39" s="60" t="s">
        <v>4377</v>
      </c>
      <c r="AE39" s="60" t="s">
        <v>4377</v>
      </c>
      <c r="AF39" s="60" t="s">
        <v>4377</v>
      </c>
      <c r="AG39" s="60" t="s">
        <v>4377</v>
      </c>
      <c r="AH39" s="60" t="s">
        <v>4377</v>
      </c>
      <c r="AI39" s="60" t="s">
        <v>4377</v>
      </c>
      <c r="AJ39" s="60" t="s">
        <v>4377</v>
      </c>
      <c r="AK39" s="60" t="s">
        <v>4377</v>
      </c>
      <c r="AL39" s="60" t="s">
        <v>4377</v>
      </c>
      <c r="AM39" s="60" t="s">
        <v>4377</v>
      </c>
      <c r="AN39" s="60" t="s">
        <v>4377</v>
      </c>
      <c r="AO39" s="60" t="s">
        <v>4377</v>
      </c>
      <c r="AP39" s="61">
        <v>45670.699837963</v>
      </c>
      <c r="AQ39" s="60" t="s">
        <v>4377</v>
      </c>
      <c r="AR39" s="60" t="s">
        <v>4377</v>
      </c>
      <c r="AS39" s="60" t="s">
        <v>4592</v>
      </c>
      <c r="AT39" s="60" t="s">
        <v>4571</v>
      </c>
      <c r="AU39" s="60" t="s">
        <v>4377</v>
      </c>
      <c r="AV39" s="60" t="s">
        <v>4377</v>
      </c>
      <c r="AW39" s="61">
        <v>45659.5825694444</v>
      </c>
      <c r="AX39" s="60" t="s">
        <v>4377</v>
      </c>
      <c r="AY39" s="60" t="s">
        <v>4559</v>
      </c>
      <c r="AZ39" s="60" t="s">
        <v>4377</v>
      </c>
      <c r="BA39" s="60" t="s">
        <v>4377</v>
      </c>
      <c r="BB39" s="60" t="s">
        <v>4377</v>
      </c>
      <c r="BC39" s="60" t="s">
        <v>4706</v>
      </c>
      <c r="BD39" s="60" t="s">
        <v>4634</v>
      </c>
      <c r="BE39" s="60" t="s">
        <v>4680</v>
      </c>
      <c r="BF39" s="60" t="s">
        <v>4561</v>
      </c>
      <c r="BG39" s="60" t="s">
        <v>4377</v>
      </c>
      <c r="BH39" s="60" t="s">
        <v>4377</v>
      </c>
      <c r="BI39" s="60" t="s">
        <v>2758</v>
      </c>
      <c r="BJ39" s="60" t="s">
        <v>4377</v>
      </c>
      <c r="BK39" s="60" t="s">
        <v>4377</v>
      </c>
      <c r="BL39" s="60">
        <v>3376531</v>
      </c>
      <c r="BM39" s="60" t="s">
        <v>4704</v>
      </c>
      <c r="BN39" s="60">
        <v>307.12</v>
      </c>
      <c r="BO39" s="60" t="s">
        <v>4377</v>
      </c>
      <c r="BP39" s="60" t="s">
        <v>4377</v>
      </c>
      <c r="BQ39" s="60" t="s">
        <v>4377</v>
      </c>
      <c r="BR39" s="60" t="s">
        <v>4705</v>
      </c>
      <c r="BS39" s="60" t="s">
        <v>1582</v>
      </c>
      <c r="BT39" s="60" t="s">
        <v>4377</v>
      </c>
      <c r="BU39" s="60" t="s">
        <v>4377</v>
      </c>
      <c r="BV39" s="60" t="s">
        <v>4377</v>
      </c>
      <c r="BW39" s="60" t="s">
        <v>4377</v>
      </c>
      <c r="BX39" s="60">
        <v>307.12</v>
      </c>
      <c r="BY39" s="60" t="s">
        <v>4377</v>
      </c>
      <c r="BZ39" s="60" t="s">
        <v>4377</v>
      </c>
      <c r="CA39" s="60" t="s">
        <v>4545</v>
      </c>
      <c r="CB39" s="60" t="s">
        <v>4377</v>
      </c>
      <c r="CC39" s="60" t="s">
        <v>4377</v>
      </c>
      <c r="CD39" s="60" t="s">
        <v>4377</v>
      </c>
    </row>
    <row r="40" spans="1:82">
      <c r="A40" s="60">
        <v>23507</v>
      </c>
      <c r="B40" s="60" t="s">
        <v>4377</v>
      </c>
      <c r="C40" s="60" t="s">
        <v>4699</v>
      </c>
      <c r="D40" s="60" t="s">
        <v>4377</v>
      </c>
      <c r="E40" s="60" t="s">
        <v>4543</v>
      </c>
      <c r="F40" s="60" t="s">
        <v>4700</v>
      </c>
      <c r="G40" s="60" t="s">
        <v>4545</v>
      </c>
      <c r="H40" s="60" t="s">
        <v>2835</v>
      </c>
      <c r="I40" s="60">
        <v>3485.05</v>
      </c>
      <c r="J40" s="60" t="s">
        <v>1582</v>
      </c>
      <c r="K40" s="60" t="s">
        <v>4377</v>
      </c>
      <c r="L40" s="60" t="s">
        <v>4543</v>
      </c>
      <c r="M40" s="60" t="s">
        <v>4701</v>
      </c>
      <c r="N40" s="60" t="s">
        <v>4701</v>
      </c>
      <c r="O40" s="60" t="s">
        <v>4548</v>
      </c>
      <c r="P40" s="60" t="s">
        <v>4549</v>
      </c>
      <c r="Q40" s="60" t="s">
        <v>2835</v>
      </c>
      <c r="R40" s="60" t="s">
        <v>4677</v>
      </c>
      <c r="S40" s="60" t="s">
        <v>4678</v>
      </c>
      <c r="T40" s="60" t="s">
        <v>4630</v>
      </c>
      <c r="U40" s="60" t="s">
        <v>4552</v>
      </c>
      <c r="V40" s="60" t="s">
        <v>4374</v>
      </c>
      <c r="W40" s="60" t="s">
        <v>4377</v>
      </c>
      <c r="X40" s="60" t="s">
        <v>4702</v>
      </c>
      <c r="Y40" s="60" t="s">
        <v>4554</v>
      </c>
      <c r="Z40" s="60" t="s">
        <v>4669</v>
      </c>
      <c r="AA40" s="60" t="s">
        <v>4377</v>
      </c>
      <c r="AB40" s="60" t="s">
        <v>4377</v>
      </c>
      <c r="AC40" s="60" t="s">
        <v>4377</v>
      </c>
      <c r="AD40" s="60" t="s">
        <v>4377</v>
      </c>
      <c r="AE40" s="60" t="s">
        <v>4377</v>
      </c>
      <c r="AF40" s="60" t="s">
        <v>4377</v>
      </c>
      <c r="AG40" s="60" t="s">
        <v>4377</v>
      </c>
      <c r="AH40" s="60" t="s">
        <v>4377</v>
      </c>
      <c r="AI40" s="60" t="s">
        <v>4377</v>
      </c>
      <c r="AJ40" s="60" t="s">
        <v>4377</v>
      </c>
      <c r="AK40" s="60" t="s">
        <v>4377</v>
      </c>
      <c r="AL40" s="60" t="s">
        <v>4377</v>
      </c>
      <c r="AM40" s="60" t="s">
        <v>4377</v>
      </c>
      <c r="AN40" s="60" t="s">
        <v>4377</v>
      </c>
      <c r="AO40" s="60" t="s">
        <v>4377</v>
      </c>
      <c r="AP40" s="61">
        <v>45670.699837963</v>
      </c>
      <c r="AQ40" s="60" t="s">
        <v>4377</v>
      </c>
      <c r="AR40" s="60" t="s">
        <v>4377</v>
      </c>
      <c r="AS40" s="60" t="s">
        <v>4592</v>
      </c>
      <c r="AT40" s="60" t="s">
        <v>4571</v>
      </c>
      <c r="AU40" s="60" t="s">
        <v>4377</v>
      </c>
      <c r="AV40" s="60" t="s">
        <v>4377</v>
      </c>
      <c r="AW40" s="61">
        <v>45659.5825694444</v>
      </c>
      <c r="AX40" s="60" t="s">
        <v>4377</v>
      </c>
      <c r="AY40" s="60" t="s">
        <v>4559</v>
      </c>
      <c r="AZ40" s="60" t="s">
        <v>4377</v>
      </c>
      <c r="BA40" s="60" t="s">
        <v>4377</v>
      </c>
      <c r="BB40" s="60" t="s">
        <v>4377</v>
      </c>
      <c r="BC40" s="60" t="s">
        <v>4706</v>
      </c>
      <c r="BD40" s="60" t="s">
        <v>4634</v>
      </c>
      <c r="BE40" s="60" t="s">
        <v>4680</v>
      </c>
      <c r="BF40" s="60" t="s">
        <v>4561</v>
      </c>
      <c r="BG40" s="60" t="s">
        <v>4377</v>
      </c>
      <c r="BH40" s="60" t="s">
        <v>4377</v>
      </c>
      <c r="BI40" s="60" t="s">
        <v>2758</v>
      </c>
      <c r="BJ40" s="60" t="s">
        <v>4377</v>
      </c>
      <c r="BK40" s="60" t="s">
        <v>4377</v>
      </c>
      <c r="BL40" s="60">
        <v>3376533</v>
      </c>
      <c r="BM40" s="60" t="s">
        <v>4704</v>
      </c>
      <c r="BN40" s="60">
        <v>215.6</v>
      </c>
      <c r="BO40" s="60" t="s">
        <v>4377</v>
      </c>
      <c r="BP40" s="60" t="s">
        <v>4377</v>
      </c>
      <c r="BQ40" s="60" t="s">
        <v>4377</v>
      </c>
      <c r="BR40" s="60" t="s">
        <v>4705</v>
      </c>
      <c r="BS40" s="60" t="s">
        <v>1582</v>
      </c>
      <c r="BT40" s="60" t="s">
        <v>4377</v>
      </c>
      <c r="BU40" s="60" t="s">
        <v>4377</v>
      </c>
      <c r="BV40" s="60" t="s">
        <v>4377</v>
      </c>
      <c r="BW40" s="60" t="s">
        <v>4377</v>
      </c>
      <c r="BX40" s="60">
        <v>215.6</v>
      </c>
      <c r="BY40" s="60" t="s">
        <v>4377</v>
      </c>
      <c r="BZ40" s="60" t="s">
        <v>4377</v>
      </c>
      <c r="CA40" s="60" t="s">
        <v>4545</v>
      </c>
      <c r="CB40" s="60" t="s">
        <v>4377</v>
      </c>
      <c r="CC40" s="60" t="s">
        <v>4377</v>
      </c>
      <c r="CD40" s="60" t="s">
        <v>4377</v>
      </c>
    </row>
    <row r="41" spans="1:82">
      <c r="A41" s="60">
        <v>23508</v>
      </c>
      <c r="B41" s="60" t="s">
        <v>4377</v>
      </c>
      <c r="C41" s="60" t="s">
        <v>4699</v>
      </c>
      <c r="D41" s="60" t="s">
        <v>4377</v>
      </c>
      <c r="E41" s="60" t="s">
        <v>4543</v>
      </c>
      <c r="F41" s="60" t="s">
        <v>4700</v>
      </c>
      <c r="G41" s="60" t="s">
        <v>4545</v>
      </c>
      <c r="H41" s="60" t="s">
        <v>2835</v>
      </c>
      <c r="I41" s="60">
        <v>3485.05</v>
      </c>
      <c r="J41" s="60" t="s">
        <v>1582</v>
      </c>
      <c r="K41" s="60" t="s">
        <v>4377</v>
      </c>
      <c r="L41" s="60" t="s">
        <v>4543</v>
      </c>
      <c r="M41" s="60" t="s">
        <v>4701</v>
      </c>
      <c r="N41" s="60" t="s">
        <v>4701</v>
      </c>
      <c r="O41" s="60" t="s">
        <v>4548</v>
      </c>
      <c r="P41" s="60" t="s">
        <v>4549</v>
      </c>
      <c r="Q41" s="60" t="s">
        <v>2835</v>
      </c>
      <c r="R41" s="60" t="s">
        <v>4677</v>
      </c>
      <c r="S41" s="60" t="s">
        <v>4678</v>
      </c>
      <c r="T41" s="60" t="s">
        <v>4630</v>
      </c>
      <c r="U41" s="60" t="s">
        <v>4552</v>
      </c>
      <c r="V41" s="60" t="s">
        <v>4374</v>
      </c>
      <c r="W41" s="60" t="s">
        <v>4377</v>
      </c>
      <c r="X41" s="60" t="s">
        <v>4702</v>
      </c>
      <c r="Y41" s="60" t="s">
        <v>4554</v>
      </c>
      <c r="Z41" s="60" t="s">
        <v>4669</v>
      </c>
      <c r="AA41" s="60" t="s">
        <v>4377</v>
      </c>
      <c r="AB41" s="60" t="s">
        <v>4377</v>
      </c>
      <c r="AC41" s="60" t="s">
        <v>4377</v>
      </c>
      <c r="AD41" s="60" t="s">
        <v>4377</v>
      </c>
      <c r="AE41" s="60" t="s">
        <v>4377</v>
      </c>
      <c r="AF41" s="60" t="s">
        <v>4377</v>
      </c>
      <c r="AG41" s="60" t="s">
        <v>4377</v>
      </c>
      <c r="AH41" s="60" t="s">
        <v>4377</v>
      </c>
      <c r="AI41" s="60" t="s">
        <v>4377</v>
      </c>
      <c r="AJ41" s="60" t="s">
        <v>4377</v>
      </c>
      <c r="AK41" s="60" t="s">
        <v>4377</v>
      </c>
      <c r="AL41" s="60" t="s">
        <v>4377</v>
      </c>
      <c r="AM41" s="60" t="s">
        <v>4377</v>
      </c>
      <c r="AN41" s="60" t="s">
        <v>4377</v>
      </c>
      <c r="AO41" s="60" t="s">
        <v>4377</v>
      </c>
      <c r="AP41" s="61">
        <v>45670.699837963</v>
      </c>
      <c r="AQ41" s="60" t="s">
        <v>4377</v>
      </c>
      <c r="AR41" s="60" t="s">
        <v>4377</v>
      </c>
      <c r="AS41" s="60" t="s">
        <v>4592</v>
      </c>
      <c r="AT41" s="60" t="s">
        <v>4571</v>
      </c>
      <c r="AU41" s="60" t="s">
        <v>4377</v>
      </c>
      <c r="AV41" s="60" t="s">
        <v>4377</v>
      </c>
      <c r="AW41" s="61">
        <v>45659.5825694444</v>
      </c>
      <c r="AX41" s="60" t="s">
        <v>4377</v>
      </c>
      <c r="AY41" s="60" t="s">
        <v>4559</v>
      </c>
      <c r="AZ41" s="60" t="s">
        <v>4377</v>
      </c>
      <c r="BA41" s="60" t="s">
        <v>4377</v>
      </c>
      <c r="BB41" s="60" t="s">
        <v>4377</v>
      </c>
      <c r="BC41" s="60" t="s">
        <v>4706</v>
      </c>
      <c r="BD41" s="60" t="s">
        <v>4634</v>
      </c>
      <c r="BE41" s="60" t="s">
        <v>4680</v>
      </c>
      <c r="BF41" s="60" t="s">
        <v>4561</v>
      </c>
      <c r="BG41" s="60" t="s">
        <v>4377</v>
      </c>
      <c r="BH41" s="60" t="s">
        <v>4377</v>
      </c>
      <c r="BI41" s="60" t="s">
        <v>2758</v>
      </c>
      <c r="BJ41" s="60" t="s">
        <v>4377</v>
      </c>
      <c r="BK41" s="60" t="s">
        <v>4377</v>
      </c>
      <c r="BL41" s="60">
        <v>3376534</v>
      </c>
      <c r="BM41" s="60" t="s">
        <v>4704</v>
      </c>
      <c r="BN41" s="60">
        <v>485.67</v>
      </c>
      <c r="BO41" s="60" t="s">
        <v>4377</v>
      </c>
      <c r="BP41" s="60" t="s">
        <v>4377</v>
      </c>
      <c r="BQ41" s="60" t="s">
        <v>4377</v>
      </c>
      <c r="BR41" s="60" t="s">
        <v>4705</v>
      </c>
      <c r="BS41" s="60" t="s">
        <v>1582</v>
      </c>
      <c r="BT41" s="60" t="s">
        <v>4377</v>
      </c>
      <c r="BU41" s="60" t="s">
        <v>4377</v>
      </c>
      <c r="BV41" s="60" t="s">
        <v>4377</v>
      </c>
      <c r="BW41" s="60" t="s">
        <v>4377</v>
      </c>
      <c r="BX41" s="60">
        <v>485.67</v>
      </c>
      <c r="BY41" s="60" t="s">
        <v>4377</v>
      </c>
      <c r="BZ41" s="60" t="s">
        <v>4377</v>
      </c>
      <c r="CA41" s="60" t="s">
        <v>4545</v>
      </c>
      <c r="CB41" s="60" t="s">
        <v>4377</v>
      </c>
      <c r="CC41" s="60" t="s">
        <v>4377</v>
      </c>
      <c r="CD41" s="60" t="s">
        <v>4377</v>
      </c>
    </row>
    <row r="42" spans="1:82">
      <c r="A42" s="60">
        <v>23509</v>
      </c>
      <c r="B42" s="60" t="s">
        <v>4377</v>
      </c>
      <c r="C42" s="60" t="s">
        <v>4699</v>
      </c>
      <c r="D42" s="60" t="s">
        <v>4377</v>
      </c>
      <c r="E42" s="60" t="s">
        <v>4543</v>
      </c>
      <c r="F42" s="60" t="s">
        <v>4700</v>
      </c>
      <c r="G42" s="60" t="s">
        <v>4545</v>
      </c>
      <c r="H42" s="60" t="s">
        <v>2835</v>
      </c>
      <c r="I42" s="60">
        <v>3485.05</v>
      </c>
      <c r="J42" s="60" t="s">
        <v>1582</v>
      </c>
      <c r="K42" s="60" t="s">
        <v>4377</v>
      </c>
      <c r="L42" s="60" t="s">
        <v>4543</v>
      </c>
      <c r="M42" s="60" t="s">
        <v>4701</v>
      </c>
      <c r="N42" s="60" t="s">
        <v>4701</v>
      </c>
      <c r="O42" s="60" t="s">
        <v>4548</v>
      </c>
      <c r="P42" s="60" t="s">
        <v>4549</v>
      </c>
      <c r="Q42" s="60" t="s">
        <v>2835</v>
      </c>
      <c r="R42" s="60" t="s">
        <v>4677</v>
      </c>
      <c r="S42" s="60" t="s">
        <v>4678</v>
      </c>
      <c r="T42" s="60" t="s">
        <v>4630</v>
      </c>
      <c r="U42" s="60" t="s">
        <v>4552</v>
      </c>
      <c r="V42" s="60" t="s">
        <v>4374</v>
      </c>
      <c r="W42" s="60" t="s">
        <v>4377</v>
      </c>
      <c r="X42" s="60" t="s">
        <v>4702</v>
      </c>
      <c r="Y42" s="60" t="s">
        <v>4554</v>
      </c>
      <c r="Z42" s="60" t="s">
        <v>4669</v>
      </c>
      <c r="AA42" s="60" t="s">
        <v>4377</v>
      </c>
      <c r="AB42" s="60" t="s">
        <v>4377</v>
      </c>
      <c r="AC42" s="60" t="s">
        <v>4377</v>
      </c>
      <c r="AD42" s="60" t="s">
        <v>4377</v>
      </c>
      <c r="AE42" s="60" t="s">
        <v>4377</v>
      </c>
      <c r="AF42" s="60" t="s">
        <v>4377</v>
      </c>
      <c r="AG42" s="60" t="s">
        <v>4377</v>
      </c>
      <c r="AH42" s="60" t="s">
        <v>4377</v>
      </c>
      <c r="AI42" s="60" t="s">
        <v>4377</v>
      </c>
      <c r="AJ42" s="60" t="s">
        <v>4377</v>
      </c>
      <c r="AK42" s="60" t="s">
        <v>4377</v>
      </c>
      <c r="AL42" s="60" t="s">
        <v>4377</v>
      </c>
      <c r="AM42" s="60" t="s">
        <v>4377</v>
      </c>
      <c r="AN42" s="60" t="s">
        <v>4377</v>
      </c>
      <c r="AO42" s="60" t="s">
        <v>4377</v>
      </c>
      <c r="AP42" s="61">
        <v>45670.699837963</v>
      </c>
      <c r="AQ42" s="60" t="s">
        <v>4377</v>
      </c>
      <c r="AR42" s="60" t="s">
        <v>4377</v>
      </c>
      <c r="AS42" s="60" t="s">
        <v>4592</v>
      </c>
      <c r="AT42" s="60" t="s">
        <v>4571</v>
      </c>
      <c r="AU42" s="60" t="s">
        <v>4377</v>
      </c>
      <c r="AV42" s="60" t="s">
        <v>4377</v>
      </c>
      <c r="AW42" s="61">
        <v>45659.5825694444</v>
      </c>
      <c r="AX42" s="60" t="s">
        <v>4377</v>
      </c>
      <c r="AY42" s="60" t="s">
        <v>4559</v>
      </c>
      <c r="AZ42" s="60" t="s">
        <v>4377</v>
      </c>
      <c r="BA42" s="60" t="s">
        <v>4377</v>
      </c>
      <c r="BB42" s="60" t="s">
        <v>4377</v>
      </c>
      <c r="BC42" s="60" t="s">
        <v>4706</v>
      </c>
      <c r="BD42" s="60" t="s">
        <v>4634</v>
      </c>
      <c r="BE42" s="60" t="s">
        <v>4680</v>
      </c>
      <c r="BF42" s="60" t="s">
        <v>4561</v>
      </c>
      <c r="BG42" s="60" t="s">
        <v>4377</v>
      </c>
      <c r="BH42" s="60" t="s">
        <v>4377</v>
      </c>
      <c r="BI42" s="60" t="s">
        <v>2758</v>
      </c>
      <c r="BJ42" s="60" t="s">
        <v>4377</v>
      </c>
      <c r="BK42" s="60" t="s">
        <v>4377</v>
      </c>
      <c r="BL42" s="60">
        <v>3376537</v>
      </c>
      <c r="BM42" s="60" t="s">
        <v>4704</v>
      </c>
      <c r="BN42" s="60">
        <v>181.74</v>
      </c>
      <c r="BO42" s="60" t="s">
        <v>4377</v>
      </c>
      <c r="BP42" s="60" t="s">
        <v>4377</v>
      </c>
      <c r="BQ42" s="60" t="s">
        <v>4377</v>
      </c>
      <c r="BR42" s="60" t="s">
        <v>4705</v>
      </c>
      <c r="BS42" s="60" t="s">
        <v>1582</v>
      </c>
      <c r="BT42" s="60" t="s">
        <v>4377</v>
      </c>
      <c r="BU42" s="60" t="s">
        <v>4377</v>
      </c>
      <c r="BV42" s="60" t="s">
        <v>4377</v>
      </c>
      <c r="BW42" s="60" t="s">
        <v>4377</v>
      </c>
      <c r="BX42" s="60">
        <v>181.74</v>
      </c>
      <c r="BY42" s="60" t="s">
        <v>4377</v>
      </c>
      <c r="BZ42" s="60" t="s">
        <v>4377</v>
      </c>
      <c r="CA42" s="60" t="s">
        <v>4545</v>
      </c>
      <c r="CB42" s="60" t="s">
        <v>4377</v>
      </c>
      <c r="CC42" s="60" t="s">
        <v>4377</v>
      </c>
      <c r="CD42" s="60" t="s">
        <v>4377</v>
      </c>
    </row>
    <row r="43" spans="1:82">
      <c r="A43" s="60">
        <v>23510</v>
      </c>
      <c r="B43" s="60" t="s">
        <v>4377</v>
      </c>
      <c r="C43" s="60" t="s">
        <v>4699</v>
      </c>
      <c r="D43" s="60" t="s">
        <v>4377</v>
      </c>
      <c r="E43" s="60" t="s">
        <v>4543</v>
      </c>
      <c r="F43" s="60" t="s">
        <v>4700</v>
      </c>
      <c r="G43" s="60" t="s">
        <v>4545</v>
      </c>
      <c r="H43" s="60" t="s">
        <v>2835</v>
      </c>
      <c r="I43" s="60">
        <v>3485.05</v>
      </c>
      <c r="J43" s="60" t="s">
        <v>1582</v>
      </c>
      <c r="K43" s="60" t="s">
        <v>4377</v>
      </c>
      <c r="L43" s="60" t="s">
        <v>4543</v>
      </c>
      <c r="M43" s="60" t="s">
        <v>4701</v>
      </c>
      <c r="N43" s="60" t="s">
        <v>4701</v>
      </c>
      <c r="O43" s="60" t="s">
        <v>4548</v>
      </c>
      <c r="P43" s="60" t="s">
        <v>4549</v>
      </c>
      <c r="Q43" s="60" t="s">
        <v>2835</v>
      </c>
      <c r="R43" s="60" t="s">
        <v>4677</v>
      </c>
      <c r="S43" s="60" t="s">
        <v>4678</v>
      </c>
      <c r="T43" s="60" t="s">
        <v>4630</v>
      </c>
      <c r="U43" s="60" t="s">
        <v>4552</v>
      </c>
      <c r="V43" s="60" t="s">
        <v>4374</v>
      </c>
      <c r="W43" s="60" t="s">
        <v>4377</v>
      </c>
      <c r="X43" s="60" t="s">
        <v>4702</v>
      </c>
      <c r="Y43" s="60" t="s">
        <v>4554</v>
      </c>
      <c r="Z43" s="60" t="s">
        <v>4669</v>
      </c>
      <c r="AA43" s="60" t="s">
        <v>4377</v>
      </c>
      <c r="AB43" s="60" t="s">
        <v>4377</v>
      </c>
      <c r="AC43" s="60" t="s">
        <v>4377</v>
      </c>
      <c r="AD43" s="60" t="s">
        <v>4377</v>
      </c>
      <c r="AE43" s="60" t="s">
        <v>4377</v>
      </c>
      <c r="AF43" s="60" t="s">
        <v>4377</v>
      </c>
      <c r="AG43" s="60" t="s">
        <v>4377</v>
      </c>
      <c r="AH43" s="60" t="s">
        <v>4377</v>
      </c>
      <c r="AI43" s="60" t="s">
        <v>4377</v>
      </c>
      <c r="AJ43" s="60" t="s">
        <v>4377</v>
      </c>
      <c r="AK43" s="60" t="s">
        <v>4377</v>
      </c>
      <c r="AL43" s="60" t="s">
        <v>4377</v>
      </c>
      <c r="AM43" s="60" t="s">
        <v>4377</v>
      </c>
      <c r="AN43" s="60" t="s">
        <v>4377</v>
      </c>
      <c r="AO43" s="60" t="s">
        <v>4377</v>
      </c>
      <c r="AP43" s="61">
        <v>45670.699837963</v>
      </c>
      <c r="AQ43" s="60" t="s">
        <v>4377</v>
      </c>
      <c r="AR43" s="60" t="s">
        <v>4377</v>
      </c>
      <c r="AS43" s="60" t="s">
        <v>4592</v>
      </c>
      <c r="AT43" s="60" t="s">
        <v>4571</v>
      </c>
      <c r="AU43" s="60" t="s">
        <v>4377</v>
      </c>
      <c r="AV43" s="60" t="s">
        <v>4377</v>
      </c>
      <c r="AW43" s="61">
        <v>45659.5825694444</v>
      </c>
      <c r="AX43" s="60" t="s">
        <v>4377</v>
      </c>
      <c r="AY43" s="60" t="s">
        <v>4559</v>
      </c>
      <c r="AZ43" s="60" t="s">
        <v>4377</v>
      </c>
      <c r="BA43" s="60" t="s">
        <v>4377</v>
      </c>
      <c r="BB43" s="60" t="s">
        <v>4377</v>
      </c>
      <c r="BC43" s="60" t="s">
        <v>4706</v>
      </c>
      <c r="BD43" s="60" t="s">
        <v>4634</v>
      </c>
      <c r="BE43" s="60" t="s">
        <v>4680</v>
      </c>
      <c r="BF43" s="60" t="s">
        <v>4561</v>
      </c>
      <c r="BG43" s="60" t="s">
        <v>4377</v>
      </c>
      <c r="BH43" s="60" t="s">
        <v>4377</v>
      </c>
      <c r="BI43" s="60" t="s">
        <v>2758</v>
      </c>
      <c r="BJ43" s="60" t="s">
        <v>4377</v>
      </c>
      <c r="BK43" s="60" t="s">
        <v>4377</v>
      </c>
      <c r="BL43" s="60">
        <v>3376535</v>
      </c>
      <c r="BM43" s="60" t="s">
        <v>4704</v>
      </c>
      <c r="BN43" s="60">
        <v>626.08</v>
      </c>
      <c r="BO43" s="60" t="s">
        <v>4377</v>
      </c>
      <c r="BP43" s="60" t="s">
        <v>4377</v>
      </c>
      <c r="BQ43" s="60" t="s">
        <v>4377</v>
      </c>
      <c r="BR43" s="60" t="s">
        <v>4705</v>
      </c>
      <c r="BS43" s="60" t="s">
        <v>1582</v>
      </c>
      <c r="BT43" s="60" t="s">
        <v>4377</v>
      </c>
      <c r="BU43" s="60" t="s">
        <v>4377</v>
      </c>
      <c r="BV43" s="60" t="s">
        <v>4377</v>
      </c>
      <c r="BW43" s="60" t="s">
        <v>4377</v>
      </c>
      <c r="BX43" s="60">
        <v>626.08</v>
      </c>
      <c r="BY43" s="60" t="s">
        <v>4377</v>
      </c>
      <c r="BZ43" s="60" t="s">
        <v>4377</v>
      </c>
      <c r="CA43" s="60" t="s">
        <v>4545</v>
      </c>
      <c r="CB43" s="60" t="s">
        <v>4377</v>
      </c>
      <c r="CC43" s="60" t="s">
        <v>4377</v>
      </c>
      <c r="CD43" s="60" t="s">
        <v>4377</v>
      </c>
    </row>
    <row r="44" spans="1:82">
      <c r="A44" s="60">
        <v>23511</v>
      </c>
      <c r="B44" s="60" t="s">
        <v>4377</v>
      </c>
      <c r="C44" s="60" t="s">
        <v>4699</v>
      </c>
      <c r="D44" s="60" t="s">
        <v>4377</v>
      </c>
      <c r="E44" s="60" t="s">
        <v>4543</v>
      </c>
      <c r="F44" s="60" t="s">
        <v>4700</v>
      </c>
      <c r="G44" s="60" t="s">
        <v>4545</v>
      </c>
      <c r="H44" s="60" t="s">
        <v>2835</v>
      </c>
      <c r="I44" s="60">
        <v>3485.05</v>
      </c>
      <c r="J44" s="60" t="s">
        <v>1582</v>
      </c>
      <c r="K44" s="60" t="s">
        <v>4377</v>
      </c>
      <c r="L44" s="60" t="s">
        <v>4543</v>
      </c>
      <c r="M44" s="60" t="s">
        <v>4701</v>
      </c>
      <c r="N44" s="60" t="s">
        <v>4701</v>
      </c>
      <c r="O44" s="60" t="s">
        <v>4548</v>
      </c>
      <c r="P44" s="60" t="s">
        <v>4549</v>
      </c>
      <c r="Q44" s="60" t="s">
        <v>2835</v>
      </c>
      <c r="R44" s="60" t="s">
        <v>4677</v>
      </c>
      <c r="S44" s="60" t="s">
        <v>4678</v>
      </c>
      <c r="T44" s="60" t="s">
        <v>4630</v>
      </c>
      <c r="U44" s="60" t="s">
        <v>4552</v>
      </c>
      <c r="V44" s="60" t="s">
        <v>4374</v>
      </c>
      <c r="W44" s="60" t="s">
        <v>4377</v>
      </c>
      <c r="X44" s="60" t="s">
        <v>4702</v>
      </c>
      <c r="Y44" s="60" t="s">
        <v>4554</v>
      </c>
      <c r="Z44" s="60" t="s">
        <v>4669</v>
      </c>
      <c r="AA44" s="60" t="s">
        <v>4377</v>
      </c>
      <c r="AB44" s="60" t="s">
        <v>4377</v>
      </c>
      <c r="AC44" s="60" t="s">
        <v>4377</v>
      </c>
      <c r="AD44" s="60" t="s">
        <v>4377</v>
      </c>
      <c r="AE44" s="60" t="s">
        <v>4377</v>
      </c>
      <c r="AF44" s="60" t="s">
        <v>4377</v>
      </c>
      <c r="AG44" s="60" t="s">
        <v>4377</v>
      </c>
      <c r="AH44" s="60" t="s">
        <v>4377</v>
      </c>
      <c r="AI44" s="60" t="s">
        <v>4377</v>
      </c>
      <c r="AJ44" s="60" t="s">
        <v>4377</v>
      </c>
      <c r="AK44" s="60" t="s">
        <v>4377</v>
      </c>
      <c r="AL44" s="60" t="s">
        <v>4377</v>
      </c>
      <c r="AM44" s="60" t="s">
        <v>4377</v>
      </c>
      <c r="AN44" s="60" t="s">
        <v>4377</v>
      </c>
      <c r="AO44" s="60" t="s">
        <v>4377</v>
      </c>
      <c r="AP44" s="61">
        <v>45670.699837963</v>
      </c>
      <c r="AQ44" s="60" t="s">
        <v>4377</v>
      </c>
      <c r="AR44" s="60" t="s">
        <v>4377</v>
      </c>
      <c r="AS44" s="60" t="s">
        <v>4592</v>
      </c>
      <c r="AT44" s="60" t="s">
        <v>4571</v>
      </c>
      <c r="AU44" s="60" t="s">
        <v>4377</v>
      </c>
      <c r="AV44" s="60" t="s">
        <v>4377</v>
      </c>
      <c r="AW44" s="61">
        <v>45659.5825694444</v>
      </c>
      <c r="AX44" s="60" t="s">
        <v>4377</v>
      </c>
      <c r="AY44" s="60" t="s">
        <v>4559</v>
      </c>
      <c r="AZ44" s="60" t="s">
        <v>4377</v>
      </c>
      <c r="BA44" s="60" t="s">
        <v>4377</v>
      </c>
      <c r="BB44" s="60" t="s">
        <v>4377</v>
      </c>
      <c r="BC44" s="60" t="s">
        <v>4706</v>
      </c>
      <c r="BD44" s="60" t="s">
        <v>4634</v>
      </c>
      <c r="BE44" s="60" t="s">
        <v>4680</v>
      </c>
      <c r="BF44" s="60" t="s">
        <v>4561</v>
      </c>
      <c r="BG44" s="60" t="s">
        <v>4377</v>
      </c>
      <c r="BH44" s="60" t="s">
        <v>4377</v>
      </c>
      <c r="BI44" s="60" t="s">
        <v>2758</v>
      </c>
      <c r="BJ44" s="60" t="s">
        <v>4377</v>
      </c>
      <c r="BK44" s="60" t="s">
        <v>4377</v>
      </c>
      <c r="BL44" s="60">
        <v>3376536</v>
      </c>
      <c r="BM44" s="60" t="s">
        <v>4704</v>
      </c>
      <c r="BN44" s="60">
        <v>793.89</v>
      </c>
      <c r="BO44" s="60" t="s">
        <v>4377</v>
      </c>
      <c r="BP44" s="60" t="s">
        <v>4377</v>
      </c>
      <c r="BQ44" s="60" t="s">
        <v>4377</v>
      </c>
      <c r="BR44" s="60" t="s">
        <v>4705</v>
      </c>
      <c r="BS44" s="60" t="s">
        <v>1582</v>
      </c>
      <c r="BT44" s="60" t="s">
        <v>4377</v>
      </c>
      <c r="BU44" s="60" t="s">
        <v>4377</v>
      </c>
      <c r="BV44" s="60" t="s">
        <v>4377</v>
      </c>
      <c r="BW44" s="60" t="s">
        <v>4377</v>
      </c>
      <c r="BX44" s="60">
        <v>793.89</v>
      </c>
      <c r="BY44" s="60" t="s">
        <v>4377</v>
      </c>
      <c r="BZ44" s="60" t="s">
        <v>4377</v>
      </c>
      <c r="CA44" s="60" t="s">
        <v>4545</v>
      </c>
      <c r="CB44" s="60" t="s">
        <v>4377</v>
      </c>
      <c r="CC44" s="60" t="s">
        <v>4377</v>
      </c>
      <c r="CD44" s="60" t="s">
        <v>4377</v>
      </c>
    </row>
    <row r="45" spans="1:82">
      <c r="A45" s="60">
        <v>23512</v>
      </c>
      <c r="B45" s="60" t="s">
        <v>4377</v>
      </c>
      <c r="C45" s="60" t="s">
        <v>4699</v>
      </c>
      <c r="D45" s="60" t="s">
        <v>4377</v>
      </c>
      <c r="E45" s="60" t="s">
        <v>4543</v>
      </c>
      <c r="F45" s="60" t="s">
        <v>4700</v>
      </c>
      <c r="G45" s="60" t="s">
        <v>4545</v>
      </c>
      <c r="H45" s="60" t="s">
        <v>2835</v>
      </c>
      <c r="I45" s="60">
        <v>3485.05</v>
      </c>
      <c r="J45" s="60" t="s">
        <v>1582</v>
      </c>
      <c r="K45" s="60" t="s">
        <v>4377</v>
      </c>
      <c r="L45" s="60" t="s">
        <v>4543</v>
      </c>
      <c r="M45" s="60" t="s">
        <v>4701</v>
      </c>
      <c r="N45" s="60" t="s">
        <v>4701</v>
      </c>
      <c r="O45" s="60" t="s">
        <v>4548</v>
      </c>
      <c r="P45" s="60" t="s">
        <v>4549</v>
      </c>
      <c r="Q45" s="60" t="s">
        <v>2835</v>
      </c>
      <c r="R45" s="60" t="s">
        <v>4677</v>
      </c>
      <c r="S45" s="60" t="s">
        <v>4678</v>
      </c>
      <c r="T45" s="60" t="s">
        <v>4630</v>
      </c>
      <c r="U45" s="60" t="s">
        <v>4552</v>
      </c>
      <c r="V45" s="60" t="s">
        <v>4374</v>
      </c>
      <c r="W45" s="60" t="s">
        <v>4377</v>
      </c>
      <c r="X45" s="60" t="s">
        <v>4702</v>
      </c>
      <c r="Y45" s="60" t="s">
        <v>4554</v>
      </c>
      <c r="Z45" s="60" t="s">
        <v>4669</v>
      </c>
      <c r="AA45" s="60" t="s">
        <v>4377</v>
      </c>
      <c r="AB45" s="60" t="s">
        <v>4377</v>
      </c>
      <c r="AC45" s="60" t="s">
        <v>4377</v>
      </c>
      <c r="AD45" s="60" t="s">
        <v>4377</v>
      </c>
      <c r="AE45" s="60" t="s">
        <v>4377</v>
      </c>
      <c r="AF45" s="60" t="s">
        <v>4377</v>
      </c>
      <c r="AG45" s="60" t="s">
        <v>4377</v>
      </c>
      <c r="AH45" s="60" t="s">
        <v>4377</v>
      </c>
      <c r="AI45" s="60" t="s">
        <v>4377</v>
      </c>
      <c r="AJ45" s="60" t="s">
        <v>4377</v>
      </c>
      <c r="AK45" s="60" t="s">
        <v>4377</v>
      </c>
      <c r="AL45" s="60" t="s">
        <v>4377</v>
      </c>
      <c r="AM45" s="60" t="s">
        <v>4377</v>
      </c>
      <c r="AN45" s="60" t="s">
        <v>4377</v>
      </c>
      <c r="AO45" s="60" t="s">
        <v>4377</v>
      </c>
      <c r="AP45" s="61">
        <v>45670.699837963</v>
      </c>
      <c r="AQ45" s="60" t="s">
        <v>4377</v>
      </c>
      <c r="AR45" s="60" t="s">
        <v>4377</v>
      </c>
      <c r="AS45" s="60" t="s">
        <v>4592</v>
      </c>
      <c r="AT45" s="60" t="s">
        <v>4571</v>
      </c>
      <c r="AU45" s="60" t="s">
        <v>4377</v>
      </c>
      <c r="AV45" s="60" t="s">
        <v>4377</v>
      </c>
      <c r="AW45" s="61">
        <v>45659.5825694444</v>
      </c>
      <c r="AX45" s="60" t="s">
        <v>4377</v>
      </c>
      <c r="AY45" s="60" t="s">
        <v>4559</v>
      </c>
      <c r="AZ45" s="60" t="s">
        <v>4377</v>
      </c>
      <c r="BA45" s="60" t="s">
        <v>4377</v>
      </c>
      <c r="BB45" s="60" t="s">
        <v>4377</v>
      </c>
      <c r="BC45" s="60" t="s">
        <v>4706</v>
      </c>
      <c r="BD45" s="60" t="s">
        <v>4634</v>
      </c>
      <c r="BE45" s="60" t="s">
        <v>4680</v>
      </c>
      <c r="BF45" s="60" t="s">
        <v>4561</v>
      </c>
      <c r="BG45" s="60" t="s">
        <v>4377</v>
      </c>
      <c r="BH45" s="60" t="s">
        <v>4377</v>
      </c>
      <c r="BI45" s="60" t="s">
        <v>2758</v>
      </c>
      <c r="BJ45" s="60" t="s">
        <v>4377</v>
      </c>
      <c r="BK45" s="60" t="s">
        <v>4377</v>
      </c>
      <c r="BL45" s="60">
        <v>3376538</v>
      </c>
      <c r="BM45" s="60" t="s">
        <v>4704</v>
      </c>
      <c r="BN45" s="60">
        <v>635.5</v>
      </c>
      <c r="BO45" s="60" t="s">
        <v>4377</v>
      </c>
      <c r="BP45" s="60" t="s">
        <v>4377</v>
      </c>
      <c r="BQ45" s="60" t="s">
        <v>4377</v>
      </c>
      <c r="BR45" s="60" t="s">
        <v>4705</v>
      </c>
      <c r="BS45" s="60" t="s">
        <v>1582</v>
      </c>
      <c r="BT45" s="60" t="s">
        <v>4377</v>
      </c>
      <c r="BU45" s="60" t="s">
        <v>4377</v>
      </c>
      <c r="BV45" s="60" t="s">
        <v>4377</v>
      </c>
      <c r="BW45" s="60" t="s">
        <v>4377</v>
      </c>
      <c r="BX45" s="60">
        <v>635.5</v>
      </c>
      <c r="BY45" s="60" t="s">
        <v>4377</v>
      </c>
      <c r="BZ45" s="60" t="s">
        <v>4377</v>
      </c>
      <c r="CA45" s="60" t="s">
        <v>4545</v>
      </c>
      <c r="CB45" s="60" t="s">
        <v>4377</v>
      </c>
      <c r="CC45" s="60" t="s">
        <v>4377</v>
      </c>
      <c r="CD45" s="60" t="s">
        <v>4377</v>
      </c>
    </row>
    <row r="46" spans="1:82">
      <c r="A46" s="60">
        <v>23518</v>
      </c>
      <c r="B46" s="60" t="s">
        <v>4377</v>
      </c>
      <c r="C46" s="60" t="s">
        <v>4707</v>
      </c>
      <c r="D46" s="60" t="s">
        <v>4377</v>
      </c>
      <c r="E46" s="60" t="s">
        <v>4543</v>
      </c>
      <c r="F46" s="60" t="s">
        <v>4708</v>
      </c>
      <c r="G46" s="60" t="s">
        <v>4545</v>
      </c>
      <c r="H46" s="60" t="s">
        <v>3276</v>
      </c>
      <c r="I46" s="60">
        <v>4318</v>
      </c>
      <c r="J46" s="60" t="s">
        <v>1582</v>
      </c>
      <c r="K46" s="60" t="s">
        <v>4377</v>
      </c>
      <c r="L46" s="60" t="s">
        <v>4543</v>
      </c>
      <c r="M46" s="60" t="s">
        <v>4701</v>
      </c>
      <c r="N46" s="60" t="s">
        <v>4701</v>
      </c>
      <c r="O46" s="60" t="s">
        <v>4548</v>
      </c>
      <c r="P46" s="60" t="s">
        <v>4549</v>
      </c>
      <c r="Q46" s="60" t="s">
        <v>3276</v>
      </c>
      <c r="R46" s="60" t="s">
        <v>4709</v>
      </c>
      <c r="S46" s="60" t="s">
        <v>4710</v>
      </c>
      <c r="T46" s="60" t="s">
        <v>4630</v>
      </c>
      <c r="U46" s="60" t="s">
        <v>4552</v>
      </c>
      <c r="V46" s="60" t="s">
        <v>4374</v>
      </c>
      <c r="W46" s="60" t="s">
        <v>4377</v>
      </c>
      <c r="X46" s="60" t="s">
        <v>4711</v>
      </c>
      <c r="Y46" s="60" t="s">
        <v>4554</v>
      </c>
      <c r="Z46" s="60" t="s">
        <v>4669</v>
      </c>
      <c r="AA46" s="60" t="s">
        <v>4377</v>
      </c>
      <c r="AB46" s="60" t="s">
        <v>4377</v>
      </c>
      <c r="AC46" s="60" t="s">
        <v>4377</v>
      </c>
      <c r="AD46" s="60" t="s">
        <v>4377</v>
      </c>
      <c r="AE46" s="60" t="s">
        <v>4377</v>
      </c>
      <c r="AF46" s="60" t="s">
        <v>4377</v>
      </c>
      <c r="AG46" s="60" t="s">
        <v>4377</v>
      </c>
      <c r="AH46" s="60" t="s">
        <v>4377</v>
      </c>
      <c r="AI46" s="60" t="s">
        <v>4377</v>
      </c>
      <c r="AJ46" s="60" t="s">
        <v>4377</v>
      </c>
      <c r="AK46" s="60" t="s">
        <v>4377</v>
      </c>
      <c r="AL46" s="60" t="s">
        <v>4377</v>
      </c>
      <c r="AM46" s="60" t="s">
        <v>4377</v>
      </c>
      <c r="AN46" s="60" t="s">
        <v>4377</v>
      </c>
      <c r="AO46" s="60" t="s">
        <v>4377</v>
      </c>
      <c r="AP46" s="61">
        <v>45670.6998032407</v>
      </c>
      <c r="AQ46" s="60" t="s">
        <v>4377</v>
      </c>
      <c r="AR46" s="60" t="s">
        <v>4377</v>
      </c>
      <c r="AS46" s="60" t="s">
        <v>4570</v>
      </c>
      <c r="AT46" s="60" t="s">
        <v>4571</v>
      </c>
      <c r="AU46" s="60" t="s">
        <v>4377</v>
      </c>
      <c r="AV46" s="60" t="s">
        <v>4377</v>
      </c>
      <c r="AW46" s="61">
        <v>45659.5872685185</v>
      </c>
      <c r="AX46" s="60" t="s">
        <v>4377</v>
      </c>
      <c r="AY46" s="60" t="s">
        <v>4559</v>
      </c>
      <c r="AZ46" s="60" t="s">
        <v>4377</v>
      </c>
      <c r="BA46" s="60" t="s">
        <v>4377</v>
      </c>
      <c r="BB46" s="60" t="s">
        <v>4377</v>
      </c>
      <c r="BC46" s="60" t="s">
        <v>4712</v>
      </c>
      <c r="BD46" s="60" t="s">
        <v>4634</v>
      </c>
      <c r="BE46" s="60" t="s">
        <v>4713</v>
      </c>
      <c r="BF46" s="60" t="s">
        <v>4561</v>
      </c>
      <c r="BG46" s="60" t="s">
        <v>4377</v>
      </c>
      <c r="BH46" s="60" t="s">
        <v>4377</v>
      </c>
      <c r="BI46" s="60" t="s">
        <v>2758</v>
      </c>
      <c r="BJ46" s="60" t="s">
        <v>4377</v>
      </c>
      <c r="BK46" s="60" t="s">
        <v>4377</v>
      </c>
      <c r="BL46" s="60">
        <v>3383715</v>
      </c>
      <c r="BM46" s="60" t="s">
        <v>4714</v>
      </c>
      <c r="BN46" s="60">
        <v>216</v>
      </c>
      <c r="BO46" s="60" t="s">
        <v>4377</v>
      </c>
      <c r="BP46" s="60" t="s">
        <v>4377</v>
      </c>
      <c r="BQ46" s="60" t="s">
        <v>4377</v>
      </c>
      <c r="BR46" s="60" t="s">
        <v>4715</v>
      </c>
      <c r="BS46" s="60" t="s">
        <v>1582</v>
      </c>
      <c r="BT46" s="60" t="s">
        <v>4377</v>
      </c>
      <c r="BU46" s="60" t="s">
        <v>4377</v>
      </c>
      <c r="BV46" s="60" t="s">
        <v>4377</v>
      </c>
      <c r="BW46" s="60" t="s">
        <v>4377</v>
      </c>
      <c r="BX46" s="60">
        <v>216</v>
      </c>
      <c r="BY46" s="60" t="s">
        <v>4377</v>
      </c>
      <c r="BZ46" s="60" t="s">
        <v>4377</v>
      </c>
      <c r="CA46" s="60" t="s">
        <v>4545</v>
      </c>
      <c r="CB46" s="60" t="s">
        <v>4377</v>
      </c>
      <c r="CC46" s="60" t="s">
        <v>4377</v>
      </c>
      <c r="CD46" s="60" t="s">
        <v>4377</v>
      </c>
    </row>
    <row r="47" spans="1:82">
      <c r="A47" s="60">
        <v>23519</v>
      </c>
      <c r="B47" s="60" t="s">
        <v>4377</v>
      </c>
      <c r="C47" s="60" t="s">
        <v>4707</v>
      </c>
      <c r="D47" s="60" t="s">
        <v>4377</v>
      </c>
      <c r="E47" s="60" t="s">
        <v>4543</v>
      </c>
      <c r="F47" s="60" t="s">
        <v>4708</v>
      </c>
      <c r="G47" s="60" t="s">
        <v>4545</v>
      </c>
      <c r="H47" s="60" t="s">
        <v>3276</v>
      </c>
      <c r="I47" s="60">
        <v>4318</v>
      </c>
      <c r="J47" s="60" t="s">
        <v>1582</v>
      </c>
      <c r="K47" s="60" t="s">
        <v>4377</v>
      </c>
      <c r="L47" s="60" t="s">
        <v>4543</v>
      </c>
      <c r="M47" s="60" t="s">
        <v>4701</v>
      </c>
      <c r="N47" s="60" t="s">
        <v>4701</v>
      </c>
      <c r="O47" s="60" t="s">
        <v>4548</v>
      </c>
      <c r="P47" s="60" t="s">
        <v>4549</v>
      </c>
      <c r="Q47" s="60" t="s">
        <v>3276</v>
      </c>
      <c r="R47" s="60" t="s">
        <v>4709</v>
      </c>
      <c r="S47" s="60" t="s">
        <v>4710</v>
      </c>
      <c r="T47" s="60" t="s">
        <v>4630</v>
      </c>
      <c r="U47" s="60" t="s">
        <v>4552</v>
      </c>
      <c r="V47" s="60" t="s">
        <v>4374</v>
      </c>
      <c r="W47" s="60" t="s">
        <v>4377</v>
      </c>
      <c r="X47" s="60" t="s">
        <v>4711</v>
      </c>
      <c r="Y47" s="60" t="s">
        <v>4554</v>
      </c>
      <c r="Z47" s="60" t="s">
        <v>4669</v>
      </c>
      <c r="AA47" s="60" t="s">
        <v>4377</v>
      </c>
      <c r="AB47" s="60" t="s">
        <v>4377</v>
      </c>
      <c r="AC47" s="60" t="s">
        <v>4377</v>
      </c>
      <c r="AD47" s="60" t="s">
        <v>4377</v>
      </c>
      <c r="AE47" s="60" t="s">
        <v>4377</v>
      </c>
      <c r="AF47" s="60" t="s">
        <v>4377</v>
      </c>
      <c r="AG47" s="60" t="s">
        <v>4377</v>
      </c>
      <c r="AH47" s="60" t="s">
        <v>4377</v>
      </c>
      <c r="AI47" s="60" t="s">
        <v>4377</v>
      </c>
      <c r="AJ47" s="60" t="s">
        <v>4377</v>
      </c>
      <c r="AK47" s="60" t="s">
        <v>4377</v>
      </c>
      <c r="AL47" s="60" t="s">
        <v>4377</v>
      </c>
      <c r="AM47" s="60" t="s">
        <v>4377</v>
      </c>
      <c r="AN47" s="60" t="s">
        <v>4377</v>
      </c>
      <c r="AO47" s="60" t="s">
        <v>4377</v>
      </c>
      <c r="AP47" s="61">
        <v>45670.6998032407</v>
      </c>
      <c r="AQ47" s="60" t="s">
        <v>4377</v>
      </c>
      <c r="AR47" s="60" t="s">
        <v>4377</v>
      </c>
      <c r="AS47" s="60" t="s">
        <v>4570</v>
      </c>
      <c r="AT47" s="60" t="s">
        <v>4571</v>
      </c>
      <c r="AU47" s="60" t="s">
        <v>4377</v>
      </c>
      <c r="AV47" s="60" t="s">
        <v>4377</v>
      </c>
      <c r="AW47" s="61">
        <v>45659.5872685185</v>
      </c>
      <c r="AX47" s="60" t="s">
        <v>4377</v>
      </c>
      <c r="AY47" s="60" t="s">
        <v>4559</v>
      </c>
      <c r="AZ47" s="60" t="s">
        <v>4377</v>
      </c>
      <c r="BA47" s="60" t="s">
        <v>4377</v>
      </c>
      <c r="BB47" s="60" t="s">
        <v>4377</v>
      </c>
      <c r="BC47" s="60" t="s">
        <v>4712</v>
      </c>
      <c r="BD47" s="60" t="s">
        <v>4634</v>
      </c>
      <c r="BE47" s="60" t="s">
        <v>4713</v>
      </c>
      <c r="BF47" s="60" t="s">
        <v>4561</v>
      </c>
      <c r="BG47" s="60" t="s">
        <v>4377</v>
      </c>
      <c r="BH47" s="60" t="s">
        <v>4377</v>
      </c>
      <c r="BI47" s="60" t="s">
        <v>2758</v>
      </c>
      <c r="BJ47" s="60" t="s">
        <v>4377</v>
      </c>
      <c r="BK47" s="60" t="s">
        <v>4377</v>
      </c>
      <c r="BL47" s="60">
        <v>3383716</v>
      </c>
      <c r="BM47" s="60" t="s">
        <v>4714</v>
      </c>
      <c r="BN47" s="60">
        <v>1350</v>
      </c>
      <c r="BO47" s="60" t="s">
        <v>4377</v>
      </c>
      <c r="BP47" s="60" t="s">
        <v>4377</v>
      </c>
      <c r="BQ47" s="60" t="s">
        <v>4377</v>
      </c>
      <c r="BR47" s="60" t="s">
        <v>4715</v>
      </c>
      <c r="BS47" s="60" t="s">
        <v>1582</v>
      </c>
      <c r="BT47" s="60" t="s">
        <v>4377</v>
      </c>
      <c r="BU47" s="60" t="s">
        <v>4377</v>
      </c>
      <c r="BV47" s="60" t="s">
        <v>4377</v>
      </c>
      <c r="BW47" s="60" t="s">
        <v>4377</v>
      </c>
      <c r="BX47" s="60">
        <v>1350</v>
      </c>
      <c r="BY47" s="60" t="s">
        <v>4377</v>
      </c>
      <c r="BZ47" s="60" t="s">
        <v>4377</v>
      </c>
      <c r="CA47" s="60" t="s">
        <v>4545</v>
      </c>
      <c r="CB47" s="60" t="s">
        <v>4377</v>
      </c>
      <c r="CC47" s="60" t="s">
        <v>4377</v>
      </c>
      <c r="CD47" s="60" t="s">
        <v>4377</v>
      </c>
    </row>
    <row r="48" spans="1:82">
      <c r="A48" s="60">
        <v>23520</v>
      </c>
      <c r="B48" s="60" t="s">
        <v>4377</v>
      </c>
      <c r="C48" s="60" t="s">
        <v>4707</v>
      </c>
      <c r="D48" s="60" t="s">
        <v>4377</v>
      </c>
      <c r="E48" s="60" t="s">
        <v>4543</v>
      </c>
      <c r="F48" s="60" t="s">
        <v>4708</v>
      </c>
      <c r="G48" s="60" t="s">
        <v>4545</v>
      </c>
      <c r="H48" s="60" t="s">
        <v>3276</v>
      </c>
      <c r="I48" s="60">
        <v>4318</v>
      </c>
      <c r="J48" s="60" t="s">
        <v>1582</v>
      </c>
      <c r="K48" s="60" t="s">
        <v>4377</v>
      </c>
      <c r="L48" s="60" t="s">
        <v>4543</v>
      </c>
      <c r="M48" s="60" t="s">
        <v>4701</v>
      </c>
      <c r="N48" s="60" t="s">
        <v>4701</v>
      </c>
      <c r="O48" s="60" t="s">
        <v>4548</v>
      </c>
      <c r="P48" s="60" t="s">
        <v>4549</v>
      </c>
      <c r="Q48" s="60" t="s">
        <v>3276</v>
      </c>
      <c r="R48" s="60" t="s">
        <v>4709</v>
      </c>
      <c r="S48" s="60" t="s">
        <v>4710</v>
      </c>
      <c r="T48" s="60" t="s">
        <v>4630</v>
      </c>
      <c r="U48" s="60" t="s">
        <v>4552</v>
      </c>
      <c r="V48" s="60" t="s">
        <v>4374</v>
      </c>
      <c r="W48" s="60" t="s">
        <v>4377</v>
      </c>
      <c r="X48" s="60" t="s">
        <v>4711</v>
      </c>
      <c r="Y48" s="60" t="s">
        <v>4554</v>
      </c>
      <c r="Z48" s="60" t="s">
        <v>4669</v>
      </c>
      <c r="AA48" s="60" t="s">
        <v>4377</v>
      </c>
      <c r="AB48" s="60" t="s">
        <v>4377</v>
      </c>
      <c r="AC48" s="60" t="s">
        <v>4377</v>
      </c>
      <c r="AD48" s="60" t="s">
        <v>4377</v>
      </c>
      <c r="AE48" s="60" t="s">
        <v>4377</v>
      </c>
      <c r="AF48" s="60" t="s">
        <v>4377</v>
      </c>
      <c r="AG48" s="60" t="s">
        <v>4377</v>
      </c>
      <c r="AH48" s="60" t="s">
        <v>4377</v>
      </c>
      <c r="AI48" s="60" t="s">
        <v>4377</v>
      </c>
      <c r="AJ48" s="60" t="s">
        <v>4377</v>
      </c>
      <c r="AK48" s="60" t="s">
        <v>4377</v>
      </c>
      <c r="AL48" s="60" t="s">
        <v>4377</v>
      </c>
      <c r="AM48" s="60" t="s">
        <v>4377</v>
      </c>
      <c r="AN48" s="60" t="s">
        <v>4377</v>
      </c>
      <c r="AO48" s="60" t="s">
        <v>4377</v>
      </c>
      <c r="AP48" s="61">
        <v>45670.6998032407</v>
      </c>
      <c r="AQ48" s="60" t="s">
        <v>4377</v>
      </c>
      <c r="AR48" s="60" t="s">
        <v>4377</v>
      </c>
      <c r="AS48" s="60" t="s">
        <v>4570</v>
      </c>
      <c r="AT48" s="60" t="s">
        <v>4571</v>
      </c>
      <c r="AU48" s="60" t="s">
        <v>4377</v>
      </c>
      <c r="AV48" s="60" t="s">
        <v>4377</v>
      </c>
      <c r="AW48" s="61">
        <v>45659.5872685185</v>
      </c>
      <c r="AX48" s="60" t="s">
        <v>4377</v>
      </c>
      <c r="AY48" s="60" t="s">
        <v>4559</v>
      </c>
      <c r="AZ48" s="60" t="s">
        <v>4377</v>
      </c>
      <c r="BA48" s="60" t="s">
        <v>4377</v>
      </c>
      <c r="BB48" s="60" t="s">
        <v>4377</v>
      </c>
      <c r="BC48" s="60" t="s">
        <v>4712</v>
      </c>
      <c r="BD48" s="60" t="s">
        <v>4634</v>
      </c>
      <c r="BE48" s="60" t="s">
        <v>4713</v>
      </c>
      <c r="BF48" s="60" t="s">
        <v>4561</v>
      </c>
      <c r="BG48" s="60" t="s">
        <v>4377</v>
      </c>
      <c r="BH48" s="60" t="s">
        <v>4377</v>
      </c>
      <c r="BI48" s="60" t="s">
        <v>2758</v>
      </c>
      <c r="BJ48" s="60" t="s">
        <v>4377</v>
      </c>
      <c r="BK48" s="60" t="s">
        <v>4377</v>
      </c>
      <c r="BL48" s="60">
        <v>3383717</v>
      </c>
      <c r="BM48" s="60" t="s">
        <v>4714</v>
      </c>
      <c r="BN48" s="60">
        <v>312</v>
      </c>
      <c r="BO48" s="60" t="s">
        <v>4377</v>
      </c>
      <c r="BP48" s="60" t="s">
        <v>4377</v>
      </c>
      <c r="BQ48" s="60" t="s">
        <v>4377</v>
      </c>
      <c r="BR48" s="60" t="s">
        <v>4715</v>
      </c>
      <c r="BS48" s="60" t="s">
        <v>1582</v>
      </c>
      <c r="BT48" s="60" t="s">
        <v>4377</v>
      </c>
      <c r="BU48" s="60" t="s">
        <v>4377</v>
      </c>
      <c r="BV48" s="60" t="s">
        <v>4377</v>
      </c>
      <c r="BW48" s="60" t="s">
        <v>4377</v>
      </c>
      <c r="BX48" s="60">
        <v>312</v>
      </c>
      <c r="BY48" s="60" t="s">
        <v>4377</v>
      </c>
      <c r="BZ48" s="60" t="s">
        <v>4377</v>
      </c>
      <c r="CA48" s="60" t="s">
        <v>4545</v>
      </c>
      <c r="CB48" s="60" t="s">
        <v>4377</v>
      </c>
      <c r="CC48" s="60" t="s">
        <v>4377</v>
      </c>
      <c r="CD48" s="60" t="s">
        <v>4377</v>
      </c>
    </row>
    <row r="49" spans="1:82">
      <c r="A49" s="60">
        <v>23521</v>
      </c>
      <c r="B49" s="60" t="s">
        <v>4377</v>
      </c>
      <c r="C49" s="60" t="s">
        <v>4707</v>
      </c>
      <c r="D49" s="60" t="s">
        <v>4377</v>
      </c>
      <c r="E49" s="60" t="s">
        <v>4543</v>
      </c>
      <c r="F49" s="60" t="s">
        <v>4708</v>
      </c>
      <c r="G49" s="60" t="s">
        <v>4545</v>
      </c>
      <c r="H49" s="60" t="s">
        <v>3276</v>
      </c>
      <c r="I49" s="60">
        <v>4318</v>
      </c>
      <c r="J49" s="60" t="s">
        <v>1582</v>
      </c>
      <c r="K49" s="60" t="s">
        <v>4377</v>
      </c>
      <c r="L49" s="60" t="s">
        <v>4543</v>
      </c>
      <c r="M49" s="60" t="s">
        <v>4701</v>
      </c>
      <c r="N49" s="60" t="s">
        <v>4701</v>
      </c>
      <c r="O49" s="60" t="s">
        <v>4548</v>
      </c>
      <c r="P49" s="60" t="s">
        <v>4549</v>
      </c>
      <c r="Q49" s="60" t="s">
        <v>3276</v>
      </c>
      <c r="R49" s="60" t="s">
        <v>4709</v>
      </c>
      <c r="S49" s="60" t="s">
        <v>4710</v>
      </c>
      <c r="T49" s="60" t="s">
        <v>4630</v>
      </c>
      <c r="U49" s="60" t="s">
        <v>4552</v>
      </c>
      <c r="V49" s="60" t="s">
        <v>4374</v>
      </c>
      <c r="W49" s="60" t="s">
        <v>4377</v>
      </c>
      <c r="X49" s="60" t="s">
        <v>4711</v>
      </c>
      <c r="Y49" s="60" t="s">
        <v>4554</v>
      </c>
      <c r="Z49" s="60" t="s">
        <v>4669</v>
      </c>
      <c r="AA49" s="60" t="s">
        <v>4377</v>
      </c>
      <c r="AB49" s="60" t="s">
        <v>4377</v>
      </c>
      <c r="AC49" s="60" t="s">
        <v>4377</v>
      </c>
      <c r="AD49" s="60" t="s">
        <v>4377</v>
      </c>
      <c r="AE49" s="60" t="s">
        <v>4377</v>
      </c>
      <c r="AF49" s="60" t="s">
        <v>4377</v>
      </c>
      <c r="AG49" s="60" t="s">
        <v>4377</v>
      </c>
      <c r="AH49" s="60" t="s">
        <v>4377</v>
      </c>
      <c r="AI49" s="60" t="s">
        <v>4377</v>
      </c>
      <c r="AJ49" s="60" t="s">
        <v>4377</v>
      </c>
      <c r="AK49" s="60" t="s">
        <v>4377</v>
      </c>
      <c r="AL49" s="60" t="s">
        <v>4377</v>
      </c>
      <c r="AM49" s="60" t="s">
        <v>4377</v>
      </c>
      <c r="AN49" s="60" t="s">
        <v>4377</v>
      </c>
      <c r="AO49" s="60" t="s">
        <v>4377</v>
      </c>
      <c r="AP49" s="61">
        <v>45670.6998032407</v>
      </c>
      <c r="AQ49" s="60" t="s">
        <v>4377</v>
      </c>
      <c r="AR49" s="60" t="s">
        <v>4377</v>
      </c>
      <c r="AS49" s="60" t="s">
        <v>4570</v>
      </c>
      <c r="AT49" s="60" t="s">
        <v>4571</v>
      </c>
      <c r="AU49" s="60" t="s">
        <v>4377</v>
      </c>
      <c r="AV49" s="60" t="s">
        <v>4377</v>
      </c>
      <c r="AW49" s="61">
        <v>45659.5872685185</v>
      </c>
      <c r="AX49" s="60" t="s">
        <v>4377</v>
      </c>
      <c r="AY49" s="60" t="s">
        <v>4559</v>
      </c>
      <c r="AZ49" s="60" t="s">
        <v>4377</v>
      </c>
      <c r="BA49" s="60" t="s">
        <v>4377</v>
      </c>
      <c r="BB49" s="60" t="s">
        <v>4377</v>
      </c>
      <c r="BC49" s="60" t="s">
        <v>4712</v>
      </c>
      <c r="BD49" s="60" t="s">
        <v>4634</v>
      </c>
      <c r="BE49" s="60" t="s">
        <v>4713</v>
      </c>
      <c r="BF49" s="60" t="s">
        <v>4561</v>
      </c>
      <c r="BG49" s="60" t="s">
        <v>4377</v>
      </c>
      <c r="BH49" s="60" t="s">
        <v>4377</v>
      </c>
      <c r="BI49" s="60" t="s">
        <v>2758</v>
      </c>
      <c r="BJ49" s="60" t="s">
        <v>4377</v>
      </c>
      <c r="BK49" s="60" t="s">
        <v>4377</v>
      </c>
      <c r="BL49" s="60">
        <v>3383718</v>
      </c>
      <c r="BM49" s="60" t="s">
        <v>4714</v>
      </c>
      <c r="BN49" s="60">
        <v>2440</v>
      </c>
      <c r="BO49" s="60" t="s">
        <v>4377</v>
      </c>
      <c r="BP49" s="60" t="s">
        <v>4377</v>
      </c>
      <c r="BQ49" s="60" t="s">
        <v>4377</v>
      </c>
      <c r="BR49" s="60" t="s">
        <v>4715</v>
      </c>
      <c r="BS49" s="60" t="s">
        <v>1582</v>
      </c>
      <c r="BT49" s="60" t="s">
        <v>4377</v>
      </c>
      <c r="BU49" s="60" t="s">
        <v>4377</v>
      </c>
      <c r="BV49" s="60" t="s">
        <v>4377</v>
      </c>
      <c r="BW49" s="60" t="s">
        <v>4377</v>
      </c>
      <c r="BX49" s="60">
        <v>2440</v>
      </c>
      <c r="BY49" s="60" t="s">
        <v>4377</v>
      </c>
      <c r="BZ49" s="60" t="s">
        <v>4377</v>
      </c>
      <c r="CA49" s="60" t="s">
        <v>4545</v>
      </c>
      <c r="CB49" s="60" t="s">
        <v>4377</v>
      </c>
      <c r="CC49" s="60" t="s">
        <v>4377</v>
      </c>
      <c r="CD49" s="60" t="s">
        <v>4377</v>
      </c>
    </row>
    <row r="50" spans="1:82">
      <c r="A50" s="60">
        <v>23530</v>
      </c>
      <c r="B50" s="60" t="s">
        <v>4377</v>
      </c>
      <c r="C50" s="60" t="s">
        <v>4716</v>
      </c>
      <c r="D50" s="60" t="s">
        <v>4377</v>
      </c>
      <c r="E50" s="60" t="s">
        <v>4543</v>
      </c>
      <c r="F50" s="60" t="s">
        <v>4717</v>
      </c>
      <c r="G50" s="60" t="s">
        <v>4545</v>
      </c>
      <c r="H50" s="60" t="s">
        <v>4718</v>
      </c>
      <c r="I50" s="60">
        <v>3801.32</v>
      </c>
      <c r="J50" s="60" t="s">
        <v>1582</v>
      </c>
      <c r="K50" s="60" t="s">
        <v>4377</v>
      </c>
      <c r="L50" s="60" t="s">
        <v>4543</v>
      </c>
      <c r="M50" s="60" t="s">
        <v>4719</v>
      </c>
      <c r="N50" s="60" t="s">
        <v>4719</v>
      </c>
      <c r="O50" s="60" t="s">
        <v>4548</v>
      </c>
      <c r="P50" s="60" t="s">
        <v>4549</v>
      </c>
      <c r="Q50" s="60" t="s">
        <v>4718</v>
      </c>
      <c r="R50" s="60" t="s">
        <v>4720</v>
      </c>
      <c r="S50" s="60" t="s">
        <v>4721</v>
      </c>
      <c r="T50" s="60" t="s">
        <v>4630</v>
      </c>
      <c r="U50" s="60" t="s">
        <v>4552</v>
      </c>
      <c r="V50" s="60" t="s">
        <v>4374</v>
      </c>
      <c r="W50" s="60" t="s">
        <v>4377</v>
      </c>
      <c r="X50" s="60" t="s">
        <v>4722</v>
      </c>
      <c r="Y50" s="60" t="s">
        <v>4554</v>
      </c>
      <c r="Z50" s="60" t="s">
        <v>4669</v>
      </c>
      <c r="AA50" s="60" t="s">
        <v>4377</v>
      </c>
      <c r="AB50" s="60" t="s">
        <v>4377</v>
      </c>
      <c r="AC50" s="60" t="s">
        <v>4377</v>
      </c>
      <c r="AD50" s="60" t="s">
        <v>4377</v>
      </c>
      <c r="AE50" s="60" t="s">
        <v>4377</v>
      </c>
      <c r="AF50" s="60" t="s">
        <v>4377</v>
      </c>
      <c r="AG50" s="60" t="s">
        <v>4377</v>
      </c>
      <c r="AH50" s="60" t="s">
        <v>4377</v>
      </c>
      <c r="AI50" s="60" t="s">
        <v>4377</v>
      </c>
      <c r="AJ50" s="60" t="s">
        <v>4377</v>
      </c>
      <c r="AK50" s="60" t="s">
        <v>4377</v>
      </c>
      <c r="AL50" s="60" t="s">
        <v>4377</v>
      </c>
      <c r="AM50" s="60" t="s">
        <v>4377</v>
      </c>
      <c r="AN50" s="60" t="s">
        <v>4377</v>
      </c>
      <c r="AO50" s="60" t="s">
        <v>4377</v>
      </c>
      <c r="AP50" s="61">
        <v>45670.699849537</v>
      </c>
      <c r="AQ50" s="60" t="s">
        <v>4377</v>
      </c>
      <c r="AR50" s="60" t="s">
        <v>4377</v>
      </c>
      <c r="AS50" s="60" t="s">
        <v>4592</v>
      </c>
      <c r="AT50" s="60" t="s">
        <v>4571</v>
      </c>
      <c r="AU50" s="60" t="s">
        <v>4377</v>
      </c>
      <c r="AV50" s="60" t="s">
        <v>4377</v>
      </c>
      <c r="AW50" s="61">
        <v>45659.5821180556</v>
      </c>
      <c r="AX50" s="60" t="s">
        <v>4377</v>
      </c>
      <c r="AY50" s="60" t="s">
        <v>4559</v>
      </c>
      <c r="AZ50" s="60" t="s">
        <v>4377</v>
      </c>
      <c r="BA50" s="60" t="s">
        <v>4377</v>
      </c>
      <c r="BB50" s="60" t="s">
        <v>4377</v>
      </c>
      <c r="BC50" s="60" t="s">
        <v>1619</v>
      </c>
      <c r="BD50" s="60" t="s">
        <v>4634</v>
      </c>
      <c r="BE50" s="60" t="s">
        <v>4723</v>
      </c>
      <c r="BF50" s="60" t="s">
        <v>4561</v>
      </c>
      <c r="BG50" s="60" t="s">
        <v>4377</v>
      </c>
      <c r="BH50" s="60" t="s">
        <v>4377</v>
      </c>
      <c r="BI50" s="60" t="s">
        <v>2758</v>
      </c>
      <c r="BJ50" s="60" t="s">
        <v>4377</v>
      </c>
      <c r="BK50" s="60" t="s">
        <v>4377</v>
      </c>
      <c r="BL50" s="60">
        <v>3418065</v>
      </c>
      <c r="BM50" s="60" t="s">
        <v>4724</v>
      </c>
      <c r="BN50" s="60">
        <v>1157.12</v>
      </c>
      <c r="BO50" s="60" t="s">
        <v>4377</v>
      </c>
      <c r="BP50" s="60" t="s">
        <v>4377</v>
      </c>
      <c r="BQ50" s="60" t="s">
        <v>4377</v>
      </c>
      <c r="BR50" s="60" t="s">
        <v>4725</v>
      </c>
      <c r="BS50" s="60" t="s">
        <v>1582</v>
      </c>
      <c r="BT50" s="60" t="s">
        <v>4377</v>
      </c>
      <c r="BU50" s="60" t="s">
        <v>4377</v>
      </c>
      <c r="BV50" s="60" t="s">
        <v>4377</v>
      </c>
      <c r="BW50" s="60" t="s">
        <v>4377</v>
      </c>
      <c r="BX50" s="60">
        <v>1157.12</v>
      </c>
      <c r="BY50" s="60" t="s">
        <v>4377</v>
      </c>
      <c r="BZ50" s="60" t="s">
        <v>4377</v>
      </c>
      <c r="CA50" s="60" t="s">
        <v>4545</v>
      </c>
      <c r="CB50" s="60" t="s">
        <v>4377</v>
      </c>
      <c r="CC50" s="60" t="s">
        <v>4377</v>
      </c>
      <c r="CD50" s="60" t="s">
        <v>4377</v>
      </c>
    </row>
    <row r="51" spans="1:82">
      <c r="A51" s="60">
        <v>23531</v>
      </c>
      <c r="B51" s="60" t="s">
        <v>4377</v>
      </c>
      <c r="C51" s="60" t="s">
        <v>4716</v>
      </c>
      <c r="D51" s="60" t="s">
        <v>4377</v>
      </c>
      <c r="E51" s="60" t="s">
        <v>4543</v>
      </c>
      <c r="F51" s="60" t="s">
        <v>4717</v>
      </c>
      <c r="G51" s="60" t="s">
        <v>4545</v>
      </c>
      <c r="H51" s="60" t="s">
        <v>4718</v>
      </c>
      <c r="I51" s="60">
        <v>3801.32</v>
      </c>
      <c r="J51" s="60" t="s">
        <v>1582</v>
      </c>
      <c r="K51" s="60" t="s">
        <v>4377</v>
      </c>
      <c r="L51" s="60" t="s">
        <v>4543</v>
      </c>
      <c r="M51" s="60" t="s">
        <v>4719</v>
      </c>
      <c r="N51" s="60" t="s">
        <v>4719</v>
      </c>
      <c r="O51" s="60" t="s">
        <v>4548</v>
      </c>
      <c r="P51" s="60" t="s">
        <v>4549</v>
      </c>
      <c r="Q51" s="60" t="s">
        <v>4718</v>
      </c>
      <c r="R51" s="60" t="s">
        <v>4720</v>
      </c>
      <c r="S51" s="60" t="s">
        <v>4721</v>
      </c>
      <c r="T51" s="60" t="s">
        <v>4630</v>
      </c>
      <c r="U51" s="60" t="s">
        <v>4552</v>
      </c>
      <c r="V51" s="60" t="s">
        <v>4374</v>
      </c>
      <c r="W51" s="60" t="s">
        <v>4377</v>
      </c>
      <c r="X51" s="60" t="s">
        <v>4722</v>
      </c>
      <c r="Y51" s="60" t="s">
        <v>4554</v>
      </c>
      <c r="Z51" s="60" t="s">
        <v>4669</v>
      </c>
      <c r="AA51" s="60" t="s">
        <v>4377</v>
      </c>
      <c r="AB51" s="60" t="s">
        <v>4377</v>
      </c>
      <c r="AC51" s="60" t="s">
        <v>4377</v>
      </c>
      <c r="AD51" s="60" t="s">
        <v>4377</v>
      </c>
      <c r="AE51" s="60" t="s">
        <v>4377</v>
      </c>
      <c r="AF51" s="60" t="s">
        <v>4377</v>
      </c>
      <c r="AG51" s="60" t="s">
        <v>4377</v>
      </c>
      <c r="AH51" s="60" t="s">
        <v>4377</v>
      </c>
      <c r="AI51" s="60" t="s">
        <v>4377</v>
      </c>
      <c r="AJ51" s="60" t="s">
        <v>4377</v>
      </c>
      <c r="AK51" s="60" t="s">
        <v>4377</v>
      </c>
      <c r="AL51" s="60" t="s">
        <v>4377</v>
      </c>
      <c r="AM51" s="60" t="s">
        <v>4377</v>
      </c>
      <c r="AN51" s="60" t="s">
        <v>4377</v>
      </c>
      <c r="AO51" s="60" t="s">
        <v>4377</v>
      </c>
      <c r="AP51" s="61">
        <v>45670.699849537</v>
      </c>
      <c r="AQ51" s="60" t="s">
        <v>4377</v>
      </c>
      <c r="AR51" s="60" t="s">
        <v>4377</v>
      </c>
      <c r="AS51" s="60" t="s">
        <v>4592</v>
      </c>
      <c r="AT51" s="60" t="s">
        <v>4571</v>
      </c>
      <c r="AU51" s="60" t="s">
        <v>4377</v>
      </c>
      <c r="AV51" s="60" t="s">
        <v>4377</v>
      </c>
      <c r="AW51" s="61">
        <v>45659.5821180556</v>
      </c>
      <c r="AX51" s="60" t="s">
        <v>4377</v>
      </c>
      <c r="AY51" s="60" t="s">
        <v>4559</v>
      </c>
      <c r="AZ51" s="60" t="s">
        <v>4377</v>
      </c>
      <c r="BA51" s="60" t="s">
        <v>4377</v>
      </c>
      <c r="BB51" s="60" t="s">
        <v>4377</v>
      </c>
      <c r="BC51" s="60" t="s">
        <v>1619</v>
      </c>
      <c r="BD51" s="60" t="s">
        <v>4634</v>
      </c>
      <c r="BE51" s="60" t="s">
        <v>4723</v>
      </c>
      <c r="BF51" s="60" t="s">
        <v>4561</v>
      </c>
      <c r="BG51" s="60" t="s">
        <v>4377</v>
      </c>
      <c r="BH51" s="60" t="s">
        <v>4377</v>
      </c>
      <c r="BI51" s="60" t="s">
        <v>2758</v>
      </c>
      <c r="BJ51" s="60" t="s">
        <v>4377</v>
      </c>
      <c r="BK51" s="60" t="s">
        <v>4377</v>
      </c>
      <c r="BL51" s="60">
        <v>3418066</v>
      </c>
      <c r="BM51" s="60" t="s">
        <v>4724</v>
      </c>
      <c r="BN51" s="60">
        <v>395.5</v>
      </c>
      <c r="BO51" s="60" t="s">
        <v>4377</v>
      </c>
      <c r="BP51" s="60" t="s">
        <v>4377</v>
      </c>
      <c r="BQ51" s="60" t="s">
        <v>4377</v>
      </c>
      <c r="BR51" s="60" t="s">
        <v>4725</v>
      </c>
      <c r="BS51" s="60" t="s">
        <v>1582</v>
      </c>
      <c r="BT51" s="60" t="s">
        <v>4377</v>
      </c>
      <c r="BU51" s="60" t="s">
        <v>4377</v>
      </c>
      <c r="BV51" s="60" t="s">
        <v>4377</v>
      </c>
      <c r="BW51" s="60" t="s">
        <v>4377</v>
      </c>
      <c r="BX51" s="60">
        <v>395.5</v>
      </c>
      <c r="BY51" s="60" t="s">
        <v>4377</v>
      </c>
      <c r="BZ51" s="60" t="s">
        <v>4377</v>
      </c>
      <c r="CA51" s="60" t="s">
        <v>4545</v>
      </c>
      <c r="CB51" s="60" t="s">
        <v>4377</v>
      </c>
      <c r="CC51" s="60" t="s">
        <v>4377</v>
      </c>
      <c r="CD51" s="60" t="s">
        <v>4377</v>
      </c>
    </row>
    <row r="52" spans="1:82">
      <c r="A52" s="60">
        <v>23532</v>
      </c>
      <c r="B52" s="60" t="s">
        <v>4377</v>
      </c>
      <c r="C52" s="60" t="s">
        <v>4716</v>
      </c>
      <c r="D52" s="60" t="s">
        <v>4377</v>
      </c>
      <c r="E52" s="60" t="s">
        <v>4543</v>
      </c>
      <c r="F52" s="60" t="s">
        <v>4717</v>
      </c>
      <c r="G52" s="60" t="s">
        <v>4545</v>
      </c>
      <c r="H52" s="60" t="s">
        <v>4718</v>
      </c>
      <c r="I52" s="60">
        <v>3801.32</v>
      </c>
      <c r="J52" s="60" t="s">
        <v>1582</v>
      </c>
      <c r="K52" s="60" t="s">
        <v>4377</v>
      </c>
      <c r="L52" s="60" t="s">
        <v>4543</v>
      </c>
      <c r="M52" s="60" t="s">
        <v>4719</v>
      </c>
      <c r="N52" s="60" t="s">
        <v>4719</v>
      </c>
      <c r="O52" s="60" t="s">
        <v>4548</v>
      </c>
      <c r="P52" s="60" t="s">
        <v>4549</v>
      </c>
      <c r="Q52" s="60" t="s">
        <v>4718</v>
      </c>
      <c r="R52" s="60" t="s">
        <v>4720</v>
      </c>
      <c r="S52" s="60" t="s">
        <v>4721</v>
      </c>
      <c r="T52" s="60" t="s">
        <v>4630</v>
      </c>
      <c r="U52" s="60" t="s">
        <v>4552</v>
      </c>
      <c r="V52" s="60" t="s">
        <v>4374</v>
      </c>
      <c r="W52" s="60" t="s">
        <v>4377</v>
      </c>
      <c r="X52" s="60" t="s">
        <v>4722</v>
      </c>
      <c r="Y52" s="60" t="s">
        <v>4554</v>
      </c>
      <c r="Z52" s="60" t="s">
        <v>4669</v>
      </c>
      <c r="AA52" s="60" t="s">
        <v>4377</v>
      </c>
      <c r="AB52" s="60" t="s">
        <v>4377</v>
      </c>
      <c r="AC52" s="60" t="s">
        <v>4377</v>
      </c>
      <c r="AD52" s="60" t="s">
        <v>4377</v>
      </c>
      <c r="AE52" s="60" t="s">
        <v>4377</v>
      </c>
      <c r="AF52" s="60" t="s">
        <v>4377</v>
      </c>
      <c r="AG52" s="60" t="s">
        <v>4377</v>
      </c>
      <c r="AH52" s="60" t="s">
        <v>4377</v>
      </c>
      <c r="AI52" s="60" t="s">
        <v>4377</v>
      </c>
      <c r="AJ52" s="60" t="s">
        <v>4377</v>
      </c>
      <c r="AK52" s="60" t="s">
        <v>4377</v>
      </c>
      <c r="AL52" s="60" t="s">
        <v>4377</v>
      </c>
      <c r="AM52" s="60" t="s">
        <v>4377</v>
      </c>
      <c r="AN52" s="60" t="s">
        <v>4377</v>
      </c>
      <c r="AO52" s="60" t="s">
        <v>4377</v>
      </c>
      <c r="AP52" s="61">
        <v>45670.699849537</v>
      </c>
      <c r="AQ52" s="60" t="s">
        <v>4377</v>
      </c>
      <c r="AR52" s="60" t="s">
        <v>4377</v>
      </c>
      <c r="AS52" s="60" t="s">
        <v>4592</v>
      </c>
      <c r="AT52" s="60" t="s">
        <v>4571</v>
      </c>
      <c r="AU52" s="60" t="s">
        <v>4377</v>
      </c>
      <c r="AV52" s="60" t="s">
        <v>4377</v>
      </c>
      <c r="AW52" s="61">
        <v>45659.5821180556</v>
      </c>
      <c r="AX52" s="60" t="s">
        <v>4377</v>
      </c>
      <c r="AY52" s="60" t="s">
        <v>4559</v>
      </c>
      <c r="AZ52" s="60" t="s">
        <v>4377</v>
      </c>
      <c r="BA52" s="60" t="s">
        <v>4377</v>
      </c>
      <c r="BB52" s="60" t="s">
        <v>4377</v>
      </c>
      <c r="BC52" s="60" t="s">
        <v>1619</v>
      </c>
      <c r="BD52" s="60" t="s">
        <v>4634</v>
      </c>
      <c r="BE52" s="60" t="s">
        <v>4723</v>
      </c>
      <c r="BF52" s="60" t="s">
        <v>4561</v>
      </c>
      <c r="BG52" s="60" t="s">
        <v>4377</v>
      </c>
      <c r="BH52" s="60" t="s">
        <v>4377</v>
      </c>
      <c r="BI52" s="60" t="s">
        <v>2758</v>
      </c>
      <c r="BJ52" s="60" t="s">
        <v>4377</v>
      </c>
      <c r="BK52" s="60" t="s">
        <v>4377</v>
      </c>
      <c r="BL52" s="60">
        <v>3418067</v>
      </c>
      <c r="BM52" s="60" t="s">
        <v>4724</v>
      </c>
      <c r="BN52" s="60">
        <v>395.5</v>
      </c>
      <c r="BO52" s="60" t="s">
        <v>4377</v>
      </c>
      <c r="BP52" s="60" t="s">
        <v>4377</v>
      </c>
      <c r="BQ52" s="60" t="s">
        <v>4377</v>
      </c>
      <c r="BR52" s="60" t="s">
        <v>4725</v>
      </c>
      <c r="BS52" s="60" t="s">
        <v>1582</v>
      </c>
      <c r="BT52" s="60" t="s">
        <v>4377</v>
      </c>
      <c r="BU52" s="60" t="s">
        <v>4377</v>
      </c>
      <c r="BV52" s="60" t="s">
        <v>4377</v>
      </c>
      <c r="BW52" s="60" t="s">
        <v>4377</v>
      </c>
      <c r="BX52" s="60">
        <v>395.5</v>
      </c>
      <c r="BY52" s="60" t="s">
        <v>4377</v>
      </c>
      <c r="BZ52" s="60" t="s">
        <v>4377</v>
      </c>
      <c r="CA52" s="60" t="s">
        <v>4545</v>
      </c>
      <c r="CB52" s="60" t="s">
        <v>4377</v>
      </c>
      <c r="CC52" s="60" t="s">
        <v>4377</v>
      </c>
      <c r="CD52" s="60" t="s">
        <v>4377</v>
      </c>
    </row>
    <row r="53" spans="1:82">
      <c r="A53" s="60">
        <v>23533</v>
      </c>
      <c r="B53" s="60" t="s">
        <v>4377</v>
      </c>
      <c r="C53" s="60" t="s">
        <v>4716</v>
      </c>
      <c r="D53" s="60" t="s">
        <v>4377</v>
      </c>
      <c r="E53" s="60" t="s">
        <v>4543</v>
      </c>
      <c r="F53" s="60" t="s">
        <v>4717</v>
      </c>
      <c r="G53" s="60" t="s">
        <v>4545</v>
      </c>
      <c r="H53" s="60" t="s">
        <v>4718</v>
      </c>
      <c r="I53" s="60">
        <v>3801.32</v>
      </c>
      <c r="J53" s="60" t="s">
        <v>1582</v>
      </c>
      <c r="K53" s="60" t="s">
        <v>4377</v>
      </c>
      <c r="L53" s="60" t="s">
        <v>4543</v>
      </c>
      <c r="M53" s="60" t="s">
        <v>4719</v>
      </c>
      <c r="N53" s="60" t="s">
        <v>4719</v>
      </c>
      <c r="O53" s="60" t="s">
        <v>4548</v>
      </c>
      <c r="P53" s="60" t="s">
        <v>4549</v>
      </c>
      <c r="Q53" s="60" t="s">
        <v>4718</v>
      </c>
      <c r="R53" s="60" t="s">
        <v>4720</v>
      </c>
      <c r="S53" s="60" t="s">
        <v>4721</v>
      </c>
      <c r="T53" s="60" t="s">
        <v>4630</v>
      </c>
      <c r="U53" s="60" t="s">
        <v>4552</v>
      </c>
      <c r="V53" s="60" t="s">
        <v>4374</v>
      </c>
      <c r="W53" s="60" t="s">
        <v>4377</v>
      </c>
      <c r="X53" s="60" t="s">
        <v>4722</v>
      </c>
      <c r="Y53" s="60" t="s">
        <v>4554</v>
      </c>
      <c r="Z53" s="60" t="s">
        <v>4669</v>
      </c>
      <c r="AA53" s="60" t="s">
        <v>4377</v>
      </c>
      <c r="AB53" s="60" t="s">
        <v>4377</v>
      </c>
      <c r="AC53" s="60" t="s">
        <v>4377</v>
      </c>
      <c r="AD53" s="60" t="s">
        <v>4377</v>
      </c>
      <c r="AE53" s="60" t="s">
        <v>4377</v>
      </c>
      <c r="AF53" s="60" t="s">
        <v>4377</v>
      </c>
      <c r="AG53" s="60" t="s">
        <v>4377</v>
      </c>
      <c r="AH53" s="60" t="s">
        <v>4377</v>
      </c>
      <c r="AI53" s="60" t="s">
        <v>4377</v>
      </c>
      <c r="AJ53" s="60" t="s">
        <v>4377</v>
      </c>
      <c r="AK53" s="60" t="s">
        <v>4377</v>
      </c>
      <c r="AL53" s="60" t="s">
        <v>4377</v>
      </c>
      <c r="AM53" s="60" t="s">
        <v>4377</v>
      </c>
      <c r="AN53" s="60" t="s">
        <v>4377</v>
      </c>
      <c r="AO53" s="60" t="s">
        <v>4377</v>
      </c>
      <c r="AP53" s="61">
        <v>45670.699849537</v>
      </c>
      <c r="AQ53" s="60" t="s">
        <v>4377</v>
      </c>
      <c r="AR53" s="60" t="s">
        <v>4377</v>
      </c>
      <c r="AS53" s="60" t="s">
        <v>4592</v>
      </c>
      <c r="AT53" s="60" t="s">
        <v>4571</v>
      </c>
      <c r="AU53" s="60" t="s">
        <v>4377</v>
      </c>
      <c r="AV53" s="60" t="s">
        <v>4377</v>
      </c>
      <c r="AW53" s="61">
        <v>45659.5821180556</v>
      </c>
      <c r="AX53" s="60" t="s">
        <v>4377</v>
      </c>
      <c r="AY53" s="60" t="s">
        <v>4559</v>
      </c>
      <c r="AZ53" s="60" t="s">
        <v>4377</v>
      </c>
      <c r="BA53" s="60" t="s">
        <v>4377</v>
      </c>
      <c r="BB53" s="60" t="s">
        <v>4377</v>
      </c>
      <c r="BC53" s="60" t="s">
        <v>1619</v>
      </c>
      <c r="BD53" s="60" t="s">
        <v>4634</v>
      </c>
      <c r="BE53" s="60" t="s">
        <v>4723</v>
      </c>
      <c r="BF53" s="60" t="s">
        <v>4561</v>
      </c>
      <c r="BG53" s="60" t="s">
        <v>4377</v>
      </c>
      <c r="BH53" s="60" t="s">
        <v>4377</v>
      </c>
      <c r="BI53" s="60" t="s">
        <v>2758</v>
      </c>
      <c r="BJ53" s="60" t="s">
        <v>4377</v>
      </c>
      <c r="BK53" s="60" t="s">
        <v>4377</v>
      </c>
      <c r="BL53" s="60">
        <v>3418068</v>
      </c>
      <c r="BM53" s="60" t="s">
        <v>4724</v>
      </c>
      <c r="BN53" s="60">
        <v>113</v>
      </c>
      <c r="BO53" s="60" t="s">
        <v>4377</v>
      </c>
      <c r="BP53" s="60" t="s">
        <v>4377</v>
      </c>
      <c r="BQ53" s="60" t="s">
        <v>4377</v>
      </c>
      <c r="BR53" s="60" t="s">
        <v>4725</v>
      </c>
      <c r="BS53" s="60" t="s">
        <v>1582</v>
      </c>
      <c r="BT53" s="60" t="s">
        <v>4377</v>
      </c>
      <c r="BU53" s="60" t="s">
        <v>4377</v>
      </c>
      <c r="BV53" s="60" t="s">
        <v>4377</v>
      </c>
      <c r="BW53" s="60" t="s">
        <v>4377</v>
      </c>
      <c r="BX53" s="60">
        <v>113</v>
      </c>
      <c r="BY53" s="60" t="s">
        <v>4377</v>
      </c>
      <c r="BZ53" s="60" t="s">
        <v>4377</v>
      </c>
      <c r="CA53" s="60" t="s">
        <v>4545</v>
      </c>
      <c r="CB53" s="60" t="s">
        <v>4377</v>
      </c>
      <c r="CC53" s="60" t="s">
        <v>4377</v>
      </c>
      <c r="CD53" s="60" t="s">
        <v>4377</v>
      </c>
    </row>
    <row r="54" spans="1:82">
      <c r="A54" s="60">
        <v>23534</v>
      </c>
      <c r="B54" s="60" t="s">
        <v>4377</v>
      </c>
      <c r="C54" s="60" t="s">
        <v>4716</v>
      </c>
      <c r="D54" s="60" t="s">
        <v>4377</v>
      </c>
      <c r="E54" s="60" t="s">
        <v>4543</v>
      </c>
      <c r="F54" s="60" t="s">
        <v>4717</v>
      </c>
      <c r="G54" s="60" t="s">
        <v>4545</v>
      </c>
      <c r="H54" s="60" t="s">
        <v>4718</v>
      </c>
      <c r="I54" s="60">
        <v>3801.32</v>
      </c>
      <c r="J54" s="60" t="s">
        <v>1582</v>
      </c>
      <c r="K54" s="60" t="s">
        <v>4377</v>
      </c>
      <c r="L54" s="60" t="s">
        <v>4543</v>
      </c>
      <c r="M54" s="60" t="s">
        <v>4719</v>
      </c>
      <c r="N54" s="60" t="s">
        <v>4719</v>
      </c>
      <c r="O54" s="60" t="s">
        <v>4548</v>
      </c>
      <c r="P54" s="60" t="s">
        <v>4549</v>
      </c>
      <c r="Q54" s="60" t="s">
        <v>4718</v>
      </c>
      <c r="R54" s="60" t="s">
        <v>4720</v>
      </c>
      <c r="S54" s="60" t="s">
        <v>4721</v>
      </c>
      <c r="T54" s="60" t="s">
        <v>4630</v>
      </c>
      <c r="U54" s="60" t="s">
        <v>4552</v>
      </c>
      <c r="V54" s="60" t="s">
        <v>4374</v>
      </c>
      <c r="W54" s="60" t="s">
        <v>4377</v>
      </c>
      <c r="X54" s="60" t="s">
        <v>4722</v>
      </c>
      <c r="Y54" s="60" t="s">
        <v>4554</v>
      </c>
      <c r="Z54" s="60" t="s">
        <v>4669</v>
      </c>
      <c r="AA54" s="60" t="s">
        <v>4377</v>
      </c>
      <c r="AB54" s="60" t="s">
        <v>4377</v>
      </c>
      <c r="AC54" s="60" t="s">
        <v>4377</v>
      </c>
      <c r="AD54" s="60" t="s">
        <v>4377</v>
      </c>
      <c r="AE54" s="60" t="s">
        <v>4377</v>
      </c>
      <c r="AF54" s="60" t="s">
        <v>4377</v>
      </c>
      <c r="AG54" s="60" t="s">
        <v>4377</v>
      </c>
      <c r="AH54" s="60" t="s">
        <v>4377</v>
      </c>
      <c r="AI54" s="60" t="s">
        <v>4377</v>
      </c>
      <c r="AJ54" s="60" t="s">
        <v>4377</v>
      </c>
      <c r="AK54" s="60" t="s">
        <v>4377</v>
      </c>
      <c r="AL54" s="60" t="s">
        <v>4377</v>
      </c>
      <c r="AM54" s="60" t="s">
        <v>4377</v>
      </c>
      <c r="AN54" s="60" t="s">
        <v>4377</v>
      </c>
      <c r="AO54" s="60" t="s">
        <v>4377</v>
      </c>
      <c r="AP54" s="61">
        <v>45670.699849537</v>
      </c>
      <c r="AQ54" s="60" t="s">
        <v>4377</v>
      </c>
      <c r="AR54" s="60" t="s">
        <v>4377</v>
      </c>
      <c r="AS54" s="60" t="s">
        <v>4592</v>
      </c>
      <c r="AT54" s="60" t="s">
        <v>4571</v>
      </c>
      <c r="AU54" s="60" t="s">
        <v>4377</v>
      </c>
      <c r="AV54" s="60" t="s">
        <v>4377</v>
      </c>
      <c r="AW54" s="61">
        <v>45659.5821180556</v>
      </c>
      <c r="AX54" s="60" t="s">
        <v>4377</v>
      </c>
      <c r="AY54" s="60" t="s">
        <v>4559</v>
      </c>
      <c r="AZ54" s="60" t="s">
        <v>4377</v>
      </c>
      <c r="BA54" s="60" t="s">
        <v>4377</v>
      </c>
      <c r="BB54" s="60" t="s">
        <v>4377</v>
      </c>
      <c r="BC54" s="60" t="s">
        <v>1619</v>
      </c>
      <c r="BD54" s="60" t="s">
        <v>4634</v>
      </c>
      <c r="BE54" s="60" t="s">
        <v>4723</v>
      </c>
      <c r="BF54" s="60" t="s">
        <v>4561</v>
      </c>
      <c r="BG54" s="60" t="s">
        <v>4377</v>
      </c>
      <c r="BH54" s="60" t="s">
        <v>4377</v>
      </c>
      <c r="BI54" s="60" t="s">
        <v>2758</v>
      </c>
      <c r="BJ54" s="60" t="s">
        <v>4377</v>
      </c>
      <c r="BK54" s="60" t="s">
        <v>4377</v>
      </c>
      <c r="BL54" s="60">
        <v>3418069</v>
      </c>
      <c r="BM54" s="60" t="s">
        <v>4724</v>
      </c>
      <c r="BN54" s="60">
        <v>1740.2</v>
      </c>
      <c r="BO54" s="60" t="s">
        <v>4377</v>
      </c>
      <c r="BP54" s="60" t="s">
        <v>4377</v>
      </c>
      <c r="BQ54" s="60" t="s">
        <v>4377</v>
      </c>
      <c r="BR54" s="60" t="s">
        <v>4725</v>
      </c>
      <c r="BS54" s="60" t="s">
        <v>1582</v>
      </c>
      <c r="BT54" s="60" t="s">
        <v>4377</v>
      </c>
      <c r="BU54" s="60" t="s">
        <v>4377</v>
      </c>
      <c r="BV54" s="60" t="s">
        <v>4377</v>
      </c>
      <c r="BW54" s="60" t="s">
        <v>4377</v>
      </c>
      <c r="BX54" s="60">
        <v>1740.2</v>
      </c>
      <c r="BY54" s="60" t="s">
        <v>4377</v>
      </c>
      <c r="BZ54" s="60" t="s">
        <v>4377</v>
      </c>
      <c r="CA54" s="60" t="s">
        <v>4545</v>
      </c>
      <c r="CB54" s="60" t="s">
        <v>4377</v>
      </c>
      <c r="CC54" s="60" t="s">
        <v>4377</v>
      </c>
      <c r="CD54" s="60" t="s">
        <v>4377</v>
      </c>
    </row>
    <row r="55" spans="1:82">
      <c r="A55" s="60">
        <v>23543</v>
      </c>
      <c r="B55" s="60" t="s">
        <v>4377</v>
      </c>
      <c r="C55" s="60" t="s">
        <v>4726</v>
      </c>
      <c r="D55" s="60" t="s">
        <v>4377</v>
      </c>
      <c r="E55" s="60" t="s">
        <v>4727</v>
      </c>
      <c r="F55" s="60" t="s">
        <v>4728</v>
      </c>
      <c r="G55" s="60" t="s">
        <v>4545</v>
      </c>
      <c r="H55" s="60" t="s">
        <v>4729</v>
      </c>
      <c r="I55" s="60">
        <v>2850</v>
      </c>
      <c r="J55" s="60" t="s">
        <v>4377</v>
      </c>
      <c r="K55" s="60" t="s">
        <v>4377</v>
      </c>
      <c r="L55" s="60" t="s">
        <v>4410</v>
      </c>
      <c r="M55" s="60" t="s">
        <v>4719</v>
      </c>
      <c r="N55" s="60" t="s">
        <v>4719</v>
      </c>
      <c r="O55" s="60" t="s">
        <v>4377</v>
      </c>
      <c r="P55" s="60" t="s">
        <v>4377</v>
      </c>
      <c r="Q55" s="60" t="s">
        <v>4729</v>
      </c>
      <c r="R55" s="60" t="s">
        <v>4730</v>
      </c>
      <c r="S55" s="60" t="s">
        <v>4731</v>
      </c>
      <c r="T55" s="60" t="s">
        <v>4630</v>
      </c>
      <c r="U55" s="60" t="s">
        <v>4377</v>
      </c>
      <c r="V55" s="60" t="s">
        <v>4374</v>
      </c>
      <c r="W55" s="60" t="s">
        <v>4377</v>
      </c>
      <c r="X55" s="60" t="s">
        <v>4732</v>
      </c>
      <c r="Y55" s="60" t="s">
        <v>4377</v>
      </c>
      <c r="Z55" s="60" t="s">
        <v>4377</v>
      </c>
      <c r="AA55" s="60" t="s">
        <v>4377</v>
      </c>
      <c r="AB55" s="60" t="s">
        <v>4377</v>
      </c>
      <c r="AC55" s="60" t="s">
        <v>4377</v>
      </c>
      <c r="AD55" s="60" t="s">
        <v>4377</v>
      </c>
      <c r="AE55" s="60" t="s">
        <v>4377</v>
      </c>
      <c r="AF55" s="60" t="s">
        <v>4377</v>
      </c>
      <c r="AG55" s="60" t="s">
        <v>4377</v>
      </c>
      <c r="AH55" s="60" t="s">
        <v>4377</v>
      </c>
      <c r="AI55" s="60" t="s">
        <v>4377</v>
      </c>
      <c r="AJ55" s="60" t="s">
        <v>4377</v>
      </c>
      <c r="AK55" s="60" t="s">
        <v>4377</v>
      </c>
      <c r="AL55" s="60" t="s">
        <v>4377</v>
      </c>
      <c r="AM55" s="60" t="s">
        <v>4377</v>
      </c>
      <c r="AN55" s="60" t="s">
        <v>4377</v>
      </c>
      <c r="AO55" s="60" t="s">
        <v>4377</v>
      </c>
      <c r="AP55" s="61">
        <v>45670.6998032407</v>
      </c>
      <c r="AQ55" s="60" t="s">
        <v>4377</v>
      </c>
      <c r="AR55" s="60" t="s">
        <v>4377</v>
      </c>
      <c r="AS55" s="60" t="s">
        <v>4552</v>
      </c>
      <c r="AT55" s="60" t="s">
        <v>4571</v>
      </c>
      <c r="AU55" s="60" t="s">
        <v>4377</v>
      </c>
      <c r="AV55" s="60" t="s">
        <v>4377</v>
      </c>
      <c r="AW55" s="61">
        <v>45660.3681597222</v>
      </c>
      <c r="AX55" s="60" t="s">
        <v>4377</v>
      </c>
      <c r="AY55" s="60" t="s">
        <v>4559</v>
      </c>
      <c r="AZ55" s="60" t="s">
        <v>4377</v>
      </c>
      <c r="BA55" s="60" t="s">
        <v>4377</v>
      </c>
      <c r="BB55" s="60" t="s">
        <v>4377</v>
      </c>
      <c r="BC55" s="60" t="s">
        <v>4733</v>
      </c>
      <c r="BD55" s="60" t="s">
        <v>4734</v>
      </c>
      <c r="BE55" s="60" t="s">
        <v>4735</v>
      </c>
      <c r="BF55" s="60" t="s">
        <v>4561</v>
      </c>
      <c r="BG55" s="60" t="s">
        <v>4377</v>
      </c>
      <c r="BH55" s="60" t="s">
        <v>4377</v>
      </c>
      <c r="BI55" s="60" t="s">
        <v>2758</v>
      </c>
      <c r="BJ55" s="60" t="s">
        <v>4377</v>
      </c>
      <c r="BK55" s="60" t="s">
        <v>4377</v>
      </c>
      <c r="BL55" s="60">
        <v>3081053</v>
      </c>
      <c r="BM55" s="60" t="s">
        <v>4736</v>
      </c>
      <c r="BN55" s="60">
        <v>950</v>
      </c>
      <c r="BO55" s="60" t="s">
        <v>4377</v>
      </c>
      <c r="BP55" s="60" t="s">
        <v>4377</v>
      </c>
      <c r="BQ55" s="60" t="s">
        <v>4377</v>
      </c>
      <c r="BR55" s="60" t="s">
        <v>4737</v>
      </c>
      <c r="BS55" s="60" t="s">
        <v>1582</v>
      </c>
      <c r="BT55" s="60" t="s">
        <v>4377</v>
      </c>
      <c r="BU55" s="60" t="s">
        <v>4377</v>
      </c>
      <c r="BV55" s="60" t="s">
        <v>4377</v>
      </c>
      <c r="BW55" s="60" t="s">
        <v>4377</v>
      </c>
      <c r="BX55" s="60">
        <v>950</v>
      </c>
      <c r="BY55" s="60" t="s">
        <v>4377</v>
      </c>
      <c r="BZ55" s="60" t="s">
        <v>4377</v>
      </c>
      <c r="CA55" s="60" t="s">
        <v>4545</v>
      </c>
      <c r="CB55" s="60" t="s">
        <v>4377</v>
      </c>
      <c r="CC55" s="60" t="s">
        <v>4377</v>
      </c>
      <c r="CD55" s="60" t="s">
        <v>4377</v>
      </c>
    </row>
    <row r="56" spans="1:82">
      <c r="A56" s="60">
        <v>23544</v>
      </c>
      <c r="B56" s="60" t="s">
        <v>4377</v>
      </c>
      <c r="C56" s="60" t="s">
        <v>4726</v>
      </c>
      <c r="D56" s="60" t="s">
        <v>4377</v>
      </c>
      <c r="E56" s="60" t="s">
        <v>4727</v>
      </c>
      <c r="F56" s="60" t="s">
        <v>4728</v>
      </c>
      <c r="G56" s="60" t="s">
        <v>4545</v>
      </c>
      <c r="H56" s="60" t="s">
        <v>4729</v>
      </c>
      <c r="I56" s="60">
        <v>2850</v>
      </c>
      <c r="J56" s="60" t="s">
        <v>4377</v>
      </c>
      <c r="K56" s="60" t="s">
        <v>4377</v>
      </c>
      <c r="L56" s="60" t="s">
        <v>4410</v>
      </c>
      <c r="M56" s="60" t="s">
        <v>4719</v>
      </c>
      <c r="N56" s="60" t="s">
        <v>4719</v>
      </c>
      <c r="O56" s="60" t="s">
        <v>4377</v>
      </c>
      <c r="P56" s="60" t="s">
        <v>4377</v>
      </c>
      <c r="Q56" s="60" t="s">
        <v>4729</v>
      </c>
      <c r="R56" s="60" t="s">
        <v>4730</v>
      </c>
      <c r="S56" s="60" t="s">
        <v>4731</v>
      </c>
      <c r="T56" s="60" t="s">
        <v>4630</v>
      </c>
      <c r="U56" s="60" t="s">
        <v>4377</v>
      </c>
      <c r="V56" s="60" t="s">
        <v>4374</v>
      </c>
      <c r="W56" s="60" t="s">
        <v>4377</v>
      </c>
      <c r="X56" s="60" t="s">
        <v>4732</v>
      </c>
      <c r="Y56" s="60" t="s">
        <v>4377</v>
      </c>
      <c r="Z56" s="60" t="s">
        <v>4377</v>
      </c>
      <c r="AA56" s="60" t="s">
        <v>4377</v>
      </c>
      <c r="AB56" s="60" t="s">
        <v>4377</v>
      </c>
      <c r="AC56" s="60" t="s">
        <v>4377</v>
      </c>
      <c r="AD56" s="60" t="s">
        <v>4377</v>
      </c>
      <c r="AE56" s="60" t="s">
        <v>4377</v>
      </c>
      <c r="AF56" s="60" t="s">
        <v>4377</v>
      </c>
      <c r="AG56" s="60" t="s">
        <v>4377</v>
      </c>
      <c r="AH56" s="60" t="s">
        <v>4377</v>
      </c>
      <c r="AI56" s="60" t="s">
        <v>4377</v>
      </c>
      <c r="AJ56" s="60" t="s">
        <v>4377</v>
      </c>
      <c r="AK56" s="60" t="s">
        <v>4377</v>
      </c>
      <c r="AL56" s="60" t="s">
        <v>4377</v>
      </c>
      <c r="AM56" s="60" t="s">
        <v>4377</v>
      </c>
      <c r="AN56" s="60" t="s">
        <v>4377</v>
      </c>
      <c r="AO56" s="60" t="s">
        <v>4377</v>
      </c>
      <c r="AP56" s="61">
        <v>45670.6998032407</v>
      </c>
      <c r="AQ56" s="60" t="s">
        <v>4377</v>
      </c>
      <c r="AR56" s="60" t="s">
        <v>4377</v>
      </c>
      <c r="AS56" s="60" t="s">
        <v>4552</v>
      </c>
      <c r="AT56" s="60" t="s">
        <v>4571</v>
      </c>
      <c r="AU56" s="60" t="s">
        <v>4377</v>
      </c>
      <c r="AV56" s="60" t="s">
        <v>4377</v>
      </c>
      <c r="AW56" s="61">
        <v>45660.3681597222</v>
      </c>
      <c r="AX56" s="60" t="s">
        <v>4377</v>
      </c>
      <c r="AY56" s="60" t="s">
        <v>4559</v>
      </c>
      <c r="AZ56" s="60" t="s">
        <v>4377</v>
      </c>
      <c r="BA56" s="60" t="s">
        <v>4377</v>
      </c>
      <c r="BB56" s="60" t="s">
        <v>4377</v>
      </c>
      <c r="BC56" s="60" t="s">
        <v>4733</v>
      </c>
      <c r="BD56" s="60" t="s">
        <v>4734</v>
      </c>
      <c r="BE56" s="60" t="s">
        <v>4735</v>
      </c>
      <c r="BF56" s="60" t="s">
        <v>4561</v>
      </c>
      <c r="BG56" s="60" t="s">
        <v>4377</v>
      </c>
      <c r="BH56" s="60" t="s">
        <v>4377</v>
      </c>
      <c r="BI56" s="60" t="s">
        <v>2758</v>
      </c>
      <c r="BJ56" s="60" t="s">
        <v>4377</v>
      </c>
      <c r="BK56" s="60" t="s">
        <v>4377</v>
      </c>
      <c r="BL56" s="60">
        <v>3081053</v>
      </c>
      <c r="BM56" s="60" t="s">
        <v>4736</v>
      </c>
      <c r="BN56" s="60">
        <v>950</v>
      </c>
      <c r="BO56" s="60" t="s">
        <v>4377</v>
      </c>
      <c r="BP56" s="60" t="s">
        <v>4377</v>
      </c>
      <c r="BQ56" s="60" t="s">
        <v>4377</v>
      </c>
      <c r="BR56" s="60" t="s">
        <v>4737</v>
      </c>
      <c r="BS56" s="60" t="s">
        <v>1582</v>
      </c>
      <c r="BT56" s="60" t="s">
        <v>4377</v>
      </c>
      <c r="BU56" s="60" t="s">
        <v>4377</v>
      </c>
      <c r="BV56" s="60" t="s">
        <v>4377</v>
      </c>
      <c r="BW56" s="60" t="s">
        <v>4377</v>
      </c>
      <c r="BX56" s="60">
        <v>950</v>
      </c>
      <c r="BY56" s="60" t="s">
        <v>4377</v>
      </c>
      <c r="BZ56" s="60" t="s">
        <v>4377</v>
      </c>
      <c r="CA56" s="60" t="s">
        <v>4545</v>
      </c>
      <c r="CB56" s="60" t="s">
        <v>4377</v>
      </c>
      <c r="CC56" s="60" t="s">
        <v>4377</v>
      </c>
      <c r="CD56" s="60" t="s">
        <v>4377</v>
      </c>
    </row>
    <row r="57" spans="1:82">
      <c r="A57" s="60">
        <v>23545</v>
      </c>
      <c r="B57" s="60" t="s">
        <v>4377</v>
      </c>
      <c r="C57" s="60" t="s">
        <v>4726</v>
      </c>
      <c r="D57" s="60" t="s">
        <v>4377</v>
      </c>
      <c r="E57" s="60" t="s">
        <v>4727</v>
      </c>
      <c r="F57" s="60" t="s">
        <v>4728</v>
      </c>
      <c r="G57" s="60" t="s">
        <v>4545</v>
      </c>
      <c r="H57" s="60" t="s">
        <v>4729</v>
      </c>
      <c r="I57" s="60">
        <v>2850</v>
      </c>
      <c r="J57" s="60" t="s">
        <v>4377</v>
      </c>
      <c r="K57" s="60" t="s">
        <v>4377</v>
      </c>
      <c r="L57" s="60" t="s">
        <v>4410</v>
      </c>
      <c r="M57" s="60" t="s">
        <v>4719</v>
      </c>
      <c r="N57" s="60" t="s">
        <v>4719</v>
      </c>
      <c r="O57" s="60" t="s">
        <v>4377</v>
      </c>
      <c r="P57" s="60" t="s">
        <v>4377</v>
      </c>
      <c r="Q57" s="60" t="s">
        <v>4729</v>
      </c>
      <c r="R57" s="60" t="s">
        <v>4730</v>
      </c>
      <c r="S57" s="60" t="s">
        <v>4731</v>
      </c>
      <c r="T57" s="60" t="s">
        <v>4630</v>
      </c>
      <c r="U57" s="60" t="s">
        <v>4377</v>
      </c>
      <c r="V57" s="60" t="s">
        <v>4374</v>
      </c>
      <c r="W57" s="60" t="s">
        <v>4377</v>
      </c>
      <c r="X57" s="60" t="s">
        <v>4732</v>
      </c>
      <c r="Y57" s="60" t="s">
        <v>4377</v>
      </c>
      <c r="Z57" s="60" t="s">
        <v>4377</v>
      </c>
      <c r="AA57" s="60" t="s">
        <v>4377</v>
      </c>
      <c r="AB57" s="60" t="s">
        <v>4377</v>
      </c>
      <c r="AC57" s="60" t="s">
        <v>4377</v>
      </c>
      <c r="AD57" s="60" t="s">
        <v>4377</v>
      </c>
      <c r="AE57" s="60" t="s">
        <v>4377</v>
      </c>
      <c r="AF57" s="60" t="s">
        <v>4377</v>
      </c>
      <c r="AG57" s="60" t="s">
        <v>4377</v>
      </c>
      <c r="AH57" s="60" t="s">
        <v>4377</v>
      </c>
      <c r="AI57" s="60" t="s">
        <v>4377</v>
      </c>
      <c r="AJ57" s="60" t="s">
        <v>4377</v>
      </c>
      <c r="AK57" s="60" t="s">
        <v>4377</v>
      </c>
      <c r="AL57" s="60" t="s">
        <v>4377</v>
      </c>
      <c r="AM57" s="60" t="s">
        <v>4377</v>
      </c>
      <c r="AN57" s="60" t="s">
        <v>4377</v>
      </c>
      <c r="AO57" s="60" t="s">
        <v>4377</v>
      </c>
      <c r="AP57" s="61">
        <v>45670.6998032407</v>
      </c>
      <c r="AQ57" s="60" t="s">
        <v>4377</v>
      </c>
      <c r="AR57" s="60" t="s">
        <v>4377</v>
      </c>
      <c r="AS57" s="60" t="s">
        <v>4552</v>
      </c>
      <c r="AT57" s="60" t="s">
        <v>4571</v>
      </c>
      <c r="AU57" s="60" t="s">
        <v>4377</v>
      </c>
      <c r="AV57" s="60" t="s">
        <v>4377</v>
      </c>
      <c r="AW57" s="61">
        <v>45660.3681597222</v>
      </c>
      <c r="AX57" s="60" t="s">
        <v>4377</v>
      </c>
      <c r="AY57" s="60" t="s">
        <v>4559</v>
      </c>
      <c r="AZ57" s="60" t="s">
        <v>4377</v>
      </c>
      <c r="BA57" s="60" t="s">
        <v>4377</v>
      </c>
      <c r="BB57" s="60" t="s">
        <v>4377</v>
      </c>
      <c r="BC57" s="60" t="s">
        <v>4733</v>
      </c>
      <c r="BD57" s="60" t="s">
        <v>4734</v>
      </c>
      <c r="BE57" s="60" t="s">
        <v>4735</v>
      </c>
      <c r="BF57" s="60" t="s">
        <v>4561</v>
      </c>
      <c r="BG57" s="60" t="s">
        <v>4377</v>
      </c>
      <c r="BH57" s="60" t="s">
        <v>4377</v>
      </c>
      <c r="BI57" s="60" t="s">
        <v>2758</v>
      </c>
      <c r="BJ57" s="60" t="s">
        <v>4377</v>
      </c>
      <c r="BK57" s="60" t="s">
        <v>4377</v>
      </c>
      <c r="BL57" s="60">
        <v>3081053</v>
      </c>
      <c r="BM57" s="60" t="s">
        <v>4736</v>
      </c>
      <c r="BN57" s="60">
        <v>950</v>
      </c>
      <c r="BO57" s="60" t="s">
        <v>4377</v>
      </c>
      <c r="BP57" s="60" t="s">
        <v>4377</v>
      </c>
      <c r="BQ57" s="60" t="s">
        <v>4377</v>
      </c>
      <c r="BR57" s="60" t="s">
        <v>4737</v>
      </c>
      <c r="BS57" s="60" t="s">
        <v>1582</v>
      </c>
      <c r="BT57" s="60" t="s">
        <v>4377</v>
      </c>
      <c r="BU57" s="60" t="s">
        <v>4377</v>
      </c>
      <c r="BV57" s="60" t="s">
        <v>4377</v>
      </c>
      <c r="BW57" s="60" t="s">
        <v>4377</v>
      </c>
      <c r="BX57" s="60">
        <v>950</v>
      </c>
      <c r="BY57" s="60" t="s">
        <v>4377</v>
      </c>
      <c r="BZ57" s="60" t="s">
        <v>4377</v>
      </c>
      <c r="CA57" s="60" t="s">
        <v>4545</v>
      </c>
      <c r="CB57" s="60" t="s">
        <v>4377</v>
      </c>
      <c r="CC57" s="60" t="s">
        <v>4377</v>
      </c>
      <c r="CD57" s="60" t="s">
        <v>4377</v>
      </c>
    </row>
    <row r="58" spans="1:82">
      <c r="A58" s="60">
        <v>23546</v>
      </c>
      <c r="B58" s="60" t="s">
        <v>4377</v>
      </c>
      <c r="C58" s="60" t="s">
        <v>4738</v>
      </c>
      <c r="D58" s="60" t="s">
        <v>4377</v>
      </c>
      <c r="E58" s="60" t="s">
        <v>4543</v>
      </c>
      <c r="F58" s="60" t="s">
        <v>4739</v>
      </c>
      <c r="G58" s="60" t="s">
        <v>4545</v>
      </c>
      <c r="H58" s="60" t="s">
        <v>3768</v>
      </c>
      <c r="I58" s="60">
        <v>5608</v>
      </c>
      <c r="J58" s="60" t="s">
        <v>1582</v>
      </c>
      <c r="K58" s="60" t="s">
        <v>4377</v>
      </c>
      <c r="L58" s="60" t="s">
        <v>4543</v>
      </c>
      <c r="M58" s="60" t="s">
        <v>4719</v>
      </c>
      <c r="N58" s="60" t="s">
        <v>4719</v>
      </c>
      <c r="O58" s="60" t="s">
        <v>4548</v>
      </c>
      <c r="P58" s="60" t="s">
        <v>4549</v>
      </c>
      <c r="Q58" s="60" t="s">
        <v>3768</v>
      </c>
      <c r="R58" s="60" t="s">
        <v>4740</v>
      </c>
      <c r="S58" s="60" t="s">
        <v>4741</v>
      </c>
      <c r="T58" s="60" t="s">
        <v>4630</v>
      </c>
      <c r="U58" s="60" t="s">
        <v>4552</v>
      </c>
      <c r="V58" s="60" t="s">
        <v>4374</v>
      </c>
      <c r="W58" s="60" t="s">
        <v>4377</v>
      </c>
      <c r="X58" s="60" t="s">
        <v>4742</v>
      </c>
      <c r="Y58" s="60" t="s">
        <v>4554</v>
      </c>
      <c r="Z58" s="60" t="s">
        <v>4669</v>
      </c>
      <c r="AA58" s="60" t="s">
        <v>4377</v>
      </c>
      <c r="AB58" s="60" t="s">
        <v>4377</v>
      </c>
      <c r="AC58" s="60" t="s">
        <v>4377</v>
      </c>
      <c r="AD58" s="60" t="s">
        <v>4377</v>
      </c>
      <c r="AE58" s="60" t="s">
        <v>4377</v>
      </c>
      <c r="AF58" s="60" t="s">
        <v>4377</v>
      </c>
      <c r="AG58" s="60" t="s">
        <v>4377</v>
      </c>
      <c r="AH58" s="60" t="s">
        <v>4377</v>
      </c>
      <c r="AI58" s="60" t="s">
        <v>4377</v>
      </c>
      <c r="AJ58" s="60" t="s">
        <v>4377</v>
      </c>
      <c r="AK58" s="60" t="s">
        <v>4377</v>
      </c>
      <c r="AL58" s="60" t="s">
        <v>4377</v>
      </c>
      <c r="AM58" s="60" t="s">
        <v>4377</v>
      </c>
      <c r="AN58" s="60" t="s">
        <v>4377</v>
      </c>
      <c r="AO58" s="60" t="s">
        <v>4377</v>
      </c>
      <c r="AP58" s="61">
        <v>45670.6998148148</v>
      </c>
      <c r="AQ58" s="60" t="s">
        <v>4377</v>
      </c>
      <c r="AR58" s="60" t="s">
        <v>4377</v>
      </c>
      <c r="AS58" s="60" t="s">
        <v>4592</v>
      </c>
      <c r="AT58" s="60" t="s">
        <v>4571</v>
      </c>
      <c r="AU58" s="60" t="s">
        <v>4377</v>
      </c>
      <c r="AV58" s="60" t="s">
        <v>4377</v>
      </c>
      <c r="AW58" s="61">
        <v>45659.584537037</v>
      </c>
      <c r="AX58" s="60" t="s">
        <v>4377</v>
      </c>
      <c r="AY58" s="60" t="s">
        <v>4559</v>
      </c>
      <c r="AZ58" s="60" t="s">
        <v>4377</v>
      </c>
      <c r="BA58" s="60" t="s">
        <v>4377</v>
      </c>
      <c r="BB58" s="60" t="s">
        <v>4377</v>
      </c>
      <c r="BC58" s="60" t="s">
        <v>2105</v>
      </c>
      <c r="BD58" s="60" t="s">
        <v>4634</v>
      </c>
      <c r="BE58" s="60" t="s">
        <v>4743</v>
      </c>
      <c r="BF58" s="60" t="s">
        <v>4561</v>
      </c>
      <c r="BG58" s="60" t="s">
        <v>4377</v>
      </c>
      <c r="BH58" s="60" t="s">
        <v>4377</v>
      </c>
      <c r="BI58" s="60" t="s">
        <v>2758</v>
      </c>
      <c r="BJ58" s="60" t="s">
        <v>4377</v>
      </c>
      <c r="BK58" s="60" t="s">
        <v>4377</v>
      </c>
      <c r="BL58" s="60">
        <v>3406728</v>
      </c>
      <c r="BM58" s="60" t="s">
        <v>4744</v>
      </c>
      <c r="BN58" s="60">
        <v>479</v>
      </c>
      <c r="BO58" s="60" t="s">
        <v>4377</v>
      </c>
      <c r="BP58" s="60" t="s">
        <v>4377</v>
      </c>
      <c r="BQ58" s="60" t="s">
        <v>4377</v>
      </c>
      <c r="BR58" s="60" t="s">
        <v>4745</v>
      </c>
      <c r="BS58" s="60" t="s">
        <v>1582</v>
      </c>
      <c r="BT58" s="60" t="s">
        <v>4377</v>
      </c>
      <c r="BU58" s="60" t="s">
        <v>4377</v>
      </c>
      <c r="BV58" s="60" t="s">
        <v>4377</v>
      </c>
      <c r="BW58" s="60" t="s">
        <v>4377</v>
      </c>
      <c r="BX58" s="60">
        <v>479</v>
      </c>
      <c r="BY58" s="60" t="s">
        <v>4377</v>
      </c>
      <c r="BZ58" s="60" t="s">
        <v>4377</v>
      </c>
      <c r="CA58" s="60" t="s">
        <v>4545</v>
      </c>
      <c r="CB58" s="60" t="s">
        <v>4377</v>
      </c>
      <c r="CC58" s="60" t="s">
        <v>4377</v>
      </c>
      <c r="CD58" s="60" t="s">
        <v>4377</v>
      </c>
    </row>
    <row r="59" spans="1:82">
      <c r="A59" s="60">
        <v>23547</v>
      </c>
      <c r="B59" s="60" t="s">
        <v>4377</v>
      </c>
      <c r="C59" s="60" t="s">
        <v>4738</v>
      </c>
      <c r="D59" s="60" t="s">
        <v>4377</v>
      </c>
      <c r="E59" s="60" t="s">
        <v>4543</v>
      </c>
      <c r="F59" s="60" t="s">
        <v>4739</v>
      </c>
      <c r="G59" s="60" t="s">
        <v>4545</v>
      </c>
      <c r="H59" s="60" t="s">
        <v>3768</v>
      </c>
      <c r="I59" s="60">
        <v>5608</v>
      </c>
      <c r="J59" s="60" t="s">
        <v>1582</v>
      </c>
      <c r="K59" s="60" t="s">
        <v>4377</v>
      </c>
      <c r="L59" s="60" t="s">
        <v>4543</v>
      </c>
      <c r="M59" s="60" t="s">
        <v>4719</v>
      </c>
      <c r="N59" s="60" t="s">
        <v>4719</v>
      </c>
      <c r="O59" s="60" t="s">
        <v>4548</v>
      </c>
      <c r="P59" s="60" t="s">
        <v>4549</v>
      </c>
      <c r="Q59" s="60" t="s">
        <v>3768</v>
      </c>
      <c r="R59" s="60" t="s">
        <v>4740</v>
      </c>
      <c r="S59" s="60" t="s">
        <v>4741</v>
      </c>
      <c r="T59" s="60" t="s">
        <v>4630</v>
      </c>
      <c r="U59" s="60" t="s">
        <v>4552</v>
      </c>
      <c r="V59" s="60" t="s">
        <v>4374</v>
      </c>
      <c r="W59" s="60" t="s">
        <v>4377</v>
      </c>
      <c r="X59" s="60" t="s">
        <v>4742</v>
      </c>
      <c r="Y59" s="60" t="s">
        <v>4554</v>
      </c>
      <c r="Z59" s="60" t="s">
        <v>4669</v>
      </c>
      <c r="AA59" s="60" t="s">
        <v>4377</v>
      </c>
      <c r="AB59" s="60" t="s">
        <v>4377</v>
      </c>
      <c r="AC59" s="60" t="s">
        <v>4377</v>
      </c>
      <c r="AD59" s="60" t="s">
        <v>4377</v>
      </c>
      <c r="AE59" s="60" t="s">
        <v>4377</v>
      </c>
      <c r="AF59" s="60" t="s">
        <v>4377</v>
      </c>
      <c r="AG59" s="60" t="s">
        <v>4377</v>
      </c>
      <c r="AH59" s="60" t="s">
        <v>4377</v>
      </c>
      <c r="AI59" s="60" t="s">
        <v>4377</v>
      </c>
      <c r="AJ59" s="60" t="s">
        <v>4377</v>
      </c>
      <c r="AK59" s="60" t="s">
        <v>4377</v>
      </c>
      <c r="AL59" s="60" t="s">
        <v>4377</v>
      </c>
      <c r="AM59" s="60" t="s">
        <v>4377</v>
      </c>
      <c r="AN59" s="60" t="s">
        <v>4377</v>
      </c>
      <c r="AO59" s="60" t="s">
        <v>4377</v>
      </c>
      <c r="AP59" s="61">
        <v>45670.6998148148</v>
      </c>
      <c r="AQ59" s="60" t="s">
        <v>4377</v>
      </c>
      <c r="AR59" s="60" t="s">
        <v>4377</v>
      </c>
      <c r="AS59" s="60" t="s">
        <v>4592</v>
      </c>
      <c r="AT59" s="60" t="s">
        <v>4571</v>
      </c>
      <c r="AU59" s="60" t="s">
        <v>4377</v>
      </c>
      <c r="AV59" s="60" t="s">
        <v>4377</v>
      </c>
      <c r="AW59" s="61">
        <v>45659.584537037</v>
      </c>
      <c r="AX59" s="60" t="s">
        <v>4377</v>
      </c>
      <c r="AY59" s="60" t="s">
        <v>4559</v>
      </c>
      <c r="AZ59" s="60" t="s">
        <v>4377</v>
      </c>
      <c r="BA59" s="60" t="s">
        <v>4377</v>
      </c>
      <c r="BB59" s="60" t="s">
        <v>4377</v>
      </c>
      <c r="BC59" s="60" t="s">
        <v>2097</v>
      </c>
      <c r="BD59" s="60" t="s">
        <v>4634</v>
      </c>
      <c r="BE59" s="60" t="s">
        <v>4743</v>
      </c>
      <c r="BF59" s="60" t="s">
        <v>4561</v>
      </c>
      <c r="BG59" s="60" t="s">
        <v>4377</v>
      </c>
      <c r="BH59" s="60" t="s">
        <v>4377</v>
      </c>
      <c r="BI59" s="60" t="s">
        <v>2758</v>
      </c>
      <c r="BJ59" s="60" t="s">
        <v>4377</v>
      </c>
      <c r="BK59" s="60" t="s">
        <v>4377</v>
      </c>
      <c r="BL59" s="60">
        <v>3406729</v>
      </c>
      <c r="BM59" s="60" t="s">
        <v>4744</v>
      </c>
      <c r="BN59" s="60">
        <v>48</v>
      </c>
      <c r="BO59" s="60" t="s">
        <v>4377</v>
      </c>
      <c r="BP59" s="60" t="s">
        <v>4377</v>
      </c>
      <c r="BQ59" s="60" t="s">
        <v>4377</v>
      </c>
      <c r="BR59" s="60" t="s">
        <v>4745</v>
      </c>
      <c r="BS59" s="60" t="s">
        <v>1582</v>
      </c>
      <c r="BT59" s="60" t="s">
        <v>4377</v>
      </c>
      <c r="BU59" s="60" t="s">
        <v>4377</v>
      </c>
      <c r="BV59" s="60" t="s">
        <v>4377</v>
      </c>
      <c r="BW59" s="60" t="s">
        <v>4377</v>
      </c>
      <c r="BX59" s="60">
        <v>48</v>
      </c>
      <c r="BY59" s="60" t="s">
        <v>4377</v>
      </c>
      <c r="BZ59" s="60" t="s">
        <v>4377</v>
      </c>
      <c r="CA59" s="60" t="s">
        <v>4545</v>
      </c>
      <c r="CB59" s="60" t="s">
        <v>4377</v>
      </c>
      <c r="CC59" s="60" t="s">
        <v>4377</v>
      </c>
      <c r="CD59" s="60" t="s">
        <v>4377</v>
      </c>
    </row>
    <row r="60" spans="1:82">
      <c r="A60" s="60">
        <v>23548</v>
      </c>
      <c r="B60" s="60" t="s">
        <v>4377</v>
      </c>
      <c r="C60" s="60" t="s">
        <v>4738</v>
      </c>
      <c r="D60" s="60" t="s">
        <v>4377</v>
      </c>
      <c r="E60" s="60" t="s">
        <v>4543</v>
      </c>
      <c r="F60" s="60" t="s">
        <v>4739</v>
      </c>
      <c r="G60" s="60" t="s">
        <v>4545</v>
      </c>
      <c r="H60" s="60" t="s">
        <v>3768</v>
      </c>
      <c r="I60" s="60">
        <v>5608</v>
      </c>
      <c r="J60" s="60" t="s">
        <v>1582</v>
      </c>
      <c r="K60" s="60" t="s">
        <v>4377</v>
      </c>
      <c r="L60" s="60" t="s">
        <v>4543</v>
      </c>
      <c r="M60" s="60" t="s">
        <v>4719</v>
      </c>
      <c r="N60" s="60" t="s">
        <v>4719</v>
      </c>
      <c r="O60" s="60" t="s">
        <v>4548</v>
      </c>
      <c r="P60" s="60" t="s">
        <v>4549</v>
      </c>
      <c r="Q60" s="60" t="s">
        <v>3768</v>
      </c>
      <c r="R60" s="60" t="s">
        <v>4740</v>
      </c>
      <c r="S60" s="60" t="s">
        <v>4741</v>
      </c>
      <c r="T60" s="60" t="s">
        <v>4630</v>
      </c>
      <c r="U60" s="60" t="s">
        <v>4552</v>
      </c>
      <c r="V60" s="60" t="s">
        <v>4374</v>
      </c>
      <c r="W60" s="60" t="s">
        <v>4377</v>
      </c>
      <c r="X60" s="60" t="s">
        <v>4742</v>
      </c>
      <c r="Y60" s="60" t="s">
        <v>4554</v>
      </c>
      <c r="Z60" s="60" t="s">
        <v>4669</v>
      </c>
      <c r="AA60" s="60" t="s">
        <v>4377</v>
      </c>
      <c r="AB60" s="60" t="s">
        <v>4377</v>
      </c>
      <c r="AC60" s="60" t="s">
        <v>4377</v>
      </c>
      <c r="AD60" s="60" t="s">
        <v>4377</v>
      </c>
      <c r="AE60" s="60" t="s">
        <v>4377</v>
      </c>
      <c r="AF60" s="60" t="s">
        <v>4377</v>
      </c>
      <c r="AG60" s="60" t="s">
        <v>4377</v>
      </c>
      <c r="AH60" s="60" t="s">
        <v>4377</v>
      </c>
      <c r="AI60" s="60" t="s">
        <v>4377</v>
      </c>
      <c r="AJ60" s="60" t="s">
        <v>4377</v>
      </c>
      <c r="AK60" s="60" t="s">
        <v>4377</v>
      </c>
      <c r="AL60" s="60" t="s">
        <v>4377</v>
      </c>
      <c r="AM60" s="60" t="s">
        <v>4377</v>
      </c>
      <c r="AN60" s="60" t="s">
        <v>4377</v>
      </c>
      <c r="AO60" s="60" t="s">
        <v>4377</v>
      </c>
      <c r="AP60" s="61">
        <v>45670.6998148148</v>
      </c>
      <c r="AQ60" s="60" t="s">
        <v>4377</v>
      </c>
      <c r="AR60" s="60" t="s">
        <v>4377</v>
      </c>
      <c r="AS60" s="60" t="s">
        <v>4592</v>
      </c>
      <c r="AT60" s="60" t="s">
        <v>4571</v>
      </c>
      <c r="AU60" s="60" t="s">
        <v>4377</v>
      </c>
      <c r="AV60" s="60" t="s">
        <v>4377</v>
      </c>
      <c r="AW60" s="61">
        <v>45659.584537037</v>
      </c>
      <c r="AX60" s="60" t="s">
        <v>4377</v>
      </c>
      <c r="AY60" s="60" t="s">
        <v>4559</v>
      </c>
      <c r="AZ60" s="60" t="s">
        <v>4377</v>
      </c>
      <c r="BA60" s="60" t="s">
        <v>4377</v>
      </c>
      <c r="BB60" s="60" t="s">
        <v>4377</v>
      </c>
      <c r="BC60" s="60" t="s">
        <v>2103</v>
      </c>
      <c r="BD60" s="60" t="s">
        <v>4634</v>
      </c>
      <c r="BE60" s="60" t="s">
        <v>4743</v>
      </c>
      <c r="BF60" s="60" t="s">
        <v>4561</v>
      </c>
      <c r="BG60" s="60" t="s">
        <v>4377</v>
      </c>
      <c r="BH60" s="60" t="s">
        <v>4377</v>
      </c>
      <c r="BI60" s="60" t="s">
        <v>2758</v>
      </c>
      <c r="BJ60" s="60" t="s">
        <v>4377</v>
      </c>
      <c r="BK60" s="60" t="s">
        <v>4377</v>
      </c>
      <c r="BL60" s="60">
        <v>3406722</v>
      </c>
      <c r="BM60" s="60" t="s">
        <v>4746</v>
      </c>
      <c r="BN60" s="60">
        <v>360</v>
      </c>
      <c r="BO60" s="60" t="s">
        <v>4377</v>
      </c>
      <c r="BP60" s="60" t="s">
        <v>4377</v>
      </c>
      <c r="BQ60" s="60" t="s">
        <v>4377</v>
      </c>
      <c r="BR60" s="60" t="s">
        <v>4745</v>
      </c>
      <c r="BS60" s="60" t="s">
        <v>1582</v>
      </c>
      <c r="BT60" s="60" t="s">
        <v>4377</v>
      </c>
      <c r="BU60" s="60" t="s">
        <v>4377</v>
      </c>
      <c r="BV60" s="60" t="s">
        <v>4377</v>
      </c>
      <c r="BW60" s="60" t="s">
        <v>4377</v>
      </c>
      <c r="BX60" s="60">
        <v>360</v>
      </c>
      <c r="BY60" s="60" t="s">
        <v>4377</v>
      </c>
      <c r="BZ60" s="60" t="s">
        <v>4377</v>
      </c>
      <c r="CA60" s="60" t="s">
        <v>4545</v>
      </c>
      <c r="CB60" s="60" t="s">
        <v>4377</v>
      </c>
      <c r="CC60" s="60" t="s">
        <v>4377</v>
      </c>
      <c r="CD60" s="60" t="s">
        <v>4377</v>
      </c>
    </row>
    <row r="61" spans="1:82">
      <c r="A61" s="60">
        <v>23549</v>
      </c>
      <c r="B61" s="60" t="s">
        <v>4377</v>
      </c>
      <c r="C61" s="60" t="s">
        <v>4738</v>
      </c>
      <c r="D61" s="60" t="s">
        <v>4377</v>
      </c>
      <c r="E61" s="60" t="s">
        <v>4543</v>
      </c>
      <c r="F61" s="60" t="s">
        <v>4739</v>
      </c>
      <c r="G61" s="60" t="s">
        <v>4545</v>
      </c>
      <c r="H61" s="60" t="s">
        <v>3768</v>
      </c>
      <c r="I61" s="60">
        <v>5608</v>
      </c>
      <c r="J61" s="60" t="s">
        <v>1582</v>
      </c>
      <c r="K61" s="60" t="s">
        <v>4377</v>
      </c>
      <c r="L61" s="60" t="s">
        <v>4543</v>
      </c>
      <c r="M61" s="60" t="s">
        <v>4719</v>
      </c>
      <c r="N61" s="60" t="s">
        <v>4719</v>
      </c>
      <c r="O61" s="60" t="s">
        <v>4548</v>
      </c>
      <c r="P61" s="60" t="s">
        <v>4549</v>
      </c>
      <c r="Q61" s="60" t="s">
        <v>3768</v>
      </c>
      <c r="R61" s="60" t="s">
        <v>4740</v>
      </c>
      <c r="S61" s="60" t="s">
        <v>4741</v>
      </c>
      <c r="T61" s="60" t="s">
        <v>4630</v>
      </c>
      <c r="U61" s="60" t="s">
        <v>4552</v>
      </c>
      <c r="V61" s="60" t="s">
        <v>4374</v>
      </c>
      <c r="W61" s="60" t="s">
        <v>4377</v>
      </c>
      <c r="X61" s="60" t="s">
        <v>4742</v>
      </c>
      <c r="Y61" s="60" t="s">
        <v>4554</v>
      </c>
      <c r="Z61" s="60" t="s">
        <v>4669</v>
      </c>
      <c r="AA61" s="60" t="s">
        <v>4377</v>
      </c>
      <c r="AB61" s="60" t="s">
        <v>4377</v>
      </c>
      <c r="AC61" s="60" t="s">
        <v>4377</v>
      </c>
      <c r="AD61" s="60" t="s">
        <v>4377</v>
      </c>
      <c r="AE61" s="60" t="s">
        <v>4377</v>
      </c>
      <c r="AF61" s="60" t="s">
        <v>4377</v>
      </c>
      <c r="AG61" s="60" t="s">
        <v>4377</v>
      </c>
      <c r="AH61" s="60" t="s">
        <v>4377</v>
      </c>
      <c r="AI61" s="60" t="s">
        <v>4377</v>
      </c>
      <c r="AJ61" s="60" t="s">
        <v>4377</v>
      </c>
      <c r="AK61" s="60" t="s">
        <v>4377</v>
      </c>
      <c r="AL61" s="60" t="s">
        <v>4377</v>
      </c>
      <c r="AM61" s="60" t="s">
        <v>4377</v>
      </c>
      <c r="AN61" s="60" t="s">
        <v>4377</v>
      </c>
      <c r="AO61" s="60" t="s">
        <v>4377</v>
      </c>
      <c r="AP61" s="61">
        <v>45670.6998148148</v>
      </c>
      <c r="AQ61" s="60" t="s">
        <v>4377</v>
      </c>
      <c r="AR61" s="60" t="s">
        <v>4377</v>
      </c>
      <c r="AS61" s="60" t="s">
        <v>4592</v>
      </c>
      <c r="AT61" s="60" t="s">
        <v>4571</v>
      </c>
      <c r="AU61" s="60" t="s">
        <v>4377</v>
      </c>
      <c r="AV61" s="60" t="s">
        <v>4377</v>
      </c>
      <c r="AW61" s="61">
        <v>45659.584537037</v>
      </c>
      <c r="AX61" s="60" t="s">
        <v>4377</v>
      </c>
      <c r="AY61" s="60" t="s">
        <v>4559</v>
      </c>
      <c r="AZ61" s="60" t="s">
        <v>4377</v>
      </c>
      <c r="BA61" s="60" t="s">
        <v>4377</v>
      </c>
      <c r="BB61" s="60" t="s">
        <v>4377</v>
      </c>
      <c r="BC61" s="60" t="s">
        <v>2103</v>
      </c>
      <c r="BD61" s="60" t="s">
        <v>4634</v>
      </c>
      <c r="BE61" s="60" t="s">
        <v>4743</v>
      </c>
      <c r="BF61" s="60" t="s">
        <v>4561</v>
      </c>
      <c r="BG61" s="60" t="s">
        <v>4377</v>
      </c>
      <c r="BH61" s="60" t="s">
        <v>4377</v>
      </c>
      <c r="BI61" s="60" t="s">
        <v>2758</v>
      </c>
      <c r="BJ61" s="60" t="s">
        <v>4377</v>
      </c>
      <c r="BK61" s="60" t="s">
        <v>4377</v>
      </c>
      <c r="BL61" s="60">
        <v>3406723</v>
      </c>
      <c r="BM61" s="60" t="s">
        <v>4746</v>
      </c>
      <c r="BN61" s="60">
        <v>400</v>
      </c>
      <c r="BO61" s="60" t="s">
        <v>4377</v>
      </c>
      <c r="BP61" s="60" t="s">
        <v>4377</v>
      </c>
      <c r="BQ61" s="60" t="s">
        <v>4377</v>
      </c>
      <c r="BR61" s="60" t="s">
        <v>4745</v>
      </c>
      <c r="BS61" s="60" t="s">
        <v>1582</v>
      </c>
      <c r="BT61" s="60" t="s">
        <v>4377</v>
      </c>
      <c r="BU61" s="60" t="s">
        <v>4377</v>
      </c>
      <c r="BV61" s="60" t="s">
        <v>4377</v>
      </c>
      <c r="BW61" s="60" t="s">
        <v>4377</v>
      </c>
      <c r="BX61" s="60">
        <v>400</v>
      </c>
      <c r="BY61" s="60" t="s">
        <v>4377</v>
      </c>
      <c r="BZ61" s="60" t="s">
        <v>4377</v>
      </c>
      <c r="CA61" s="60" t="s">
        <v>4545</v>
      </c>
      <c r="CB61" s="60" t="s">
        <v>4377</v>
      </c>
      <c r="CC61" s="60" t="s">
        <v>4377</v>
      </c>
      <c r="CD61" s="60" t="s">
        <v>4377</v>
      </c>
    </row>
    <row r="62" spans="1:82">
      <c r="A62" s="60">
        <v>23550</v>
      </c>
      <c r="B62" s="60" t="s">
        <v>4377</v>
      </c>
      <c r="C62" s="60" t="s">
        <v>4738</v>
      </c>
      <c r="D62" s="60" t="s">
        <v>4377</v>
      </c>
      <c r="E62" s="60" t="s">
        <v>4543</v>
      </c>
      <c r="F62" s="60" t="s">
        <v>4739</v>
      </c>
      <c r="G62" s="60" t="s">
        <v>4545</v>
      </c>
      <c r="H62" s="60" t="s">
        <v>3768</v>
      </c>
      <c r="I62" s="60">
        <v>5608</v>
      </c>
      <c r="J62" s="60" t="s">
        <v>1582</v>
      </c>
      <c r="K62" s="60" t="s">
        <v>4377</v>
      </c>
      <c r="L62" s="60" t="s">
        <v>4543</v>
      </c>
      <c r="M62" s="60" t="s">
        <v>4719</v>
      </c>
      <c r="N62" s="60" t="s">
        <v>4719</v>
      </c>
      <c r="O62" s="60" t="s">
        <v>4548</v>
      </c>
      <c r="P62" s="60" t="s">
        <v>4549</v>
      </c>
      <c r="Q62" s="60" t="s">
        <v>3768</v>
      </c>
      <c r="R62" s="60" t="s">
        <v>4740</v>
      </c>
      <c r="S62" s="60" t="s">
        <v>4741</v>
      </c>
      <c r="T62" s="60" t="s">
        <v>4630</v>
      </c>
      <c r="U62" s="60" t="s">
        <v>4552</v>
      </c>
      <c r="V62" s="60" t="s">
        <v>4374</v>
      </c>
      <c r="W62" s="60" t="s">
        <v>4377</v>
      </c>
      <c r="X62" s="60" t="s">
        <v>4742</v>
      </c>
      <c r="Y62" s="60" t="s">
        <v>4554</v>
      </c>
      <c r="Z62" s="60" t="s">
        <v>4669</v>
      </c>
      <c r="AA62" s="60" t="s">
        <v>4377</v>
      </c>
      <c r="AB62" s="60" t="s">
        <v>4377</v>
      </c>
      <c r="AC62" s="60" t="s">
        <v>4377</v>
      </c>
      <c r="AD62" s="60" t="s">
        <v>4377</v>
      </c>
      <c r="AE62" s="60" t="s">
        <v>4377</v>
      </c>
      <c r="AF62" s="60" t="s">
        <v>4377</v>
      </c>
      <c r="AG62" s="60" t="s">
        <v>4377</v>
      </c>
      <c r="AH62" s="60" t="s">
        <v>4377</v>
      </c>
      <c r="AI62" s="60" t="s">
        <v>4377</v>
      </c>
      <c r="AJ62" s="60" t="s">
        <v>4377</v>
      </c>
      <c r="AK62" s="60" t="s">
        <v>4377</v>
      </c>
      <c r="AL62" s="60" t="s">
        <v>4377</v>
      </c>
      <c r="AM62" s="60" t="s">
        <v>4377</v>
      </c>
      <c r="AN62" s="60" t="s">
        <v>4377</v>
      </c>
      <c r="AO62" s="60" t="s">
        <v>4377</v>
      </c>
      <c r="AP62" s="61">
        <v>45670.6998148148</v>
      </c>
      <c r="AQ62" s="60" t="s">
        <v>4377</v>
      </c>
      <c r="AR62" s="60" t="s">
        <v>4377</v>
      </c>
      <c r="AS62" s="60" t="s">
        <v>4592</v>
      </c>
      <c r="AT62" s="60" t="s">
        <v>4571</v>
      </c>
      <c r="AU62" s="60" t="s">
        <v>4377</v>
      </c>
      <c r="AV62" s="60" t="s">
        <v>4377</v>
      </c>
      <c r="AW62" s="61">
        <v>45659.584537037</v>
      </c>
      <c r="AX62" s="60" t="s">
        <v>4377</v>
      </c>
      <c r="AY62" s="60" t="s">
        <v>4559</v>
      </c>
      <c r="AZ62" s="60" t="s">
        <v>4377</v>
      </c>
      <c r="BA62" s="60" t="s">
        <v>4377</v>
      </c>
      <c r="BB62" s="60" t="s">
        <v>4377</v>
      </c>
      <c r="BC62" s="60" t="s">
        <v>2097</v>
      </c>
      <c r="BD62" s="60" t="s">
        <v>4634</v>
      </c>
      <c r="BE62" s="60" t="s">
        <v>4743</v>
      </c>
      <c r="BF62" s="60" t="s">
        <v>4561</v>
      </c>
      <c r="BG62" s="60" t="s">
        <v>4377</v>
      </c>
      <c r="BH62" s="60" t="s">
        <v>4377</v>
      </c>
      <c r="BI62" s="60" t="s">
        <v>2758</v>
      </c>
      <c r="BJ62" s="60" t="s">
        <v>4377</v>
      </c>
      <c r="BK62" s="60" t="s">
        <v>4377</v>
      </c>
      <c r="BL62" s="60">
        <v>3406724</v>
      </c>
      <c r="BM62" s="60" t="s">
        <v>4746</v>
      </c>
      <c r="BN62" s="60">
        <v>3055</v>
      </c>
      <c r="BO62" s="60" t="s">
        <v>4377</v>
      </c>
      <c r="BP62" s="60" t="s">
        <v>4377</v>
      </c>
      <c r="BQ62" s="60" t="s">
        <v>4377</v>
      </c>
      <c r="BR62" s="60" t="s">
        <v>4745</v>
      </c>
      <c r="BS62" s="60" t="s">
        <v>1582</v>
      </c>
      <c r="BT62" s="60" t="s">
        <v>4377</v>
      </c>
      <c r="BU62" s="60" t="s">
        <v>4377</v>
      </c>
      <c r="BV62" s="60" t="s">
        <v>4377</v>
      </c>
      <c r="BW62" s="60" t="s">
        <v>4377</v>
      </c>
      <c r="BX62" s="60">
        <v>3055</v>
      </c>
      <c r="BY62" s="60" t="s">
        <v>4377</v>
      </c>
      <c r="BZ62" s="60" t="s">
        <v>4377</v>
      </c>
      <c r="CA62" s="60" t="s">
        <v>4545</v>
      </c>
      <c r="CB62" s="60" t="s">
        <v>4377</v>
      </c>
      <c r="CC62" s="60" t="s">
        <v>4377</v>
      </c>
      <c r="CD62" s="60" t="s">
        <v>4377</v>
      </c>
    </row>
    <row r="63" spans="1:82">
      <c r="A63" s="60">
        <v>23551</v>
      </c>
      <c r="B63" s="60" t="s">
        <v>4377</v>
      </c>
      <c r="C63" s="60" t="s">
        <v>4738</v>
      </c>
      <c r="D63" s="60" t="s">
        <v>4377</v>
      </c>
      <c r="E63" s="60" t="s">
        <v>4543</v>
      </c>
      <c r="F63" s="60" t="s">
        <v>4739</v>
      </c>
      <c r="G63" s="60" t="s">
        <v>4545</v>
      </c>
      <c r="H63" s="60" t="s">
        <v>3768</v>
      </c>
      <c r="I63" s="60">
        <v>5608</v>
      </c>
      <c r="J63" s="60" t="s">
        <v>1582</v>
      </c>
      <c r="K63" s="60" t="s">
        <v>4377</v>
      </c>
      <c r="L63" s="60" t="s">
        <v>4543</v>
      </c>
      <c r="M63" s="60" t="s">
        <v>4719</v>
      </c>
      <c r="N63" s="60" t="s">
        <v>4719</v>
      </c>
      <c r="O63" s="60" t="s">
        <v>4548</v>
      </c>
      <c r="P63" s="60" t="s">
        <v>4549</v>
      </c>
      <c r="Q63" s="60" t="s">
        <v>3768</v>
      </c>
      <c r="R63" s="60" t="s">
        <v>4740</v>
      </c>
      <c r="S63" s="60" t="s">
        <v>4741</v>
      </c>
      <c r="T63" s="60" t="s">
        <v>4630</v>
      </c>
      <c r="U63" s="60" t="s">
        <v>4552</v>
      </c>
      <c r="V63" s="60" t="s">
        <v>4374</v>
      </c>
      <c r="W63" s="60" t="s">
        <v>4377</v>
      </c>
      <c r="X63" s="60" t="s">
        <v>4742</v>
      </c>
      <c r="Y63" s="60" t="s">
        <v>4554</v>
      </c>
      <c r="Z63" s="60" t="s">
        <v>4669</v>
      </c>
      <c r="AA63" s="60" t="s">
        <v>4377</v>
      </c>
      <c r="AB63" s="60" t="s">
        <v>4377</v>
      </c>
      <c r="AC63" s="60" t="s">
        <v>4377</v>
      </c>
      <c r="AD63" s="60" t="s">
        <v>4377</v>
      </c>
      <c r="AE63" s="60" t="s">
        <v>4377</v>
      </c>
      <c r="AF63" s="60" t="s">
        <v>4377</v>
      </c>
      <c r="AG63" s="60" t="s">
        <v>4377</v>
      </c>
      <c r="AH63" s="60" t="s">
        <v>4377</v>
      </c>
      <c r="AI63" s="60" t="s">
        <v>4377</v>
      </c>
      <c r="AJ63" s="60" t="s">
        <v>4377</v>
      </c>
      <c r="AK63" s="60" t="s">
        <v>4377</v>
      </c>
      <c r="AL63" s="60" t="s">
        <v>4377</v>
      </c>
      <c r="AM63" s="60" t="s">
        <v>4377</v>
      </c>
      <c r="AN63" s="60" t="s">
        <v>4377</v>
      </c>
      <c r="AO63" s="60" t="s">
        <v>4377</v>
      </c>
      <c r="AP63" s="61">
        <v>45670.6998148148</v>
      </c>
      <c r="AQ63" s="60" t="s">
        <v>4377</v>
      </c>
      <c r="AR63" s="60" t="s">
        <v>4377</v>
      </c>
      <c r="AS63" s="60" t="s">
        <v>4592</v>
      </c>
      <c r="AT63" s="60" t="s">
        <v>4571</v>
      </c>
      <c r="AU63" s="60" t="s">
        <v>4377</v>
      </c>
      <c r="AV63" s="60" t="s">
        <v>4377</v>
      </c>
      <c r="AW63" s="61">
        <v>45659.584537037</v>
      </c>
      <c r="AX63" s="60" t="s">
        <v>4377</v>
      </c>
      <c r="AY63" s="60" t="s">
        <v>4559</v>
      </c>
      <c r="AZ63" s="60" t="s">
        <v>4377</v>
      </c>
      <c r="BA63" s="60" t="s">
        <v>4377</v>
      </c>
      <c r="BB63" s="60" t="s">
        <v>4377</v>
      </c>
      <c r="BC63" s="60" t="s">
        <v>2103</v>
      </c>
      <c r="BD63" s="60" t="s">
        <v>4634</v>
      </c>
      <c r="BE63" s="60" t="s">
        <v>4743</v>
      </c>
      <c r="BF63" s="60" t="s">
        <v>4561</v>
      </c>
      <c r="BG63" s="60" t="s">
        <v>4377</v>
      </c>
      <c r="BH63" s="60" t="s">
        <v>4377</v>
      </c>
      <c r="BI63" s="60" t="s">
        <v>2758</v>
      </c>
      <c r="BJ63" s="60" t="s">
        <v>4377</v>
      </c>
      <c r="BK63" s="60" t="s">
        <v>4377</v>
      </c>
      <c r="BL63" s="60">
        <v>3406725</v>
      </c>
      <c r="BM63" s="60" t="s">
        <v>4746</v>
      </c>
      <c r="BN63" s="60">
        <v>930</v>
      </c>
      <c r="BO63" s="60" t="s">
        <v>4377</v>
      </c>
      <c r="BP63" s="60" t="s">
        <v>4377</v>
      </c>
      <c r="BQ63" s="60" t="s">
        <v>4377</v>
      </c>
      <c r="BR63" s="60" t="s">
        <v>4745</v>
      </c>
      <c r="BS63" s="60" t="s">
        <v>1582</v>
      </c>
      <c r="BT63" s="60" t="s">
        <v>4377</v>
      </c>
      <c r="BU63" s="60" t="s">
        <v>4377</v>
      </c>
      <c r="BV63" s="60" t="s">
        <v>4377</v>
      </c>
      <c r="BW63" s="60" t="s">
        <v>4377</v>
      </c>
      <c r="BX63" s="60">
        <v>930</v>
      </c>
      <c r="BY63" s="60" t="s">
        <v>4377</v>
      </c>
      <c r="BZ63" s="60" t="s">
        <v>4377</v>
      </c>
      <c r="CA63" s="60" t="s">
        <v>4545</v>
      </c>
      <c r="CB63" s="60" t="s">
        <v>4377</v>
      </c>
      <c r="CC63" s="60" t="s">
        <v>4377</v>
      </c>
      <c r="CD63" s="60" t="s">
        <v>4377</v>
      </c>
    </row>
    <row r="64" spans="1:82">
      <c r="A64" s="60">
        <v>23552</v>
      </c>
      <c r="B64" s="60" t="s">
        <v>4377</v>
      </c>
      <c r="C64" s="60" t="s">
        <v>4738</v>
      </c>
      <c r="D64" s="60" t="s">
        <v>4377</v>
      </c>
      <c r="E64" s="60" t="s">
        <v>4543</v>
      </c>
      <c r="F64" s="60" t="s">
        <v>4739</v>
      </c>
      <c r="G64" s="60" t="s">
        <v>4545</v>
      </c>
      <c r="H64" s="60" t="s">
        <v>3768</v>
      </c>
      <c r="I64" s="60">
        <v>5608</v>
      </c>
      <c r="J64" s="60" t="s">
        <v>1582</v>
      </c>
      <c r="K64" s="60" t="s">
        <v>4377</v>
      </c>
      <c r="L64" s="60" t="s">
        <v>4543</v>
      </c>
      <c r="M64" s="60" t="s">
        <v>4719</v>
      </c>
      <c r="N64" s="60" t="s">
        <v>4719</v>
      </c>
      <c r="O64" s="60" t="s">
        <v>4548</v>
      </c>
      <c r="P64" s="60" t="s">
        <v>4549</v>
      </c>
      <c r="Q64" s="60" t="s">
        <v>3768</v>
      </c>
      <c r="R64" s="60" t="s">
        <v>4740</v>
      </c>
      <c r="S64" s="60" t="s">
        <v>4741</v>
      </c>
      <c r="T64" s="60" t="s">
        <v>4630</v>
      </c>
      <c r="U64" s="60" t="s">
        <v>4552</v>
      </c>
      <c r="V64" s="60" t="s">
        <v>4374</v>
      </c>
      <c r="W64" s="60" t="s">
        <v>4377</v>
      </c>
      <c r="X64" s="60" t="s">
        <v>4742</v>
      </c>
      <c r="Y64" s="60" t="s">
        <v>4554</v>
      </c>
      <c r="Z64" s="60" t="s">
        <v>4669</v>
      </c>
      <c r="AA64" s="60" t="s">
        <v>4377</v>
      </c>
      <c r="AB64" s="60" t="s">
        <v>4377</v>
      </c>
      <c r="AC64" s="60" t="s">
        <v>4377</v>
      </c>
      <c r="AD64" s="60" t="s">
        <v>4377</v>
      </c>
      <c r="AE64" s="60" t="s">
        <v>4377</v>
      </c>
      <c r="AF64" s="60" t="s">
        <v>4377</v>
      </c>
      <c r="AG64" s="60" t="s">
        <v>4377</v>
      </c>
      <c r="AH64" s="60" t="s">
        <v>4377</v>
      </c>
      <c r="AI64" s="60" t="s">
        <v>4377</v>
      </c>
      <c r="AJ64" s="60" t="s">
        <v>4377</v>
      </c>
      <c r="AK64" s="60" t="s">
        <v>4377</v>
      </c>
      <c r="AL64" s="60" t="s">
        <v>4377</v>
      </c>
      <c r="AM64" s="60" t="s">
        <v>4377</v>
      </c>
      <c r="AN64" s="60" t="s">
        <v>4377</v>
      </c>
      <c r="AO64" s="60" t="s">
        <v>4377</v>
      </c>
      <c r="AP64" s="61">
        <v>45670.6998148148</v>
      </c>
      <c r="AQ64" s="60" t="s">
        <v>4377</v>
      </c>
      <c r="AR64" s="60" t="s">
        <v>4377</v>
      </c>
      <c r="AS64" s="60" t="s">
        <v>4592</v>
      </c>
      <c r="AT64" s="60" t="s">
        <v>4571</v>
      </c>
      <c r="AU64" s="60" t="s">
        <v>4377</v>
      </c>
      <c r="AV64" s="60" t="s">
        <v>4377</v>
      </c>
      <c r="AW64" s="61">
        <v>45659.584537037</v>
      </c>
      <c r="AX64" s="60" t="s">
        <v>4377</v>
      </c>
      <c r="AY64" s="60" t="s">
        <v>4559</v>
      </c>
      <c r="AZ64" s="60" t="s">
        <v>4377</v>
      </c>
      <c r="BA64" s="60" t="s">
        <v>4377</v>
      </c>
      <c r="BB64" s="60" t="s">
        <v>4377</v>
      </c>
      <c r="BC64" s="60" t="s">
        <v>2097</v>
      </c>
      <c r="BD64" s="60" t="s">
        <v>4634</v>
      </c>
      <c r="BE64" s="60" t="s">
        <v>4743</v>
      </c>
      <c r="BF64" s="60" t="s">
        <v>4561</v>
      </c>
      <c r="BG64" s="60" t="s">
        <v>4377</v>
      </c>
      <c r="BH64" s="60" t="s">
        <v>4377</v>
      </c>
      <c r="BI64" s="60" t="s">
        <v>2758</v>
      </c>
      <c r="BJ64" s="60" t="s">
        <v>4377</v>
      </c>
      <c r="BK64" s="60" t="s">
        <v>4377</v>
      </c>
      <c r="BL64" s="60">
        <v>3406726</v>
      </c>
      <c r="BM64" s="60" t="s">
        <v>4746</v>
      </c>
      <c r="BN64" s="60">
        <v>156</v>
      </c>
      <c r="BO64" s="60" t="s">
        <v>4377</v>
      </c>
      <c r="BP64" s="60" t="s">
        <v>4377</v>
      </c>
      <c r="BQ64" s="60" t="s">
        <v>4377</v>
      </c>
      <c r="BR64" s="60" t="s">
        <v>4745</v>
      </c>
      <c r="BS64" s="60" t="s">
        <v>1582</v>
      </c>
      <c r="BT64" s="60" t="s">
        <v>4377</v>
      </c>
      <c r="BU64" s="60" t="s">
        <v>4377</v>
      </c>
      <c r="BV64" s="60" t="s">
        <v>4377</v>
      </c>
      <c r="BW64" s="60" t="s">
        <v>4377</v>
      </c>
      <c r="BX64" s="60">
        <v>156</v>
      </c>
      <c r="BY64" s="60" t="s">
        <v>4377</v>
      </c>
      <c r="BZ64" s="60" t="s">
        <v>4377</v>
      </c>
      <c r="CA64" s="60" t="s">
        <v>4545</v>
      </c>
      <c r="CB64" s="60" t="s">
        <v>4377</v>
      </c>
      <c r="CC64" s="60" t="s">
        <v>4377</v>
      </c>
      <c r="CD64" s="60" t="s">
        <v>4377</v>
      </c>
    </row>
    <row r="65" spans="1:82">
      <c r="A65" s="60">
        <v>23553</v>
      </c>
      <c r="B65" s="60" t="s">
        <v>4377</v>
      </c>
      <c r="C65" s="60" t="s">
        <v>4738</v>
      </c>
      <c r="D65" s="60" t="s">
        <v>4377</v>
      </c>
      <c r="E65" s="60" t="s">
        <v>4543</v>
      </c>
      <c r="F65" s="60" t="s">
        <v>4739</v>
      </c>
      <c r="G65" s="60" t="s">
        <v>4545</v>
      </c>
      <c r="H65" s="60" t="s">
        <v>3768</v>
      </c>
      <c r="I65" s="60">
        <v>5608</v>
      </c>
      <c r="J65" s="60" t="s">
        <v>1582</v>
      </c>
      <c r="K65" s="60" t="s">
        <v>4377</v>
      </c>
      <c r="L65" s="60" t="s">
        <v>4543</v>
      </c>
      <c r="M65" s="60" t="s">
        <v>4719</v>
      </c>
      <c r="N65" s="60" t="s">
        <v>4719</v>
      </c>
      <c r="O65" s="60" t="s">
        <v>4548</v>
      </c>
      <c r="P65" s="60" t="s">
        <v>4549</v>
      </c>
      <c r="Q65" s="60" t="s">
        <v>3768</v>
      </c>
      <c r="R65" s="60" t="s">
        <v>4740</v>
      </c>
      <c r="S65" s="60" t="s">
        <v>4741</v>
      </c>
      <c r="T65" s="60" t="s">
        <v>4630</v>
      </c>
      <c r="U65" s="60" t="s">
        <v>4552</v>
      </c>
      <c r="V65" s="60" t="s">
        <v>4374</v>
      </c>
      <c r="W65" s="60" t="s">
        <v>4377</v>
      </c>
      <c r="X65" s="60" t="s">
        <v>4742</v>
      </c>
      <c r="Y65" s="60" t="s">
        <v>4554</v>
      </c>
      <c r="Z65" s="60" t="s">
        <v>4669</v>
      </c>
      <c r="AA65" s="60" t="s">
        <v>4377</v>
      </c>
      <c r="AB65" s="60" t="s">
        <v>4377</v>
      </c>
      <c r="AC65" s="60" t="s">
        <v>4377</v>
      </c>
      <c r="AD65" s="60" t="s">
        <v>4377</v>
      </c>
      <c r="AE65" s="60" t="s">
        <v>4377</v>
      </c>
      <c r="AF65" s="60" t="s">
        <v>4377</v>
      </c>
      <c r="AG65" s="60" t="s">
        <v>4377</v>
      </c>
      <c r="AH65" s="60" t="s">
        <v>4377</v>
      </c>
      <c r="AI65" s="60" t="s">
        <v>4377</v>
      </c>
      <c r="AJ65" s="60" t="s">
        <v>4377</v>
      </c>
      <c r="AK65" s="60" t="s">
        <v>4377</v>
      </c>
      <c r="AL65" s="60" t="s">
        <v>4377</v>
      </c>
      <c r="AM65" s="60" t="s">
        <v>4377</v>
      </c>
      <c r="AN65" s="60" t="s">
        <v>4377</v>
      </c>
      <c r="AO65" s="60" t="s">
        <v>4377</v>
      </c>
      <c r="AP65" s="61">
        <v>45670.6998148148</v>
      </c>
      <c r="AQ65" s="60" t="s">
        <v>4377</v>
      </c>
      <c r="AR65" s="60" t="s">
        <v>4377</v>
      </c>
      <c r="AS65" s="60" t="s">
        <v>4592</v>
      </c>
      <c r="AT65" s="60" t="s">
        <v>4571</v>
      </c>
      <c r="AU65" s="60" t="s">
        <v>4377</v>
      </c>
      <c r="AV65" s="60" t="s">
        <v>4377</v>
      </c>
      <c r="AW65" s="61">
        <v>45659.584537037</v>
      </c>
      <c r="AX65" s="60" t="s">
        <v>4377</v>
      </c>
      <c r="AY65" s="60" t="s">
        <v>4559</v>
      </c>
      <c r="AZ65" s="60" t="s">
        <v>4377</v>
      </c>
      <c r="BA65" s="60" t="s">
        <v>4377</v>
      </c>
      <c r="BB65" s="60" t="s">
        <v>4377</v>
      </c>
      <c r="BC65" s="60" t="s">
        <v>2097</v>
      </c>
      <c r="BD65" s="60" t="s">
        <v>4634</v>
      </c>
      <c r="BE65" s="60" t="s">
        <v>4743</v>
      </c>
      <c r="BF65" s="60" t="s">
        <v>4561</v>
      </c>
      <c r="BG65" s="60" t="s">
        <v>4377</v>
      </c>
      <c r="BH65" s="60" t="s">
        <v>4377</v>
      </c>
      <c r="BI65" s="60" t="s">
        <v>2758</v>
      </c>
      <c r="BJ65" s="60" t="s">
        <v>4377</v>
      </c>
      <c r="BK65" s="60" t="s">
        <v>4377</v>
      </c>
      <c r="BL65" s="60">
        <v>3406727</v>
      </c>
      <c r="BM65" s="60" t="s">
        <v>4746</v>
      </c>
      <c r="BN65" s="60">
        <v>180</v>
      </c>
      <c r="BO65" s="60" t="s">
        <v>4377</v>
      </c>
      <c r="BP65" s="60" t="s">
        <v>4377</v>
      </c>
      <c r="BQ65" s="60" t="s">
        <v>4377</v>
      </c>
      <c r="BR65" s="60" t="s">
        <v>4745</v>
      </c>
      <c r="BS65" s="60" t="s">
        <v>1582</v>
      </c>
      <c r="BT65" s="60" t="s">
        <v>4377</v>
      </c>
      <c r="BU65" s="60" t="s">
        <v>4377</v>
      </c>
      <c r="BV65" s="60" t="s">
        <v>4377</v>
      </c>
      <c r="BW65" s="60" t="s">
        <v>4377</v>
      </c>
      <c r="BX65" s="60">
        <v>180</v>
      </c>
      <c r="BY65" s="60" t="s">
        <v>4377</v>
      </c>
      <c r="BZ65" s="60" t="s">
        <v>4377</v>
      </c>
      <c r="CA65" s="60" t="s">
        <v>4545</v>
      </c>
      <c r="CB65" s="60" t="s">
        <v>4377</v>
      </c>
      <c r="CC65" s="60" t="s">
        <v>4377</v>
      </c>
      <c r="CD65" s="60" t="s">
        <v>4377</v>
      </c>
    </row>
    <row r="66" spans="1:82">
      <c r="A66" s="60">
        <v>23554</v>
      </c>
      <c r="B66" s="60" t="s">
        <v>4377</v>
      </c>
      <c r="C66" s="60" t="s">
        <v>4747</v>
      </c>
      <c r="D66" s="60" t="s">
        <v>4377</v>
      </c>
      <c r="E66" s="60" t="s">
        <v>4543</v>
      </c>
      <c r="F66" s="60" t="s">
        <v>4748</v>
      </c>
      <c r="G66" s="60" t="s">
        <v>4545</v>
      </c>
      <c r="H66" s="60" t="s">
        <v>3768</v>
      </c>
      <c r="I66" s="60">
        <v>8758</v>
      </c>
      <c r="J66" s="60" t="s">
        <v>1582</v>
      </c>
      <c r="K66" s="60" t="s">
        <v>4377</v>
      </c>
      <c r="L66" s="60" t="s">
        <v>4543</v>
      </c>
      <c r="M66" s="60" t="s">
        <v>4719</v>
      </c>
      <c r="N66" s="60" t="s">
        <v>4719</v>
      </c>
      <c r="O66" s="60" t="s">
        <v>4548</v>
      </c>
      <c r="P66" s="60" t="s">
        <v>4549</v>
      </c>
      <c r="Q66" s="60" t="s">
        <v>3768</v>
      </c>
      <c r="R66" s="60" t="s">
        <v>4740</v>
      </c>
      <c r="S66" s="60" t="s">
        <v>4741</v>
      </c>
      <c r="T66" s="60" t="s">
        <v>4630</v>
      </c>
      <c r="U66" s="60" t="s">
        <v>4552</v>
      </c>
      <c r="V66" s="60" t="s">
        <v>4374</v>
      </c>
      <c r="W66" s="60" t="s">
        <v>4377</v>
      </c>
      <c r="X66" s="60" t="s">
        <v>4749</v>
      </c>
      <c r="Y66" s="60" t="s">
        <v>4554</v>
      </c>
      <c r="Z66" s="60" t="s">
        <v>4669</v>
      </c>
      <c r="AA66" s="60" t="s">
        <v>4377</v>
      </c>
      <c r="AB66" s="60" t="s">
        <v>4377</v>
      </c>
      <c r="AC66" s="60" t="s">
        <v>4377</v>
      </c>
      <c r="AD66" s="60" t="s">
        <v>4377</v>
      </c>
      <c r="AE66" s="60" t="s">
        <v>4377</v>
      </c>
      <c r="AF66" s="60" t="s">
        <v>4377</v>
      </c>
      <c r="AG66" s="60" t="s">
        <v>4377</v>
      </c>
      <c r="AH66" s="60" t="s">
        <v>4377</v>
      </c>
      <c r="AI66" s="60" t="s">
        <v>4377</v>
      </c>
      <c r="AJ66" s="60" t="s">
        <v>4377</v>
      </c>
      <c r="AK66" s="60" t="s">
        <v>4377</v>
      </c>
      <c r="AL66" s="60" t="s">
        <v>4377</v>
      </c>
      <c r="AM66" s="60" t="s">
        <v>4377</v>
      </c>
      <c r="AN66" s="60" t="s">
        <v>4377</v>
      </c>
      <c r="AO66" s="60" t="s">
        <v>4377</v>
      </c>
      <c r="AP66" s="61">
        <v>45670.6998958333</v>
      </c>
      <c r="AQ66" s="60" t="s">
        <v>4377</v>
      </c>
      <c r="AR66" s="60" t="s">
        <v>4377</v>
      </c>
      <c r="AS66" s="60" t="s">
        <v>4592</v>
      </c>
      <c r="AT66" s="60" t="s">
        <v>4571</v>
      </c>
      <c r="AU66" s="60" t="s">
        <v>4377</v>
      </c>
      <c r="AV66" s="60" t="s">
        <v>4377</v>
      </c>
      <c r="AW66" s="61">
        <v>45659.5854050926</v>
      </c>
      <c r="AX66" s="60" t="s">
        <v>4377</v>
      </c>
      <c r="AY66" s="60" t="s">
        <v>4559</v>
      </c>
      <c r="AZ66" s="60" t="s">
        <v>4377</v>
      </c>
      <c r="BA66" s="60" t="s">
        <v>4377</v>
      </c>
      <c r="BB66" s="60" t="s">
        <v>4377</v>
      </c>
      <c r="BC66" s="60" t="s">
        <v>2097</v>
      </c>
      <c r="BD66" s="60" t="s">
        <v>4634</v>
      </c>
      <c r="BE66" s="60" t="s">
        <v>4750</v>
      </c>
      <c r="BF66" s="60" t="s">
        <v>4561</v>
      </c>
      <c r="BG66" s="60" t="s">
        <v>4377</v>
      </c>
      <c r="BH66" s="60" t="s">
        <v>4377</v>
      </c>
      <c r="BI66" s="60" t="s">
        <v>2758</v>
      </c>
      <c r="BJ66" s="60" t="s">
        <v>4377</v>
      </c>
      <c r="BK66" s="60" t="s">
        <v>4377</v>
      </c>
      <c r="BL66" s="60">
        <v>3406754</v>
      </c>
      <c r="BM66" s="60" t="s">
        <v>4751</v>
      </c>
      <c r="BN66" s="60">
        <v>2160</v>
      </c>
      <c r="BO66" s="60" t="s">
        <v>4377</v>
      </c>
      <c r="BP66" s="60" t="s">
        <v>4377</v>
      </c>
      <c r="BQ66" s="60" t="s">
        <v>4377</v>
      </c>
      <c r="BR66" s="60" t="s">
        <v>4752</v>
      </c>
      <c r="BS66" s="60" t="s">
        <v>1582</v>
      </c>
      <c r="BT66" s="60" t="s">
        <v>4377</v>
      </c>
      <c r="BU66" s="60" t="s">
        <v>4377</v>
      </c>
      <c r="BV66" s="60" t="s">
        <v>4377</v>
      </c>
      <c r="BW66" s="60" t="s">
        <v>4377</v>
      </c>
      <c r="BX66" s="60">
        <v>2160</v>
      </c>
      <c r="BY66" s="60" t="s">
        <v>4377</v>
      </c>
      <c r="BZ66" s="60" t="s">
        <v>4377</v>
      </c>
      <c r="CA66" s="60" t="s">
        <v>4545</v>
      </c>
      <c r="CB66" s="60" t="s">
        <v>4377</v>
      </c>
      <c r="CC66" s="60" t="s">
        <v>4377</v>
      </c>
      <c r="CD66" s="60" t="s">
        <v>4377</v>
      </c>
    </row>
    <row r="67" spans="1:82">
      <c r="A67" s="60">
        <v>23555</v>
      </c>
      <c r="B67" s="60" t="s">
        <v>4377</v>
      </c>
      <c r="C67" s="60" t="s">
        <v>4747</v>
      </c>
      <c r="D67" s="60" t="s">
        <v>4377</v>
      </c>
      <c r="E67" s="60" t="s">
        <v>4543</v>
      </c>
      <c r="F67" s="60" t="s">
        <v>4748</v>
      </c>
      <c r="G67" s="60" t="s">
        <v>4545</v>
      </c>
      <c r="H67" s="60" t="s">
        <v>3768</v>
      </c>
      <c r="I67" s="60">
        <v>8758</v>
      </c>
      <c r="J67" s="60" t="s">
        <v>1582</v>
      </c>
      <c r="K67" s="60" t="s">
        <v>4377</v>
      </c>
      <c r="L67" s="60" t="s">
        <v>4543</v>
      </c>
      <c r="M67" s="60" t="s">
        <v>4719</v>
      </c>
      <c r="N67" s="60" t="s">
        <v>4719</v>
      </c>
      <c r="O67" s="60" t="s">
        <v>4548</v>
      </c>
      <c r="P67" s="60" t="s">
        <v>4549</v>
      </c>
      <c r="Q67" s="60" t="s">
        <v>3768</v>
      </c>
      <c r="R67" s="60" t="s">
        <v>4740</v>
      </c>
      <c r="S67" s="60" t="s">
        <v>4741</v>
      </c>
      <c r="T67" s="60" t="s">
        <v>4630</v>
      </c>
      <c r="U67" s="60" t="s">
        <v>4552</v>
      </c>
      <c r="V67" s="60" t="s">
        <v>4374</v>
      </c>
      <c r="W67" s="60" t="s">
        <v>4377</v>
      </c>
      <c r="X67" s="60" t="s">
        <v>4749</v>
      </c>
      <c r="Y67" s="60" t="s">
        <v>4554</v>
      </c>
      <c r="Z67" s="60" t="s">
        <v>4669</v>
      </c>
      <c r="AA67" s="60" t="s">
        <v>4377</v>
      </c>
      <c r="AB67" s="60" t="s">
        <v>4377</v>
      </c>
      <c r="AC67" s="60" t="s">
        <v>4377</v>
      </c>
      <c r="AD67" s="60" t="s">
        <v>4377</v>
      </c>
      <c r="AE67" s="60" t="s">
        <v>4377</v>
      </c>
      <c r="AF67" s="60" t="s">
        <v>4377</v>
      </c>
      <c r="AG67" s="60" t="s">
        <v>4377</v>
      </c>
      <c r="AH67" s="60" t="s">
        <v>4377</v>
      </c>
      <c r="AI67" s="60" t="s">
        <v>4377</v>
      </c>
      <c r="AJ67" s="60" t="s">
        <v>4377</v>
      </c>
      <c r="AK67" s="60" t="s">
        <v>4377</v>
      </c>
      <c r="AL67" s="60" t="s">
        <v>4377</v>
      </c>
      <c r="AM67" s="60" t="s">
        <v>4377</v>
      </c>
      <c r="AN67" s="60" t="s">
        <v>4377</v>
      </c>
      <c r="AO67" s="60" t="s">
        <v>4377</v>
      </c>
      <c r="AP67" s="61">
        <v>45670.6998958333</v>
      </c>
      <c r="AQ67" s="60" t="s">
        <v>4377</v>
      </c>
      <c r="AR67" s="60" t="s">
        <v>4377</v>
      </c>
      <c r="AS67" s="60" t="s">
        <v>4592</v>
      </c>
      <c r="AT67" s="60" t="s">
        <v>4571</v>
      </c>
      <c r="AU67" s="60" t="s">
        <v>4377</v>
      </c>
      <c r="AV67" s="60" t="s">
        <v>4377</v>
      </c>
      <c r="AW67" s="61">
        <v>45659.5854050926</v>
      </c>
      <c r="AX67" s="60" t="s">
        <v>4377</v>
      </c>
      <c r="AY67" s="60" t="s">
        <v>4559</v>
      </c>
      <c r="AZ67" s="60" t="s">
        <v>4377</v>
      </c>
      <c r="BA67" s="60" t="s">
        <v>4377</v>
      </c>
      <c r="BB67" s="60" t="s">
        <v>4377</v>
      </c>
      <c r="BC67" s="60" t="s">
        <v>2097</v>
      </c>
      <c r="BD67" s="60" t="s">
        <v>4634</v>
      </c>
      <c r="BE67" s="60" t="s">
        <v>4750</v>
      </c>
      <c r="BF67" s="60" t="s">
        <v>4561</v>
      </c>
      <c r="BG67" s="60" t="s">
        <v>4377</v>
      </c>
      <c r="BH67" s="60" t="s">
        <v>4377</v>
      </c>
      <c r="BI67" s="60" t="s">
        <v>2758</v>
      </c>
      <c r="BJ67" s="60" t="s">
        <v>4377</v>
      </c>
      <c r="BK67" s="60" t="s">
        <v>4377</v>
      </c>
      <c r="BL67" s="60">
        <v>3406753</v>
      </c>
      <c r="BM67" s="60" t="s">
        <v>4751</v>
      </c>
      <c r="BN67" s="60">
        <v>1938</v>
      </c>
      <c r="BO67" s="60" t="s">
        <v>4377</v>
      </c>
      <c r="BP67" s="60" t="s">
        <v>4377</v>
      </c>
      <c r="BQ67" s="60" t="s">
        <v>4377</v>
      </c>
      <c r="BR67" s="60" t="s">
        <v>4752</v>
      </c>
      <c r="BS67" s="60" t="s">
        <v>1582</v>
      </c>
      <c r="BT67" s="60" t="s">
        <v>4377</v>
      </c>
      <c r="BU67" s="60" t="s">
        <v>4377</v>
      </c>
      <c r="BV67" s="60" t="s">
        <v>4377</v>
      </c>
      <c r="BW67" s="60" t="s">
        <v>4377</v>
      </c>
      <c r="BX67" s="60">
        <v>1938</v>
      </c>
      <c r="BY67" s="60" t="s">
        <v>4377</v>
      </c>
      <c r="BZ67" s="60" t="s">
        <v>4377</v>
      </c>
      <c r="CA67" s="60" t="s">
        <v>4545</v>
      </c>
      <c r="CB67" s="60" t="s">
        <v>4377</v>
      </c>
      <c r="CC67" s="60" t="s">
        <v>4377</v>
      </c>
      <c r="CD67" s="60" t="s">
        <v>4377</v>
      </c>
    </row>
    <row r="68" spans="1:82">
      <c r="A68" s="60">
        <v>23556</v>
      </c>
      <c r="B68" s="60" t="s">
        <v>4377</v>
      </c>
      <c r="C68" s="60" t="s">
        <v>4747</v>
      </c>
      <c r="D68" s="60" t="s">
        <v>4377</v>
      </c>
      <c r="E68" s="60" t="s">
        <v>4543</v>
      </c>
      <c r="F68" s="60" t="s">
        <v>4748</v>
      </c>
      <c r="G68" s="60" t="s">
        <v>4545</v>
      </c>
      <c r="H68" s="60" t="s">
        <v>3768</v>
      </c>
      <c r="I68" s="60">
        <v>8758</v>
      </c>
      <c r="J68" s="60" t="s">
        <v>1582</v>
      </c>
      <c r="K68" s="60" t="s">
        <v>4377</v>
      </c>
      <c r="L68" s="60" t="s">
        <v>4543</v>
      </c>
      <c r="M68" s="60" t="s">
        <v>4719</v>
      </c>
      <c r="N68" s="60" t="s">
        <v>4719</v>
      </c>
      <c r="O68" s="60" t="s">
        <v>4548</v>
      </c>
      <c r="P68" s="60" t="s">
        <v>4549</v>
      </c>
      <c r="Q68" s="60" t="s">
        <v>3768</v>
      </c>
      <c r="R68" s="60" t="s">
        <v>4740</v>
      </c>
      <c r="S68" s="60" t="s">
        <v>4741</v>
      </c>
      <c r="T68" s="60" t="s">
        <v>4630</v>
      </c>
      <c r="U68" s="60" t="s">
        <v>4552</v>
      </c>
      <c r="V68" s="60" t="s">
        <v>4374</v>
      </c>
      <c r="W68" s="60" t="s">
        <v>4377</v>
      </c>
      <c r="X68" s="60" t="s">
        <v>4749</v>
      </c>
      <c r="Y68" s="60" t="s">
        <v>4554</v>
      </c>
      <c r="Z68" s="60" t="s">
        <v>4669</v>
      </c>
      <c r="AA68" s="60" t="s">
        <v>4377</v>
      </c>
      <c r="AB68" s="60" t="s">
        <v>4377</v>
      </c>
      <c r="AC68" s="60" t="s">
        <v>4377</v>
      </c>
      <c r="AD68" s="60" t="s">
        <v>4377</v>
      </c>
      <c r="AE68" s="60" t="s">
        <v>4377</v>
      </c>
      <c r="AF68" s="60" t="s">
        <v>4377</v>
      </c>
      <c r="AG68" s="60" t="s">
        <v>4377</v>
      </c>
      <c r="AH68" s="60" t="s">
        <v>4377</v>
      </c>
      <c r="AI68" s="60" t="s">
        <v>4377</v>
      </c>
      <c r="AJ68" s="60" t="s">
        <v>4377</v>
      </c>
      <c r="AK68" s="60" t="s">
        <v>4377</v>
      </c>
      <c r="AL68" s="60" t="s">
        <v>4377</v>
      </c>
      <c r="AM68" s="60" t="s">
        <v>4377</v>
      </c>
      <c r="AN68" s="60" t="s">
        <v>4377</v>
      </c>
      <c r="AO68" s="60" t="s">
        <v>4377</v>
      </c>
      <c r="AP68" s="61">
        <v>45670.6998958333</v>
      </c>
      <c r="AQ68" s="60" t="s">
        <v>4377</v>
      </c>
      <c r="AR68" s="60" t="s">
        <v>4377</v>
      </c>
      <c r="AS68" s="60" t="s">
        <v>4592</v>
      </c>
      <c r="AT68" s="60" t="s">
        <v>4571</v>
      </c>
      <c r="AU68" s="60" t="s">
        <v>4377</v>
      </c>
      <c r="AV68" s="60" t="s">
        <v>4377</v>
      </c>
      <c r="AW68" s="61">
        <v>45659.5854050926</v>
      </c>
      <c r="AX68" s="60" t="s">
        <v>4377</v>
      </c>
      <c r="AY68" s="60" t="s">
        <v>4559</v>
      </c>
      <c r="AZ68" s="60" t="s">
        <v>4377</v>
      </c>
      <c r="BA68" s="60" t="s">
        <v>4377</v>
      </c>
      <c r="BB68" s="60" t="s">
        <v>4377</v>
      </c>
      <c r="BC68" s="60" t="s">
        <v>2097</v>
      </c>
      <c r="BD68" s="60" t="s">
        <v>4634</v>
      </c>
      <c r="BE68" s="60" t="s">
        <v>4750</v>
      </c>
      <c r="BF68" s="60" t="s">
        <v>4561</v>
      </c>
      <c r="BG68" s="60" t="s">
        <v>4377</v>
      </c>
      <c r="BH68" s="60" t="s">
        <v>4377</v>
      </c>
      <c r="BI68" s="60" t="s">
        <v>2758</v>
      </c>
      <c r="BJ68" s="60" t="s">
        <v>4377</v>
      </c>
      <c r="BK68" s="60" t="s">
        <v>4377</v>
      </c>
      <c r="BL68" s="60">
        <v>3406755</v>
      </c>
      <c r="BM68" s="60" t="s">
        <v>4751</v>
      </c>
      <c r="BN68" s="60">
        <v>2160</v>
      </c>
      <c r="BO68" s="60" t="s">
        <v>4377</v>
      </c>
      <c r="BP68" s="60" t="s">
        <v>4377</v>
      </c>
      <c r="BQ68" s="60" t="s">
        <v>4377</v>
      </c>
      <c r="BR68" s="60" t="s">
        <v>4752</v>
      </c>
      <c r="BS68" s="60" t="s">
        <v>1582</v>
      </c>
      <c r="BT68" s="60" t="s">
        <v>4377</v>
      </c>
      <c r="BU68" s="60" t="s">
        <v>4377</v>
      </c>
      <c r="BV68" s="60" t="s">
        <v>4377</v>
      </c>
      <c r="BW68" s="60" t="s">
        <v>4377</v>
      </c>
      <c r="BX68" s="60">
        <v>2160</v>
      </c>
      <c r="BY68" s="60" t="s">
        <v>4377</v>
      </c>
      <c r="BZ68" s="60" t="s">
        <v>4377</v>
      </c>
      <c r="CA68" s="60" t="s">
        <v>4545</v>
      </c>
      <c r="CB68" s="60" t="s">
        <v>4377</v>
      </c>
      <c r="CC68" s="60" t="s">
        <v>4377</v>
      </c>
      <c r="CD68" s="60" t="s">
        <v>4377</v>
      </c>
    </row>
    <row r="69" spans="1:82">
      <c r="A69" s="60">
        <v>23557</v>
      </c>
      <c r="B69" s="60" t="s">
        <v>4377</v>
      </c>
      <c r="C69" s="60" t="s">
        <v>4747</v>
      </c>
      <c r="D69" s="60" t="s">
        <v>4377</v>
      </c>
      <c r="E69" s="60" t="s">
        <v>4543</v>
      </c>
      <c r="F69" s="60" t="s">
        <v>4748</v>
      </c>
      <c r="G69" s="60" t="s">
        <v>4545</v>
      </c>
      <c r="H69" s="60" t="s">
        <v>3768</v>
      </c>
      <c r="I69" s="60">
        <v>8758</v>
      </c>
      <c r="J69" s="60" t="s">
        <v>1582</v>
      </c>
      <c r="K69" s="60" t="s">
        <v>4377</v>
      </c>
      <c r="L69" s="60" t="s">
        <v>4543</v>
      </c>
      <c r="M69" s="60" t="s">
        <v>4719</v>
      </c>
      <c r="N69" s="60" t="s">
        <v>4719</v>
      </c>
      <c r="O69" s="60" t="s">
        <v>4548</v>
      </c>
      <c r="P69" s="60" t="s">
        <v>4549</v>
      </c>
      <c r="Q69" s="60" t="s">
        <v>3768</v>
      </c>
      <c r="R69" s="60" t="s">
        <v>4740</v>
      </c>
      <c r="S69" s="60" t="s">
        <v>4741</v>
      </c>
      <c r="T69" s="60" t="s">
        <v>4630</v>
      </c>
      <c r="U69" s="60" t="s">
        <v>4552</v>
      </c>
      <c r="V69" s="60" t="s">
        <v>4374</v>
      </c>
      <c r="W69" s="60" t="s">
        <v>4377</v>
      </c>
      <c r="X69" s="60" t="s">
        <v>4749</v>
      </c>
      <c r="Y69" s="60" t="s">
        <v>4554</v>
      </c>
      <c r="Z69" s="60" t="s">
        <v>4669</v>
      </c>
      <c r="AA69" s="60" t="s">
        <v>4377</v>
      </c>
      <c r="AB69" s="60" t="s">
        <v>4377</v>
      </c>
      <c r="AC69" s="60" t="s">
        <v>4377</v>
      </c>
      <c r="AD69" s="60" t="s">
        <v>4377</v>
      </c>
      <c r="AE69" s="60" t="s">
        <v>4377</v>
      </c>
      <c r="AF69" s="60" t="s">
        <v>4377</v>
      </c>
      <c r="AG69" s="60" t="s">
        <v>4377</v>
      </c>
      <c r="AH69" s="60" t="s">
        <v>4377</v>
      </c>
      <c r="AI69" s="60" t="s">
        <v>4377</v>
      </c>
      <c r="AJ69" s="60" t="s">
        <v>4377</v>
      </c>
      <c r="AK69" s="60" t="s">
        <v>4377</v>
      </c>
      <c r="AL69" s="60" t="s">
        <v>4377</v>
      </c>
      <c r="AM69" s="60" t="s">
        <v>4377</v>
      </c>
      <c r="AN69" s="60" t="s">
        <v>4377</v>
      </c>
      <c r="AO69" s="60" t="s">
        <v>4377</v>
      </c>
      <c r="AP69" s="61">
        <v>45670.6998958333</v>
      </c>
      <c r="AQ69" s="60" t="s">
        <v>4377</v>
      </c>
      <c r="AR69" s="60" t="s">
        <v>4377</v>
      </c>
      <c r="AS69" s="60" t="s">
        <v>4592</v>
      </c>
      <c r="AT69" s="60" t="s">
        <v>4571</v>
      </c>
      <c r="AU69" s="60" t="s">
        <v>4377</v>
      </c>
      <c r="AV69" s="60" t="s">
        <v>4377</v>
      </c>
      <c r="AW69" s="61">
        <v>45659.5854050926</v>
      </c>
      <c r="AX69" s="60" t="s">
        <v>4377</v>
      </c>
      <c r="AY69" s="60" t="s">
        <v>4559</v>
      </c>
      <c r="AZ69" s="60" t="s">
        <v>4377</v>
      </c>
      <c r="BA69" s="60" t="s">
        <v>4377</v>
      </c>
      <c r="BB69" s="60" t="s">
        <v>4377</v>
      </c>
      <c r="BC69" s="60" t="s">
        <v>2097</v>
      </c>
      <c r="BD69" s="60" t="s">
        <v>4634</v>
      </c>
      <c r="BE69" s="60" t="s">
        <v>4750</v>
      </c>
      <c r="BF69" s="60" t="s">
        <v>4561</v>
      </c>
      <c r="BG69" s="60" t="s">
        <v>4377</v>
      </c>
      <c r="BH69" s="60" t="s">
        <v>4377</v>
      </c>
      <c r="BI69" s="60" t="s">
        <v>2758</v>
      </c>
      <c r="BJ69" s="60" t="s">
        <v>4377</v>
      </c>
      <c r="BK69" s="60" t="s">
        <v>4377</v>
      </c>
      <c r="BL69" s="60">
        <v>3406756</v>
      </c>
      <c r="BM69" s="60" t="s">
        <v>4751</v>
      </c>
      <c r="BN69" s="60">
        <v>2500</v>
      </c>
      <c r="BO69" s="60" t="s">
        <v>4377</v>
      </c>
      <c r="BP69" s="60" t="s">
        <v>4377</v>
      </c>
      <c r="BQ69" s="60" t="s">
        <v>4377</v>
      </c>
      <c r="BR69" s="60" t="s">
        <v>4752</v>
      </c>
      <c r="BS69" s="60" t="s">
        <v>1582</v>
      </c>
      <c r="BT69" s="60" t="s">
        <v>4377</v>
      </c>
      <c r="BU69" s="60" t="s">
        <v>4377</v>
      </c>
      <c r="BV69" s="60" t="s">
        <v>4377</v>
      </c>
      <c r="BW69" s="60" t="s">
        <v>4377</v>
      </c>
      <c r="BX69" s="60">
        <v>2500</v>
      </c>
      <c r="BY69" s="60" t="s">
        <v>4377</v>
      </c>
      <c r="BZ69" s="60" t="s">
        <v>4377</v>
      </c>
      <c r="CA69" s="60" t="s">
        <v>4545</v>
      </c>
      <c r="CB69" s="60" t="s">
        <v>4377</v>
      </c>
      <c r="CC69" s="60" t="s">
        <v>4377</v>
      </c>
      <c r="CD69" s="60" t="s">
        <v>4377</v>
      </c>
    </row>
  </sheetData>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I12" sqref="I12"/>
    </sheetView>
  </sheetViews>
  <sheetFormatPr defaultColWidth="9" defaultRowHeight="14"/>
  <cols>
    <col min="1" max="1" width="30.7545454545455" style="55" customWidth="1"/>
    <col min="4" max="5" width="10.3727272727273" customWidth="1"/>
    <col min="7" max="7" width="10.3727272727273" customWidth="1"/>
  </cols>
  <sheetData>
    <row r="1" spans="2:13">
      <c r="B1" s="19" t="s">
        <v>4753</v>
      </c>
      <c r="C1" s="19" t="s">
        <v>4754</v>
      </c>
      <c r="D1" s="19" t="s">
        <v>4755</v>
      </c>
      <c r="E1" s="19" t="s">
        <v>4756</v>
      </c>
      <c r="F1" s="19" t="s">
        <v>4757</v>
      </c>
      <c r="G1" s="19" t="s">
        <v>4758</v>
      </c>
      <c r="H1" s="19" t="s">
        <v>4759</v>
      </c>
      <c r="I1" s="19" t="s">
        <v>4760</v>
      </c>
      <c r="J1" s="19" t="s">
        <v>4761</v>
      </c>
      <c r="K1" s="19" t="s">
        <v>4762</v>
      </c>
      <c r="L1" s="19" t="s">
        <v>4763</v>
      </c>
      <c r="M1" s="19" t="s">
        <v>4764</v>
      </c>
    </row>
    <row r="2" s="53" customFormat="1" spans="1:13">
      <c r="A2" s="56" t="s">
        <v>4765</v>
      </c>
      <c r="B2" s="53">
        <f>SUMIFS(引用修正!$C$2:$C$10000,引用修正!$G$2:$G$10000,$A2,引用修正!$F$2:$F$10000,B$1,引用修正!$H$2:$H$10000,"0",引用修正!$I$2:$I$10000,"0")</f>
        <v>0</v>
      </c>
      <c r="C2" s="53">
        <f>SUMIFS(引用修正!$C$2:$C$10000,引用修正!$G$2:$G$10000,$A2,引用修正!$F$2:$F$10000,C$1,引用修正!$H$2:$H$10000,"0",引用修正!$I$2:$I$10000,"0")</f>
        <v>0</v>
      </c>
      <c r="D2" s="53">
        <f>SUMIFS(引用修正!$C$2:$C$10000,引用修正!$G$2:$G$10000,$A2,引用修正!$F$2:$F$10000,D$1,引用修正!$H$2:$H$10000,"0",引用修正!$I$2:$I$10000,"0")</f>
        <v>0</v>
      </c>
      <c r="E2" s="53">
        <f>SUMIFS(引用修正!$C$2:$C$10000,引用修正!$G$2:$G$10000,$A2,引用修正!$F$2:$F$10000,E$1,引用修正!$H$2:$H$10000,"0",引用修正!$I$2:$I$10000,"0")</f>
        <v>0</v>
      </c>
      <c r="F2" s="53">
        <f>SUMIFS(引用修正!$C$2:$C$10000,引用修正!$G$2:$G$10000,$A2,引用修正!$F$2:$F$10000,F$1,引用修正!$H$2:$H$10000,"0",引用修正!$I$2:$I$10000,"0")</f>
        <v>0</v>
      </c>
      <c r="G2" s="53">
        <f>SUMIFS(引用修正!$C$2:$C$10000,引用修正!$G$2:$G$10000,$A2,引用修正!$F$2:$F$10000,G$1,引用修正!$H$2:$H$10000,"0",引用修正!$I$2:$I$10000,"0")</f>
        <v>0</v>
      </c>
      <c r="H2" s="53">
        <f>SUMIFS(引用修正!$C$2:$C$10000,引用修正!$G$2:$G$10000,$A2,引用修正!$F$2:$F$10000,H$1,引用修正!$H$2:$H$10000,"0",引用修正!$I$2:$I$10000,"0")</f>
        <v>0</v>
      </c>
      <c r="I2" s="53">
        <f>SUMIFS(引用修正!$C$2:$C$10000,引用修正!$G$2:$G$10000,$A2,引用修正!$F$2:$F$10000,I$1,引用修正!$H$2:$H$10000,"0",引用修正!$I$2:$I$10000,"0")</f>
        <v>0</v>
      </c>
      <c r="J2" s="53">
        <f>SUMIFS(引用修正!$C$2:$C$10000,引用修正!$G$2:$G$10000,$A2,引用修正!$F$2:$F$10000,J$1,引用修正!$H$2:$H$10000,"0",引用修正!$I$2:$I$10000,"0")</f>
        <v>0</v>
      </c>
      <c r="K2" s="53">
        <f>SUMIFS(引用修正!$C$2:$C$10000,引用修正!$G$2:$G$10000,$A2,引用修正!$F$2:$F$10000,K$1,引用修正!$H$2:$H$10000,"0",引用修正!$I$2:$I$10000,"0")</f>
        <v>0</v>
      </c>
      <c r="L2" s="53">
        <f>SUMIFS(引用修正!$C$2:$C$10000,引用修正!$G$2:$G$10000,$A2,引用修正!$F$2:$F$10000,L$1,引用修正!$H$2:$H$10000,"0",引用修正!$I$2:$I$10000,"0")</f>
        <v>0</v>
      </c>
      <c r="M2" s="53">
        <f>SUMIFS(引用修正!$C$2:$C$10000,引用修正!$G$2:$G$10000,$A2,引用修正!$F$2:$F$10000,M$1,引用修正!$H$2:$H$10000,"0",引用修正!$I$2:$I$10000,"0")</f>
        <v>0</v>
      </c>
    </row>
    <row r="3" s="53" customFormat="1" spans="1:13">
      <c r="A3" s="56" t="s">
        <v>4766</v>
      </c>
      <c r="B3" s="53">
        <f>SUMIFS(引用修正!$C$2:$C$10000,引用修正!$G$2:$G$10000,$A3,引用修正!$F$2:$F$10000,B$1,引用修正!$H$2:$H$10000,"0",引用修正!$I$2:$I$10000,"0")</f>
        <v>0</v>
      </c>
      <c r="C3" s="53">
        <f>SUMIFS(引用修正!$C$2:$C$10000,引用修正!$G$2:$G$10000,$A3,引用修正!$F$2:$F$10000,C$1,引用修正!$H$2:$H$10000,"0",引用修正!$I$2:$I$10000,"0")</f>
        <v>0</v>
      </c>
      <c r="D3" s="53">
        <f>SUMIFS(引用修正!$C$2:$C$10000,引用修正!$G$2:$G$10000,$A3,引用修正!$F$2:$F$10000,D$1,引用修正!$H$2:$H$10000,"0",引用修正!$I$2:$I$10000,"0")</f>
        <v>0</v>
      </c>
      <c r="E3" s="53">
        <f>SUMIFS(引用修正!$C$2:$C$10000,引用修正!$G$2:$G$10000,$A3,引用修正!$F$2:$F$10000,E$1,引用修正!$H$2:$H$10000,"0",引用修正!$I$2:$I$10000,"0")</f>
        <v>0</v>
      </c>
      <c r="F3" s="53">
        <f>SUMIFS(引用修正!$C$2:$C$10000,引用修正!$G$2:$G$10000,$A3,引用修正!$F$2:$F$10000,F$1,引用修正!$H$2:$H$10000,"0",引用修正!$I$2:$I$10000,"0")</f>
        <v>0</v>
      </c>
      <c r="G3" s="53">
        <f>SUMIFS(引用修正!$C$2:$C$10000,引用修正!$G$2:$G$10000,$A3,引用修正!$F$2:$F$10000,G$1,引用修正!$H$2:$H$10000,"0",引用修正!$I$2:$I$10000,"0")</f>
        <v>0</v>
      </c>
      <c r="H3" s="53">
        <f>SUMIFS(引用修正!$C$2:$C$10000,引用修正!$G$2:$G$10000,$A3,引用修正!$F$2:$F$10000,H$1,引用修正!$H$2:$H$10000,"0",引用修正!$I$2:$I$10000,"0")</f>
        <v>0</v>
      </c>
      <c r="I3" s="53">
        <f>SUMIFS(引用修正!$C$2:$C$10000,引用修正!$G$2:$G$10000,$A3,引用修正!$F$2:$F$10000,I$1,引用修正!$H$2:$H$10000,"0",引用修正!$I$2:$I$10000,"0")</f>
        <v>0</v>
      </c>
      <c r="J3" s="53">
        <f>SUMIFS(引用修正!$C$2:$C$10000,引用修正!$G$2:$G$10000,$A3,引用修正!$F$2:$F$10000,J$1,引用修正!$H$2:$H$10000,"0",引用修正!$I$2:$I$10000,"0")</f>
        <v>0</v>
      </c>
      <c r="K3" s="53">
        <f>SUMIFS(引用修正!$C$2:$C$10000,引用修正!$G$2:$G$10000,$A3,引用修正!$F$2:$F$10000,K$1,引用修正!$H$2:$H$10000,"0",引用修正!$I$2:$I$10000,"0")</f>
        <v>0</v>
      </c>
      <c r="L3" s="53">
        <f>SUMIFS(引用修正!$C$2:$C$10000,引用修正!$G$2:$G$10000,$A3,引用修正!$F$2:$F$10000,L$1,引用修正!$H$2:$H$10000,"0",引用修正!$I$2:$I$10000,"0")</f>
        <v>0</v>
      </c>
      <c r="M3" s="53">
        <f>SUMIFS(引用修正!$C$2:$C$10000,引用修正!$G$2:$G$10000,$A3,引用修正!$F$2:$F$10000,M$1,引用修正!$H$2:$H$10000,"0",引用修正!$I$2:$I$10000,"0")</f>
        <v>0</v>
      </c>
    </row>
    <row r="4" s="53" customFormat="1" spans="1:13">
      <c r="A4" s="56" t="s">
        <v>4767</v>
      </c>
      <c r="B4" s="53">
        <f>SUMIFS(引用修正!$C$2:$C$10000,引用修正!$G$2:$G$10000,$A4,引用修正!$F$2:$F$10000,B$1,引用修正!$H$2:$H$10000,"0",引用修正!$I$2:$I$10000,"0")</f>
        <v>0</v>
      </c>
      <c r="C4" s="53">
        <f>SUMIFS(引用修正!$C$2:$C$10000,引用修正!$G$2:$G$10000,$A4,引用修正!$F$2:$F$10000,C$1,引用修正!$H$2:$H$10000,"0",引用修正!$I$2:$I$10000,"0")</f>
        <v>0</v>
      </c>
      <c r="D4" s="53">
        <f>SUMIFS(引用修正!$C$2:$C$10000,引用修正!$G$2:$G$10000,$A4,引用修正!$F$2:$F$10000,D$1,引用修正!$H$2:$H$10000,"0",引用修正!$I$2:$I$10000,"0")</f>
        <v>0</v>
      </c>
      <c r="E4" s="53">
        <f>SUMIFS(引用修正!$C$2:$C$10000,引用修正!$G$2:$G$10000,$A4,引用修正!$F$2:$F$10000,E$1,引用修正!$H$2:$H$10000,"0",引用修正!$I$2:$I$10000,"0")</f>
        <v>0</v>
      </c>
      <c r="F4" s="53">
        <f>SUMIFS(引用修正!$C$2:$C$10000,引用修正!$G$2:$G$10000,$A4,引用修正!$F$2:$F$10000,F$1,引用修正!$H$2:$H$10000,"0",引用修正!$I$2:$I$10000,"0")</f>
        <v>0</v>
      </c>
      <c r="G4" s="53">
        <f>SUMIFS(引用修正!$C$2:$C$10000,引用修正!$G$2:$G$10000,$A4,引用修正!$F$2:$F$10000,G$1,引用修正!$H$2:$H$10000,"0",引用修正!$I$2:$I$10000,"0")</f>
        <v>0</v>
      </c>
      <c r="H4" s="53">
        <f>SUMIFS(引用修正!$C$2:$C$10000,引用修正!$G$2:$G$10000,$A4,引用修正!$F$2:$F$10000,H$1,引用修正!$H$2:$H$10000,"0",引用修正!$I$2:$I$10000,"0")</f>
        <v>0</v>
      </c>
      <c r="I4" s="53">
        <f>SUMIFS(引用修正!$C$2:$C$10000,引用修正!$G$2:$G$10000,$A4,引用修正!$F$2:$F$10000,I$1,引用修正!$H$2:$H$10000,"0",引用修正!$I$2:$I$10000,"0")</f>
        <v>0</v>
      </c>
      <c r="J4" s="53">
        <f>SUMIFS(引用修正!$C$2:$C$10000,引用修正!$G$2:$G$10000,$A4,引用修正!$F$2:$F$10000,J$1,引用修正!$H$2:$H$10000,"0",引用修正!$I$2:$I$10000,"0")</f>
        <v>0</v>
      </c>
      <c r="K4" s="53">
        <f>SUMIFS(引用修正!$C$2:$C$10000,引用修正!$G$2:$G$10000,$A4,引用修正!$F$2:$F$10000,K$1,引用修正!$H$2:$H$10000,"0",引用修正!$I$2:$I$10000,"0")</f>
        <v>0</v>
      </c>
      <c r="L4" s="53">
        <f>SUMIFS(引用修正!$C$2:$C$10000,引用修正!$G$2:$G$10000,$A4,引用修正!$F$2:$F$10000,L$1,引用修正!$H$2:$H$10000,"0",引用修正!$I$2:$I$10000,"0")</f>
        <v>0</v>
      </c>
      <c r="M4" s="53">
        <f>SUMIFS(引用修正!$C$2:$C$10000,引用修正!$G$2:$G$10000,$A4,引用修正!$F$2:$F$10000,M$1,引用修正!$H$2:$H$10000,"0",引用修正!$I$2:$I$10000,"0")</f>
        <v>0</v>
      </c>
    </row>
    <row r="5" s="53" customFormat="1" spans="1:13">
      <c r="A5" s="56" t="s">
        <v>4768</v>
      </c>
      <c r="B5" s="53">
        <f>SUMIFS(引用修正!$C$2:$C$10000,引用修正!$G$2:$G$10000,$A5,引用修正!$F$2:$F$10000,B$1,引用修正!$H$2:$H$10000,"0",引用修正!$I$2:$I$10000,"0")</f>
        <v>0</v>
      </c>
      <c r="C5" s="53">
        <f>SUMIFS(引用修正!$C$2:$C$10000,引用修正!$G$2:$G$10000,$A5,引用修正!$F$2:$F$10000,C$1,引用修正!$H$2:$H$10000,"0",引用修正!$I$2:$I$10000,"0")</f>
        <v>0</v>
      </c>
      <c r="D5" s="53">
        <f>SUMIFS(引用修正!$C$2:$C$10000,引用修正!$G$2:$G$10000,$A5,引用修正!$F$2:$F$10000,D$1,引用修正!$H$2:$H$10000,"0",引用修正!$I$2:$I$10000,"0")</f>
        <v>0</v>
      </c>
      <c r="E5" s="53">
        <f>SUMIFS(引用修正!$C$2:$C$10000,引用修正!$G$2:$G$10000,$A5,引用修正!$F$2:$F$10000,E$1,引用修正!$H$2:$H$10000,"0",引用修正!$I$2:$I$10000,"0")</f>
        <v>0</v>
      </c>
      <c r="F5" s="53">
        <f>SUMIFS(引用修正!$C$2:$C$10000,引用修正!$G$2:$G$10000,$A5,引用修正!$F$2:$F$10000,F$1,引用修正!$H$2:$H$10000,"0",引用修正!$I$2:$I$10000,"0")</f>
        <v>0</v>
      </c>
      <c r="G5" s="53">
        <f>SUMIFS(引用修正!$C$2:$C$10000,引用修正!$G$2:$G$10000,$A5,引用修正!$F$2:$F$10000,G$1,引用修正!$H$2:$H$10000,"0",引用修正!$I$2:$I$10000,"0")</f>
        <v>0</v>
      </c>
      <c r="H5" s="53">
        <f>SUMIFS(引用修正!$C$2:$C$10000,引用修正!$G$2:$G$10000,$A5,引用修正!$F$2:$F$10000,H$1,引用修正!$H$2:$H$10000,"0",引用修正!$I$2:$I$10000,"0")</f>
        <v>0</v>
      </c>
      <c r="I5" s="53">
        <f>SUMIFS(引用修正!$C$2:$C$10000,引用修正!$G$2:$G$10000,$A5,引用修正!$F$2:$F$10000,I$1,引用修正!$H$2:$H$10000,"0",引用修正!$I$2:$I$10000,"0")</f>
        <v>0</v>
      </c>
      <c r="J5" s="53">
        <f>SUMIFS(引用修正!$C$2:$C$10000,引用修正!$G$2:$G$10000,$A5,引用修正!$F$2:$F$10000,J$1,引用修正!$H$2:$H$10000,"0",引用修正!$I$2:$I$10000,"0")</f>
        <v>0</v>
      </c>
      <c r="K5" s="53">
        <f>SUMIFS(引用修正!$C$2:$C$10000,引用修正!$G$2:$G$10000,$A5,引用修正!$F$2:$F$10000,K$1,引用修正!$H$2:$H$10000,"0",引用修正!$I$2:$I$10000,"0")</f>
        <v>0</v>
      </c>
      <c r="L5" s="53">
        <f>SUMIFS(引用修正!$C$2:$C$10000,引用修正!$G$2:$G$10000,$A5,引用修正!$F$2:$F$10000,L$1,引用修正!$H$2:$H$10000,"0",引用修正!$I$2:$I$10000,"0")</f>
        <v>0</v>
      </c>
      <c r="M5" s="53">
        <f>SUMIFS(引用修正!$C$2:$C$10000,引用修正!$G$2:$G$10000,$A5,引用修正!$F$2:$F$10000,M$1,引用修正!$H$2:$H$10000,"0",引用修正!$I$2:$I$10000,"0")</f>
        <v>0</v>
      </c>
    </row>
    <row r="6" s="53" customFormat="1" spans="1:13">
      <c r="A6" s="56" t="s">
        <v>4769</v>
      </c>
      <c r="B6" s="53">
        <f>SUMIFS(引用修正!$C$2:$C$10000,引用修正!$G$2:$G$10000,$A6,引用修正!$F$2:$F$10000,B$1,引用修正!$H$2:$H$10000,"0",引用修正!$I$2:$I$10000,"0")</f>
        <v>0</v>
      </c>
      <c r="C6" s="53">
        <f>SUMIFS(引用修正!$C$2:$C$10000,引用修正!$G$2:$G$10000,$A6,引用修正!$F$2:$F$10000,C$1,引用修正!$H$2:$H$10000,"0",引用修正!$I$2:$I$10000,"0")</f>
        <v>0</v>
      </c>
      <c r="D6" s="53">
        <f>SUMIFS(引用修正!$C$2:$C$10000,引用修正!$G$2:$G$10000,$A6,引用修正!$F$2:$F$10000,D$1,引用修正!$H$2:$H$10000,"0",引用修正!$I$2:$I$10000,"0")</f>
        <v>0</v>
      </c>
      <c r="E6" s="53">
        <f>SUMIFS(引用修正!$C$2:$C$10000,引用修正!$G$2:$G$10000,$A6,引用修正!$F$2:$F$10000,E$1,引用修正!$H$2:$H$10000,"0",引用修正!$I$2:$I$10000,"0")</f>
        <v>0</v>
      </c>
      <c r="F6" s="53">
        <f>SUMIFS(引用修正!$C$2:$C$10000,引用修正!$G$2:$G$10000,$A6,引用修正!$F$2:$F$10000,F$1,引用修正!$H$2:$H$10000,"0",引用修正!$I$2:$I$10000,"0")</f>
        <v>0</v>
      </c>
      <c r="G6" s="53">
        <f>SUMIFS(引用修正!$C$2:$C$10000,引用修正!$G$2:$G$10000,$A6,引用修正!$F$2:$F$10000,G$1,引用修正!$H$2:$H$10000,"0",引用修正!$I$2:$I$10000,"0")</f>
        <v>0</v>
      </c>
      <c r="H6" s="53">
        <f>SUMIFS(引用修正!$C$2:$C$10000,引用修正!$G$2:$G$10000,$A6,引用修正!$F$2:$F$10000,H$1,引用修正!$H$2:$H$10000,"0",引用修正!$I$2:$I$10000,"0")</f>
        <v>0</v>
      </c>
      <c r="I6" s="53">
        <f>SUMIFS(引用修正!$C$2:$C$10000,引用修正!$G$2:$G$10000,$A6,引用修正!$F$2:$F$10000,I$1,引用修正!$H$2:$H$10000,"0",引用修正!$I$2:$I$10000,"0")</f>
        <v>0</v>
      </c>
      <c r="J6" s="53">
        <f>SUMIFS(引用修正!$C$2:$C$10000,引用修正!$G$2:$G$10000,$A6,引用修正!$F$2:$F$10000,J$1,引用修正!$H$2:$H$10000,"0",引用修正!$I$2:$I$10000,"0")</f>
        <v>0</v>
      </c>
      <c r="K6" s="53">
        <f>SUMIFS(引用修正!$C$2:$C$10000,引用修正!$G$2:$G$10000,$A6,引用修正!$F$2:$F$10000,K$1,引用修正!$H$2:$H$10000,"0",引用修正!$I$2:$I$10000,"0")</f>
        <v>0</v>
      </c>
      <c r="L6" s="53">
        <f>SUMIFS(引用修正!$C$2:$C$10000,引用修正!$G$2:$G$10000,$A6,引用修正!$F$2:$F$10000,L$1,引用修正!$H$2:$H$10000,"0",引用修正!$I$2:$I$10000,"0")</f>
        <v>0</v>
      </c>
      <c r="M6" s="53">
        <f>SUMIFS(引用修正!$C$2:$C$10000,引用修正!$G$2:$G$10000,$A6,引用修正!$F$2:$F$10000,M$1,引用修正!$H$2:$H$10000,"0",引用修正!$I$2:$I$10000,"0")</f>
        <v>0</v>
      </c>
    </row>
    <row r="7" s="53" customFormat="1" spans="1:13">
      <c r="A7" s="56" t="s">
        <v>4770</v>
      </c>
      <c r="B7" s="53">
        <f>SUMIFS(引用修正!$C$2:$C$10000,引用修正!$G$2:$G$10000,$A7,引用修正!$F$2:$F$10000,B$1,引用修正!$H$2:$H$10000,"0",引用修正!$I$2:$I$10000,"0")</f>
        <v>0</v>
      </c>
      <c r="C7" s="53">
        <f>SUMIFS(引用修正!$C$2:$C$10000,引用修正!$G$2:$G$10000,$A7,引用修正!$F$2:$F$10000,C$1,引用修正!$H$2:$H$10000,"0",引用修正!$I$2:$I$10000,"0")</f>
        <v>0</v>
      </c>
      <c r="D7" s="53">
        <f>SUMIFS(引用修正!$C$2:$C$10000,引用修正!$G$2:$G$10000,$A7,引用修正!$F$2:$F$10000,D$1,引用修正!$H$2:$H$10000,"0",引用修正!$I$2:$I$10000,"0")</f>
        <v>0</v>
      </c>
      <c r="E7" s="53">
        <f>SUMIFS(引用修正!$C$2:$C$10000,引用修正!$G$2:$G$10000,$A7,引用修正!$F$2:$F$10000,E$1,引用修正!$H$2:$H$10000,"0",引用修正!$I$2:$I$10000,"0")</f>
        <v>0</v>
      </c>
      <c r="F7" s="53">
        <f>SUMIFS(引用修正!$C$2:$C$10000,引用修正!$G$2:$G$10000,$A7,引用修正!$F$2:$F$10000,F$1,引用修正!$H$2:$H$10000,"0",引用修正!$I$2:$I$10000,"0")</f>
        <v>0</v>
      </c>
      <c r="G7" s="53">
        <f>SUMIFS(引用修正!$C$2:$C$10000,引用修正!$G$2:$G$10000,$A7,引用修正!$F$2:$F$10000,G$1,引用修正!$H$2:$H$10000,"0",引用修正!$I$2:$I$10000,"0")</f>
        <v>0</v>
      </c>
      <c r="H7" s="53">
        <f>SUMIFS(引用修正!$C$2:$C$10000,引用修正!$G$2:$G$10000,$A7,引用修正!$F$2:$F$10000,H$1,引用修正!$H$2:$H$10000,"0",引用修正!$I$2:$I$10000,"0")</f>
        <v>0</v>
      </c>
      <c r="I7" s="53">
        <f>SUMIFS(引用修正!$C$2:$C$10000,引用修正!$G$2:$G$10000,$A7,引用修正!$F$2:$F$10000,I$1,引用修正!$H$2:$H$10000,"0",引用修正!$I$2:$I$10000,"0")</f>
        <v>0</v>
      </c>
      <c r="J7" s="53">
        <f>SUMIFS(引用修正!$C$2:$C$10000,引用修正!$G$2:$G$10000,$A7,引用修正!$F$2:$F$10000,J$1,引用修正!$H$2:$H$10000,"0",引用修正!$I$2:$I$10000,"0")</f>
        <v>0</v>
      </c>
      <c r="K7" s="53">
        <f>SUMIFS(引用修正!$C$2:$C$10000,引用修正!$G$2:$G$10000,$A7,引用修正!$F$2:$F$10000,K$1,引用修正!$H$2:$H$10000,"0",引用修正!$I$2:$I$10000,"0")</f>
        <v>0</v>
      </c>
      <c r="L7" s="53">
        <f>SUMIFS(引用修正!$C$2:$C$10000,引用修正!$G$2:$G$10000,$A7,引用修正!$F$2:$F$10000,L$1,引用修正!$H$2:$H$10000,"0",引用修正!$I$2:$I$10000,"0")</f>
        <v>0</v>
      </c>
      <c r="M7" s="53">
        <f>SUMIFS(引用修正!$C$2:$C$10000,引用修正!$G$2:$G$10000,$A7,引用修正!$F$2:$F$10000,M$1,引用修正!$H$2:$H$10000,"0",引用修正!$I$2:$I$10000,"0")</f>
        <v>0</v>
      </c>
    </row>
    <row r="8" s="53" customFormat="1" spans="1:13">
      <c r="A8" s="56" t="s">
        <v>4771</v>
      </c>
      <c r="B8" s="53">
        <f>SUMIFS(引用修正!$C$2:$C$10000,引用修正!$G$2:$G$10000,$A8,引用修正!$F$2:$F$10000,B$1,引用修正!$H$2:$H$10000,"0",引用修正!$I$2:$I$10000,"0")</f>
        <v>0</v>
      </c>
      <c r="C8" s="53">
        <f>SUMIFS(引用修正!$C$2:$C$10000,引用修正!$G$2:$G$10000,$A8,引用修正!$F$2:$F$10000,C$1,引用修正!$H$2:$H$10000,"0",引用修正!$I$2:$I$10000,"0")</f>
        <v>0</v>
      </c>
      <c r="D8" s="53">
        <f>SUMIFS(引用修正!$C$2:$C$10000,引用修正!$G$2:$G$10000,$A8,引用修正!$F$2:$F$10000,D$1,引用修正!$H$2:$H$10000,"0",引用修正!$I$2:$I$10000,"0")</f>
        <v>0</v>
      </c>
      <c r="E8" s="53">
        <f>SUMIFS(引用修正!$C$2:$C$10000,引用修正!$G$2:$G$10000,$A8,引用修正!$F$2:$F$10000,E$1,引用修正!$H$2:$H$10000,"0",引用修正!$I$2:$I$10000,"0")</f>
        <v>0</v>
      </c>
      <c r="F8" s="53">
        <f>SUMIFS(引用修正!$C$2:$C$10000,引用修正!$G$2:$G$10000,$A8,引用修正!$F$2:$F$10000,F$1,引用修正!$H$2:$H$10000,"0",引用修正!$I$2:$I$10000,"0")</f>
        <v>0</v>
      </c>
      <c r="G8" s="53">
        <f>SUMIFS(引用修正!$C$2:$C$10000,引用修正!$G$2:$G$10000,$A8,引用修正!$F$2:$F$10000,G$1,引用修正!$H$2:$H$10000,"0",引用修正!$I$2:$I$10000,"0")</f>
        <v>0</v>
      </c>
      <c r="H8" s="53">
        <f>SUMIFS(引用修正!$C$2:$C$10000,引用修正!$G$2:$G$10000,$A8,引用修正!$F$2:$F$10000,H$1,引用修正!$H$2:$H$10000,"0",引用修正!$I$2:$I$10000,"0")</f>
        <v>0</v>
      </c>
      <c r="I8" s="53">
        <f>SUMIFS(引用修正!$C$2:$C$10000,引用修正!$G$2:$G$10000,$A8,引用修正!$F$2:$F$10000,I$1,引用修正!$H$2:$H$10000,"0",引用修正!$I$2:$I$10000,"0")</f>
        <v>0</v>
      </c>
      <c r="J8" s="53">
        <f>SUMIFS(引用修正!$C$2:$C$10000,引用修正!$G$2:$G$10000,$A8,引用修正!$F$2:$F$10000,J$1,引用修正!$H$2:$H$10000,"0",引用修正!$I$2:$I$10000,"0")</f>
        <v>0</v>
      </c>
      <c r="K8" s="53">
        <f>SUMIFS(引用修正!$C$2:$C$10000,引用修正!$G$2:$G$10000,$A8,引用修正!$F$2:$F$10000,K$1,引用修正!$H$2:$H$10000,"0",引用修正!$I$2:$I$10000,"0")</f>
        <v>0</v>
      </c>
      <c r="L8" s="53">
        <f>SUMIFS(引用修正!$C$2:$C$10000,引用修正!$G$2:$G$10000,$A8,引用修正!$F$2:$F$10000,L$1,引用修正!$H$2:$H$10000,"0",引用修正!$I$2:$I$10000,"0")</f>
        <v>0</v>
      </c>
      <c r="M8" s="53">
        <f>SUMIFS(引用修正!$C$2:$C$10000,引用修正!$G$2:$G$10000,$A8,引用修正!$F$2:$F$10000,M$1,引用修正!$H$2:$H$10000,"0",引用修正!$I$2:$I$10000,"0")</f>
        <v>0</v>
      </c>
    </row>
    <row r="9" s="53" customFormat="1" spans="1:13">
      <c r="A9" s="56" t="s">
        <v>4772</v>
      </c>
      <c r="B9" s="53">
        <f>SUMIFS(引用修正!$C$2:$C$10000,引用修正!$G$2:$G$10000,$A9,引用修正!$F$2:$F$10000,B$1,引用修正!$H$2:$H$10000,"0",引用修正!$I$2:$I$10000,"0")</f>
        <v>0</v>
      </c>
      <c r="C9" s="53">
        <f>SUMIFS(引用修正!$C$2:$C$10000,引用修正!$G$2:$G$10000,$A9,引用修正!$F$2:$F$10000,C$1,引用修正!$H$2:$H$10000,"0",引用修正!$I$2:$I$10000,"0")</f>
        <v>0</v>
      </c>
      <c r="D9" s="53">
        <f>SUMIFS(引用修正!$C$2:$C$10000,引用修正!$G$2:$G$10000,$A9,引用修正!$F$2:$F$10000,D$1,引用修正!$H$2:$H$10000,"0",引用修正!$I$2:$I$10000,"0")</f>
        <v>0</v>
      </c>
      <c r="E9" s="53">
        <f>SUMIFS(引用修正!$C$2:$C$10000,引用修正!$G$2:$G$10000,$A9,引用修正!$F$2:$F$10000,E$1,引用修正!$H$2:$H$10000,"0",引用修正!$I$2:$I$10000,"0")</f>
        <v>0</v>
      </c>
      <c r="F9" s="53">
        <f>SUMIFS(引用修正!$C$2:$C$10000,引用修正!$G$2:$G$10000,$A9,引用修正!$F$2:$F$10000,F$1,引用修正!$H$2:$H$10000,"0",引用修正!$I$2:$I$10000,"0")</f>
        <v>0</v>
      </c>
      <c r="G9" s="53">
        <f>SUMIFS(引用修正!$C$2:$C$10000,引用修正!$G$2:$G$10000,$A9,引用修正!$F$2:$F$10000,G$1,引用修正!$H$2:$H$10000,"0",引用修正!$I$2:$I$10000,"0")</f>
        <v>0</v>
      </c>
      <c r="H9" s="53">
        <f>SUMIFS(引用修正!$C$2:$C$10000,引用修正!$G$2:$G$10000,$A9,引用修正!$F$2:$F$10000,H$1,引用修正!$H$2:$H$10000,"0",引用修正!$I$2:$I$10000,"0")</f>
        <v>0</v>
      </c>
      <c r="I9" s="53">
        <f>SUMIFS(引用修正!$C$2:$C$10000,引用修正!$G$2:$G$10000,$A9,引用修正!$F$2:$F$10000,I$1,引用修正!$H$2:$H$10000,"0",引用修正!$I$2:$I$10000,"0")</f>
        <v>0</v>
      </c>
      <c r="J9" s="53">
        <f>SUMIFS(引用修正!$C$2:$C$10000,引用修正!$G$2:$G$10000,$A9,引用修正!$F$2:$F$10000,J$1,引用修正!$H$2:$H$10000,"0",引用修正!$I$2:$I$10000,"0")</f>
        <v>0</v>
      </c>
      <c r="K9" s="53">
        <f>SUMIFS(引用修正!$C$2:$C$10000,引用修正!$G$2:$G$10000,$A9,引用修正!$F$2:$F$10000,K$1,引用修正!$H$2:$H$10000,"0",引用修正!$I$2:$I$10000,"0")</f>
        <v>0</v>
      </c>
      <c r="L9" s="53">
        <f>SUMIFS(引用修正!$C$2:$C$10000,引用修正!$G$2:$G$10000,$A9,引用修正!$F$2:$F$10000,L$1,引用修正!$H$2:$H$10000,"0",引用修正!$I$2:$I$10000,"0")</f>
        <v>0</v>
      </c>
      <c r="M9" s="53">
        <f>SUMIFS(引用修正!$C$2:$C$10000,引用修正!$G$2:$G$10000,$A9,引用修正!$F$2:$F$10000,M$1,引用修正!$H$2:$H$10000,"0",引用修正!$I$2:$I$10000,"0")</f>
        <v>0</v>
      </c>
    </row>
    <row r="10" s="53" customFormat="1" spans="1:13">
      <c r="A10" s="57" t="s">
        <v>4773</v>
      </c>
      <c r="B10" s="53">
        <f>SUMIFS(引用修正!$C$2:$C$10000,引用修正!$G$2:$G$10000,$A10,引用修正!$F$2:$F$10000,B$1,引用修正!$H$2:$H$10000,"0",引用修正!$I$2:$I$10000,"0")</f>
        <v>0</v>
      </c>
      <c r="C10" s="53">
        <f>SUMIFS(引用修正!$C$2:$C$10000,引用修正!$G$2:$G$10000,$A10,引用修正!$F$2:$F$10000,C$1,引用修正!$H$2:$H$10000,"0",引用修正!$I$2:$I$10000,"0")</f>
        <v>0</v>
      </c>
      <c r="D10" s="53">
        <f>SUMIFS(引用修正!$C$2:$C$10000,引用修正!$G$2:$G$10000,$A10,引用修正!$F$2:$F$10000,D$1,引用修正!$H$2:$H$10000,"0",引用修正!$I$2:$I$10000,"0")</f>
        <v>0</v>
      </c>
      <c r="E10" s="53">
        <f>SUMIFS(引用修正!$C$2:$C$10000,引用修正!$G$2:$G$10000,$A10,引用修正!$F$2:$F$10000,E$1,引用修正!$H$2:$H$10000,"0",引用修正!$I$2:$I$10000,"0")</f>
        <v>0</v>
      </c>
      <c r="F10" s="53">
        <f>SUMIFS(引用修正!$C$2:$C$10000,引用修正!$G$2:$G$10000,$A10,引用修正!$F$2:$F$10000,F$1,引用修正!$H$2:$H$10000,"0",引用修正!$I$2:$I$10000,"0")</f>
        <v>0</v>
      </c>
      <c r="G10" s="53">
        <f>SUMIFS(引用修正!$C$2:$C$10000,引用修正!$G$2:$G$10000,$A10,引用修正!$F$2:$F$10000,G$1,引用修正!$H$2:$H$10000,"0",引用修正!$I$2:$I$10000,"0")</f>
        <v>0</v>
      </c>
      <c r="H10" s="53">
        <f>SUMIFS(引用修正!$C$2:$C$10000,引用修正!$G$2:$G$10000,$A10,引用修正!$F$2:$F$10000,H$1,引用修正!$H$2:$H$10000,"0",引用修正!$I$2:$I$10000,"0")</f>
        <v>0</v>
      </c>
      <c r="I10" s="53">
        <f>SUMIFS(引用修正!$C$2:$C$10000,引用修正!$G$2:$G$10000,$A10,引用修正!$F$2:$F$10000,I$1,引用修正!$H$2:$H$10000,"0",引用修正!$I$2:$I$10000,"0")</f>
        <v>0</v>
      </c>
      <c r="J10" s="53">
        <f>SUMIFS(引用修正!$C$2:$C$10000,引用修正!$G$2:$G$10000,$A10,引用修正!$F$2:$F$10000,J$1,引用修正!$H$2:$H$10000,"0",引用修正!$I$2:$I$10000,"0")</f>
        <v>0</v>
      </c>
      <c r="K10" s="53">
        <f>SUMIFS(引用修正!$C$2:$C$10000,引用修正!$G$2:$G$10000,$A10,引用修正!$F$2:$F$10000,K$1,引用修正!$H$2:$H$10000,"0",引用修正!$I$2:$I$10000,"0")</f>
        <v>0</v>
      </c>
      <c r="L10" s="53">
        <f>SUMIFS(引用修正!$C$2:$C$10000,引用修正!$G$2:$G$10000,$A10,引用修正!$F$2:$F$10000,L$1,引用修正!$H$2:$H$10000,"0",引用修正!$I$2:$I$10000,"0")</f>
        <v>0</v>
      </c>
      <c r="M10" s="53">
        <f>SUMIFS(引用修正!$C$2:$C$10000,引用修正!$G$2:$G$10000,$A10,引用修正!$F$2:$F$10000,M$1,引用修正!$H$2:$H$10000,"0",引用修正!$I$2:$I$10000,"0")</f>
        <v>0</v>
      </c>
    </row>
    <row r="11" s="53" customFormat="1" spans="1:13">
      <c r="A11" s="56" t="s">
        <v>4774</v>
      </c>
      <c r="B11" s="53">
        <f>SUMIFS(引用修正!$C$2:$C$10000,引用修正!$G$2:$G$10000,$A11,引用修正!$F$2:$F$10000,B$1,引用修正!$H$2:$H$10000,"0",引用修正!$I$2:$I$10000,"0")</f>
        <v>0</v>
      </c>
      <c r="C11" s="53">
        <f>SUMIFS(引用修正!$C$2:$C$10000,引用修正!$G$2:$G$10000,$A11,引用修正!$F$2:$F$10000,C$1,引用修正!$H$2:$H$10000,"0",引用修正!$I$2:$I$10000,"0")</f>
        <v>0</v>
      </c>
      <c r="D11" s="53">
        <f>SUMIFS(引用修正!$C$2:$C$10000,引用修正!$G$2:$G$10000,$A11,引用修正!$F$2:$F$10000,D$1,引用修正!$H$2:$H$10000,"0",引用修正!$I$2:$I$10000,"0")</f>
        <v>0</v>
      </c>
      <c r="E11" s="53">
        <f>SUMIFS(引用修正!$C$2:$C$10000,引用修正!$G$2:$G$10000,$A11,引用修正!$F$2:$F$10000,E$1,引用修正!$H$2:$H$10000,"0",引用修正!$I$2:$I$10000,"0")</f>
        <v>0</v>
      </c>
      <c r="F11" s="53">
        <f>SUMIFS(引用修正!$C$2:$C$10000,引用修正!$G$2:$G$10000,$A11,引用修正!$F$2:$F$10000,F$1,引用修正!$H$2:$H$10000,"0",引用修正!$I$2:$I$10000,"0")</f>
        <v>0</v>
      </c>
      <c r="G11" s="53">
        <f>SUMIFS(引用修正!$C$2:$C$10000,引用修正!$G$2:$G$10000,$A11,引用修正!$F$2:$F$10000,G$1,引用修正!$H$2:$H$10000,"0",引用修正!$I$2:$I$10000,"0")</f>
        <v>0</v>
      </c>
      <c r="H11" s="53">
        <f>SUMIFS(引用修正!$C$2:$C$10000,引用修正!$G$2:$G$10000,$A11,引用修正!$F$2:$F$10000,H$1,引用修正!$H$2:$H$10000,"0",引用修正!$I$2:$I$10000,"0")</f>
        <v>0</v>
      </c>
      <c r="I11" s="53">
        <f>SUMIFS(引用修正!$C$2:$C$10000,引用修正!$G$2:$G$10000,$A11,引用修正!$F$2:$F$10000,I$1,引用修正!$H$2:$H$10000,"0",引用修正!$I$2:$I$10000,"0")</f>
        <v>0</v>
      </c>
      <c r="J11" s="53">
        <f>SUMIFS(引用修正!$C$2:$C$10000,引用修正!$G$2:$G$10000,$A11,引用修正!$F$2:$F$10000,J$1,引用修正!$H$2:$H$10000,"0",引用修正!$I$2:$I$10000,"0")</f>
        <v>0</v>
      </c>
      <c r="K11" s="53">
        <f>SUMIFS(引用修正!$C$2:$C$10000,引用修正!$G$2:$G$10000,$A11,引用修正!$F$2:$F$10000,K$1,引用修正!$H$2:$H$10000,"0",引用修正!$I$2:$I$10000,"0")</f>
        <v>0</v>
      </c>
      <c r="L11" s="53">
        <f>SUMIFS(引用修正!$C$2:$C$10000,引用修正!$G$2:$G$10000,$A11,引用修正!$F$2:$F$10000,L$1,引用修正!$H$2:$H$10000,"0",引用修正!$I$2:$I$10000,"0")</f>
        <v>0</v>
      </c>
      <c r="M11" s="53">
        <f>SUMIFS(引用修正!$C$2:$C$10000,引用修正!$G$2:$G$10000,$A11,引用修正!$F$2:$F$10000,M$1,引用修正!$H$2:$H$10000,"0",引用修正!$I$2:$I$10000,"0")</f>
        <v>0</v>
      </c>
    </row>
    <row r="12" s="53" customFormat="1" spans="1:13">
      <c r="A12" s="56" t="s">
        <v>4775</v>
      </c>
      <c r="B12" s="53">
        <f>SUMIFS(引用修正!$C$2:$C$10000,引用修正!$G$2:$G$10000,$A12,引用修正!$F$2:$F$10000,B$1,引用修正!$H$2:$H$10000,"0",引用修正!$I$2:$I$10000,"0")</f>
        <v>0</v>
      </c>
      <c r="C12" s="53">
        <f>SUMIFS(引用修正!$C$2:$C$10000,引用修正!$G$2:$G$10000,$A12,引用修正!$F$2:$F$10000,C$1,引用修正!$H$2:$H$10000,"0",引用修正!$I$2:$I$10000,"0")</f>
        <v>0</v>
      </c>
      <c r="D12" s="53">
        <f>SUMIFS(引用修正!$C$2:$C$10000,引用修正!$G$2:$G$10000,$A12,引用修正!$F$2:$F$10000,D$1,引用修正!$H$2:$H$10000,"0",引用修正!$I$2:$I$10000,"0")</f>
        <v>0</v>
      </c>
      <c r="E12" s="53">
        <f>SUMIFS(引用修正!$C$2:$C$10000,引用修正!$G$2:$G$10000,$A12,引用修正!$F$2:$F$10000,E$1,引用修正!$H$2:$H$10000,"0",引用修正!$I$2:$I$10000,"0")</f>
        <v>0</v>
      </c>
      <c r="F12" s="53">
        <f>SUMIFS(引用修正!$C$2:$C$10000,引用修正!$G$2:$G$10000,$A12,引用修正!$F$2:$F$10000,F$1,引用修正!$H$2:$H$10000,"0",引用修正!$I$2:$I$10000,"0")</f>
        <v>0</v>
      </c>
      <c r="G12" s="53">
        <f>SUMIFS(引用修正!$C$2:$C$10000,引用修正!$G$2:$G$10000,$A12,引用修正!$F$2:$F$10000,G$1,引用修正!$H$2:$H$10000,"0",引用修正!$I$2:$I$10000,"0")</f>
        <v>0</v>
      </c>
      <c r="H12" s="53">
        <f>SUMIFS(引用修正!$C$2:$C$10000,引用修正!$G$2:$G$10000,$A12,引用修正!$F$2:$F$10000,H$1,引用修正!$H$2:$H$10000,"0",引用修正!$I$2:$I$10000,"0")</f>
        <v>0</v>
      </c>
      <c r="I12" s="53">
        <f>SUMIFS(引用修正!$C$2:$C$10000,引用修正!$G$2:$G$10000,$A12,引用修正!$F$2:$F$10000,I$1,引用修正!$H$2:$H$10000,"0",引用修正!$I$2:$I$10000,"0")</f>
        <v>0</v>
      </c>
      <c r="J12" s="53">
        <f>SUMIFS(引用修正!$C$2:$C$10000,引用修正!$G$2:$G$10000,$A12,引用修正!$F$2:$F$10000,J$1,引用修正!$H$2:$H$10000,"0",引用修正!$I$2:$I$10000,"0")</f>
        <v>0</v>
      </c>
      <c r="K12" s="53">
        <f>SUMIFS(引用修正!$C$2:$C$10000,引用修正!$G$2:$G$10000,$A12,引用修正!$F$2:$F$10000,K$1,引用修正!$H$2:$H$10000,"0",引用修正!$I$2:$I$10000,"0")</f>
        <v>0</v>
      </c>
      <c r="L12" s="53">
        <f>SUMIFS(引用修正!$C$2:$C$10000,引用修正!$G$2:$G$10000,$A12,引用修正!$F$2:$F$10000,L$1,引用修正!$H$2:$H$10000,"0",引用修正!$I$2:$I$10000,"0")</f>
        <v>0</v>
      </c>
      <c r="M12" s="53">
        <f>SUMIFS(引用修正!$C$2:$C$10000,引用修正!$G$2:$G$10000,$A12,引用修正!$F$2:$F$10000,M$1,引用修正!$H$2:$H$10000,"0",引用修正!$I$2:$I$10000,"0")</f>
        <v>0</v>
      </c>
    </row>
    <row r="13" s="53" customFormat="1" spans="1:13">
      <c r="A13" s="56" t="s">
        <v>4776</v>
      </c>
      <c r="B13" s="53">
        <f>SUMIFS(引用修正!$C$2:$C$10000,引用修正!$G$2:$G$10000,$A13,引用修正!$F$2:$F$10000,B$1,引用修正!$H$2:$H$10000,"0",引用修正!$I$2:$I$10000,"0")</f>
        <v>0</v>
      </c>
      <c r="C13" s="53">
        <f>SUMIFS(引用修正!$C$2:$C$10000,引用修正!$G$2:$G$10000,$A13,引用修正!$F$2:$F$10000,C$1,引用修正!$H$2:$H$10000,"0",引用修正!$I$2:$I$10000,"0")</f>
        <v>0</v>
      </c>
      <c r="D13" s="53">
        <f>SUMIFS(引用修正!$C$2:$C$10000,引用修正!$G$2:$G$10000,$A13,引用修正!$F$2:$F$10000,D$1,引用修正!$H$2:$H$10000,"0",引用修正!$I$2:$I$10000,"0")</f>
        <v>0</v>
      </c>
      <c r="E13" s="53">
        <f>SUMIFS(引用修正!$C$2:$C$10000,引用修正!$G$2:$G$10000,$A13,引用修正!$F$2:$F$10000,E$1,引用修正!$H$2:$H$10000,"0",引用修正!$I$2:$I$10000,"0")</f>
        <v>0</v>
      </c>
      <c r="F13" s="53">
        <f>SUMIFS(引用修正!$C$2:$C$10000,引用修正!$G$2:$G$10000,$A13,引用修正!$F$2:$F$10000,F$1,引用修正!$H$2:$H$10000,"0",引用修正!$I$2:$I$10000,"0")</f>
        <v>0</v>
      </c>
      <c r="G13" s="53">
        <f>SUMIFS(引用修正!$C$2:$C$10000,引用修正!$G$2:$G$10000,$A13,引用修正!$F$2:$F$10000,G$1,引用修正!$H$2:$H$10000,"0",引用修正!$I$2:$I$10000,"0")</f>
        <v>0</v>
      </c>
      <c r="H13" s="53">
        <f>SUMIFS(引用修正!$C$2:$C$10000,引用修正!$G$2:$G$10000,$A13,引用修正!$F$2:$F$10000,H$1,引用修正!$H$2:$H$10000,"0",引用修正!$I$2:$I$10000,"0")</f>
        <v>0</v>
      </c>
      <c r="I13" s="53">
        <f>SUMIFS(引用修正!$C$2:$C$10000,引用修正!$G$2:$G$10000,$A13,引用修正!$F$2:$F$10000,I$1,引用修正!$H$2:$H$10000,"0",引用修正!$I$2:$I$10000,"0")</f>
        <v>0</v>
      </c>
      <c r="J13" s="53">
        <f>SUMIFS(引用修正!$C$2:$C$10000,引用修正!$G$2:$G$10000,$A13,引用修正!$F$2:$F$10000,J$1,引用修正!$H$2:$H$10000,"0",引用修正!$I$2:$I$10000,"0")</f>
        <v>0</v>
      </c>
      <c r="K13" s="53">
        <f>SUMIFS(引用修正!$C$2:$C$10000,引用修正!$G$2:$G$10000,$A13,引用修正!$F$2:$F$10000,K$1,引用修正!$H$2:$H$10000,"0",引用修正!$I$2:$I$10000,"0")</f>
        <v>0</v>
      </c>
      <c r="L13" s="53">
        <f>SUMIFS(引用修正!$C$2:$C$10000,引用修正!$G$2:$G$10000,$A13,引用修正!$F$2:$F$10000,L$1,引用修正!$H$2:$H$10000,"0",引用修正!$I$2:$I$10000,"0")</f>
        <v>0</v>
      </c>
      <c r="M13" s="53">
        <f>SUMIFS(引用修正!$C$2:$C$10000,引用修正!$G$2:$G$10000,$A13,引用修正!$F$2:$F$10000,M$1,引用修正!$H$2:$H$10000,"0",引用修正!$I$2:$I$10000,"0")</f>
        <v>0</v>
      </c>
    </row>
    <row r="14" s="53" customFormat="1" spans="1:13">
      <c r="A14" s="56" t="s">
        <v>4777</v>
      </c>
      <c r="B14" s="53">
        <f>SUMIFS(引用修正!$C$2:$C$10000,引用修正!$G$2:$G$10000,$A14,引用修正!$F$2:$F$10000,B$1,引用修正!$H$2:$H$10000,"0",引用修正!$I$2:$I$10000,"0")</f>
        <v>0</v>
      </c>
      <c r="C14" s="53">
        <f>SUMIFS(引用修正!$C$2:$C$10000,引用修正!$G$2:$G$10000,$A14,引用修正!$F$2:$F$10000,C$1,引用修正!$H$2:$H$10000,"0",引用修正!$I$2:$I$10000,"0")</f>
        <v>0</v>
      </c>
      <c r="D14" s="53">
        <f>SUMIFS(引用修正!$C$2:$C$10000,引用修正!$G$2:$G$10000,$A14,引用修正!$F$2:$F$10000,D$1,引用修正!$H$2:$H$10000,"0",引用修正!$I$2:$I$10000,"0")</f>
        <v>0</v>
      </c>
      <c r="E14" s="53">
        <f>SUMIFS(引用修正!$C$2:$C$10000,引用修正!$G$2:$G$10000,$A14,引用修正!$F$2:$F$10000,E$1,引用修正!$H$2:$H$10000,"0",引用修正!$I$2:$I$10000,"0")</f>
        <v>0</v>
      </c>
      <c r="F14" s="53">
        <f>SUMIFS(引用修正!$C$2:$C$10000,引用修正!$G$2:$G$10000,$A14,引用修正!$F$2:$F$10000,F$1,引用修正!$H$2:$H$10000,"0",引用修正!$I$2:$I$10000,"0")</f>
        <v>0</v>
      </c>
      <c r="G14" s="53">
        <f>SUMIFS(引用修正!$C$2:$C$10000,引用修正!$G$2:$G$10000,$A14,引用修正!$F$2:$F$10000,G$1,引用修正!$H$2:$H$10000,"0",引用修正!$I$2:$I$10000,"0")</f>
        <v>0</v>
      </c>
      <c r="H14" s="53">
        <f>SUMIFS(引用修正!$C$2:$C$10000,引用修正!$G$2:$G$10000,$A14,引用修正!$F$2:$F$10000,H$1,引用修正!$H$2:$H$10000,"0",引用修正!$I$2:$I$10000,"0")</f>
        <v>0</v>
      </c>
      <c r="I14" s="53">
        <f>SUMIFS(引用修正!$C$2:$C$10000,引用修正!$G$2:$G$10000,$A14,引用修正!$F$2:$F$10000,I$1,引用修正!$H$2:$H$10000,"0",引用修正!$I$2:$I$10000,"0")</f>
        <v>0</v>
      </c>
      <c r="J14" s="53">
        <f>SUMIFS(引用修正!$C$2:$C$10000,引用修正!$G$2:$G$10000,$A14,引用修正!$F$2:$F$10000,J$1,引用修正!$H$2:$H$10000,"0",引用修正!$I$2:$I$10000,"0")</f>
        <v>0</v>
      </c>
      <c r="K14" s="53">
        <f>SUMIFS(引用修正!$C$2:$C$10000,引用修正!$G$2:$G$10000,$A14,引用修正!$F$2:$F$10000,K$1,引用修正!$H$2:$H$10000,"0",引用修正!$I$2:$I$10000,"0")</f>
        <v>0</v>
      </c>
      <c r="L14" s="53">
        <f>SUMIFS(引用修正!$C$2:$C$10000,引用修正!$G$2:$G$10000,$A14,引用修正!$F$2:$F$10000,L$1,引用修正!$H$2:$H$10000,"0",引用修正!$I$2:$I$10000,"0")</f>
        <v>0</v>
      </c>
      <c r="M14" s="53">
        <f>SUMIFS(引用修正!$C$2:$C$10000,引用修正!$G$2:$G$10000,$A14,引用修正!$F$2:$F$10000,M$1,引用修正!$H$2:$H$10000,"0",引用修正!$I$2:$I$10000,"0")</f>
        <v>0</v>
      </c>
    </row>
    <row r="15" s="53" customFormat="1" spans="1:13">
      <c r="A15" s="56" t="s">
        <v>4778</v>
      </c>
      <c r="B15" s="53">
        <f>SUMIFS(引用修正!$C$2:$C$10000,引用修正!$G$2:$G$10000,$A15,引用修正!$F$2:$F$10000,B$1,引用修正!$H$2:$H$10000,"0",引用修正!$I$2:$I$10000,"0")</f>
        <v>0</v>
      </c>
      <c r="C15" s="53">
        <f>SUMIFS(引用修正!$C$2:$C$10000,引用修正!$G$2:$G$10000,$A15,引用修正!$F$2:$F$10000,C$1,引用修正!$H$2:$H$10000,"0",引用修正!$I$2:$I$10000,"0")</f>
        <v>0</v>
      </c>
      <c r="D15" s="53">
        <f>SUMIFS(引用修正!$C$2:$C$10000,引用修正!$G$2:$G$10000,$A15,引用修正!$F$2:$F$10000,D$1,引用修正!$H$2:$H$10000,"0",引用修正!$I$2:$I$10000,"0")</f>
        <v>0</v>
      </c>
      <c r="E15" s="53">
        <f>SUMIFS(引用修正!$C$2:$C$10000,引用修正!$G$2:$G$10000,$A15,引用修正!$F$2:$F$10000,E$1,引用修正!$H$2:$H$10000,"0",引用修正!$I$2:$I$10000,"0")</f>
        <v>0</v>
      </c>
      <c r="F15" s="53">
        <f>SUMIFS(引用修正!$C$2:$C$10000,引用修正!$G$2:$G$10000,$A15,引用修正!$F$2:$F$10000,F$1,引用修正!$H$2:$H$10000,"0",引用修正!$I$2:$I$10000,"0")</f>
        <v>0</v>
      </c>
      <c r="G15" s="53">
        <f>SUMIFS(引用修正!$C$2:$C$10000,引用修正!$G$2:$G$10000,$A15,引用修正!$F$2:$F$10000,G$1,引用修正!$H$2:$H$10000,"0",引用修正!$I$2:$I$10000,"0")</f>
        <v>0</v>
      </c>
      <c r="H15" s="53">
        <f>SUMIFS(引用修正!$C$2:$C$10000,引用修正!$G$2:$G$10000,$A15,引用修正!$F$2:$F$10000,H$1,引用修正!$H$2:$H$10000,"0",引用修正!$I$2:$I$10000,"0")</f>
        <v>0</v>
      </c>
      <c r="I15" s="53">
        <f>SUMIFS(引用修正!$C$2:$C$10000,引用修正!$G$2:$G$10000,$A15,引用修正!$F$2:$F$10000,I$1,引用修正!$H$2:$H$10000,"0",引用修正!$I$2:$I$10000,"0")</f>
        <v>0</v>
      </c>
      <c r="J15" s="53">
        <f>SUMIFS(引用修正!$C$2:$C$10000,引用修正!$G$2:$G$10000,$A15,引用修正!$F$2:$F$10000,J$1,引用修正!$H$2:$H$10000,"0",引用修正!$I$2:$I$10000,"0")</f>
        <v>0</v>
      </c>
      <c r="K15" s="53">
        <f>SUMIFS(引用修正!$C$2:$C$10000,引用修正!$G$2:$G$10000,$A15,引用修正!$F$2:$F$10000,K$1,引用修正!$H$2:$H$10000,"0",引用修正!$I$2:$I$10000,"0")</f>
        <v>0</v>
      </c>
      <c r="L15" s="53">
        <f>SUMIFS(引用修正!$C$2:$C$10000,引用修正!$G$2:$G$10000,$A15,引用修正!$F$2:$F$10000,L$1,引用修正!$H$2:$H$10000,"0",引用修正!$I$2:$I$10000,"0")</f>
        <v>0</v>
      </c>
      <c r="M15" s="53">
        <f>SUMIFS(引用修正!$C$2:$C$10000,引用修正!$G$2:$G$10000,$A15,引用修正!$F$2:$F$10000,M$1,引用修正!$H$2:$H$10000,"0",引用修正!$I$2:$I$10000,"0")</f>
        <v>0</v>
      </c>
    </row>
    <row r="16" s="53" customFormat="1" spans="1:13">
      <c r="A16" s="56" t="s">
        <v>4646</v>
      </c>
      <c r="B16" s="53">
        <f>SUMIFS(引用修正!$C$2:$C$10000,引用修正!$G$2:$G$10000,$A16,引用修正!$F$2:$F$10000,B$1,引用修正!$H$2:$H$10000,"0",引用修正!$I$2:$I$10000,"0")</f>
        <v>0</v>
      </c>
      <c r="C16" s="53">
        <f>SUMIFS(引用修正!$C$2:$C$10000,引用修正!$G$2:$G$10000,$A16,引用修正!$F$2:$F$10000,C$1,引用修正!$H$2:$H$10000,"0",引用修正!$I$2:$I$10000,"0")</f>
        <v>0</v>
      </c>
      <c r="D16" s="53">
        <f>SUMIFS(引用修正!$C$2:$C$10000,引用修正!$G$2:$G$10000,$A16,引用修正!$F$2:$F$10000,D$1,引用修正!$H$2:$H$10000,"0",引用修正!$I$2:$I$10000,"0")</f>
        <v>0</v>
      </c>
      <c r="E16" s="53">
        <f>SUMIFS(引用修正!$C$2:$C$10000,引用修正!$G$2:$G$10000,$A16,引用修正!$F$2:$F$10000,E$1,引用修正!$H$2:$H$10000,"0",引用修正!$I$2:$I$10000,"0")</f>
        <v>0</v>
      </c>
      <c r="F16" s="53">
        <f>SUMIFS(引用修正!$C$2:$C$10000,引用修正!$G$2:$G$10000,$A16,引用修正!$F$2:$F$10000,F$1,引用修正!$H$2:$H$10000,"0",引用修正!$I$2:$I$10000,"0")</f>
        <v>0</v>
      </c>
      <c r="G16" s="53">
        <f>SUMIFS(引用修正!$C$2:$C$10000,引用修正!$G$2:$G$10000,$A16,引用修正!$F$2:$F$10000,G$1,引用修正!$H$2:$H$10000,"0",引用修正!$I$2:$I$10000,"0")</f>
        <v>0</v>
      </c>
      <c r="H16" s="53">
        <f>SUMIFS(引用修正!$C$2:$C$10000,引用修正!$G$2:$G$10000,$A16,引用修正!$F$2:$F$10000,H$1,引用修正!$H$2:$H$10000,"0",引用修正!$I$2:$I$10000,"0")</f>
        <v>0</v>
      </c>
      <c r="I16" s="53">
        <f>SUMIFS(引用修正!$C$2:$C$10000,引用修正!$G$2:$G$10000,$A16,引用修正!$F$2:$F$10000,I$1,引用修正!$H$2:$H$10000,"0",引用修正!$I$2:$I$10000,"0")</f>
        <v>0</v>
      </c>
      <c r="J16" s="53">
        <f>SUMIFS(引用修正!$C$2:$C$10000,引用修正!$G$2:$G$10000,$A16,引用修正!$F$2:$F$10000,J$1,引用修正!$H$2:$H$10000,"0",引用修正!$I$2:$I$10000,"0")</f>
        <v>0</v>
      </c>
      <c r="K16" s="53">
        <f>SUMIFS(引用修正!$C$2:$C$10000,引用修正!$G$2:$G$10000,$A16,引用修正!$F$2:$F$10000,K$1,引用修正!$H$2:$H$10000,"0",引用修正!$I$2:$I$10000,"0")</f>
        <v>0</v>
      </c>
      <c r="L16" s="53">
        <f>SUMIFS(引用修正!$C$2:$C$10000,引用修正!$G$2:$G$10000,$A16,引用修正!$F$2:$F$10000,L$1,引用修正!$H$2:$H$10000,"0",引用修正!$I$2:$I$10000,"0")</f>
        <v>0</v>
      </c>
      <c r="M16" s="53">
        <f>SUMIFS(引用修正!$C$2:$C$10000,引用修正!$G$2:$G$10000,$A16,引用修正!$F$2:$F$10000,M$1,引用修正!$H$2:$H$10000,"0",引用修正!$I$2:$I$10000,"0")</f>
        <v>0</v>
      </c>
    </row>
    <row r="17" s="53" customFormat="1" spans="1:13">
      <c r="A17" s="56" t="s">
        <v>4779</v>
      </c>
      <c r="B17" s="53">
        <f>SUMIFS(引用修正!$C$2:$C$10000,引用修正!$G$2:$G$10000,$A17,引用修正!$F$2:$F$10000,B$1,引用修正!$H$2:$H$10000,"0",引用修正!$I$2:$I$10000,"0")</f>
        <v>0</v>
      </c>
      <c r="C17" s="53">
        <f>SUMIFS(引用修正!$C$2:$C$10000,引用修正!$G$2:$G$10000,$A17,引用修正!$F$2:$F$10000,C$1,引用修正!$H$2:$H$10000,"0",引用修正!$I$2:$I$10000,"0")</f>
        <v>0</v>
      </c>
      <c r="D17" s="53">
        <f>SUMIFS(引用修正!$C$2:$C$10000,引用修正!$G$2:$G$10000,$A17,引用修正!$F$2:$F$10000,D$1,引用修正!$H$2:$H$10000,"0",引用修正!$I$2:$I$10000,"0")</f>
        <v>0</v>
      </c>
      <c r="E17" s="53">
        <f>SUMIFS(引用修正!$C$2:$C$10000,引用修正!$G$2:$G$10000,$A17,引用修正!$F$2:$F$10000,E$1,引用修正!$H$2:$H$10000,"0",引用修正!$I$2:$I$10000,"0")</f>
        <v>0</v>
      </c>
      <c r="F17" s="53">
        <f>SUMIFS(引用修正!$C$2:$C$10000,引用修正!$G$2:$G$10000,$A17,引用修正!$F$2:$F$10000,F$1,引用修正!$H$2:$H$10000,"0",引用修正!$I$2:$I$10000,"0")</f>
        <v>0</v>
      </c>
      <c r="G17" s="53">
        <f>SUMIFS(引用修正!$C$2:$C$10000,引用修正!$G$2:$G$10000,$A17,引用修正!$F$2:$F$10000,G$1,引用修正!$H$2:$H$10000,"0",引用修正!$I$2:$I$10000,"0")</f>
        <v>0</v>
      </c>
      <c r="H17" s="53">
        <f>SUMIFS(引用修正!$C$2:$C$10000,引用修正!$G$2:$G$10000,$A17,引用修正!$F$2:$F$10000,H$1,引用修正!$H$2:$H$10000,"0",引用修正!$I$2:$I$10000,"0")</f>
        <v>0</v>
      </c>
      <c r="I17" s="53">
        <f>SUMIFS(引用修正!$C$2:$C$10000,引用修正!$G$2:$G$10000,$A17,引用修正!$F$2:$F$10000,I$1,引用修正!$H$2:$H$10000,"0",引用修正!$I$2:$I$10000,"0")</f>
        <v>0</v>
      </c>
      <c r="J17" s="53">
        <f>SUMIFS(引用修正!$C$2:$C$10000,引用修正!$G$2:$G$10000,$A17,引用修正!$F$2:$F$10000,J$1,引用修正!$H$2:$H$10000,"0",引用修正!$I$2:$I$10000,"0")</f>
        <v>0</v>
      </c>
      <c r="K17" s="53">
        <f>SUMIFS(引用修正!$C$2:$C$10000,引用修正!$G$2:$G$10000,$A17,引用修正!$F$2:$F$10000,K$1,引用修正!$H$2:$H$10000,"0",引用修正!$I$2:$I$10000,"0")</f>
        <v>0</v>
      </c>
      <c r="L17" s="53">
        <f>SUMIFS(引用修正!$C$2:$C$10000,引用修正!$G$2:$G$10000,$A17,引用修正!$F$2:$F$10000,L$1,引用修正!$H$2:$H$10000,"0",引用修正!$I$2:$I$10000,"0")</f>
        <v>0</v>
      </c>
      <c r="M17" s="53">
        <f>SUMIFS(引用修正!$C$2:$C$10000,引用修正!$G$2:$G$10000,$A17,引用修正!$F$2:$F$10000,M$1,引用修正!$H$2:$H$10000,"0",引用修正!$I$2:$I$10000,"0")</f>
        <v>0</v>
      </c>
    </row>
    <row r="18" s="54" customFormat="1" spans="1:13">
      <c r="A18" s="58" t="s">
        <v>4780</v>
      </c>
      <c r="B18" s="54">
        <f>SUMIFS(引用修正!$C$2:$C$10000,引用修正!$G$2:$G$10000,$A18,引用修正!$F$2:$F$10000,B$1,引用修正!$H$2:$H$10000,"0",引用修正!$I$2:$I$10000,"0")</f>
        <v>0</v>
      </c>
      <c r="C18" s="54">
        <f>SUMIFS(引用修正!$C$2:$C$10000,引用修正!$G$2:$G$10000,$A18,引用修正!$F$2:$F$10000,C$1,引用修正!$H$2:$H$10000,"0",引用修正!$I$2:$I$10000,"0")</f>
        <v>0</v>
      </c>
      <c r="D18" s="54">
        <f>SUMIFS(引用修正!$C$2:$C$10000,引用修正!$G$2:$G$10000,$A18,引用修正!$F$2:$F$10000,D$1,引用修正!$H$2:$H$10000,"0",引用修正!$I$2:$I$10000,"0")</f>
        <v>0</v>
      </c>
      <c r="E18" s="54">
        <f>SUMIFS(引用修正!$C$2:$C$10000,引用修正!$G$2:$G$10000,$A18,引用修正!$F$2:$F$10000,E$1,引用修正!$H$2:$H$10000,"0",引用修正!$I$2:$I$10000,"0")</f>
        <v>0</v>
      </c>
      <c r="F18" s="54">
        <f>SUMIFS(引用修正!$C$2:$C$10000,引用修正!$G$2:$G$10000,$A18,引用修正!$F$2:$F$10000,F$1,引用修正!$H$2:$H$10000,"0",引用修正!$I$2:$I$10000,"0")</f>
        <v>0</v>
      </c>
      <c r="G18" s="54">
        <f>SUMIFS(引用修正!$C$2:$C$10000,引用修正!$G$2:$G$10000,$A18,引用修正!$F$2:$F$10000,G$1,引用修正!$H$2:$H$10000,"0",引用修正!$I$2:$I$10000,"0")</f>
        <v>0</v>
      </c>
      <c r="H18" s="54">
        <f>SUMIFS(引用修正!$C$2:$C$10000,引用修正!$G$2:$G$10000,$A18,引用修正!$F$2:$F$10000,H$1,引用修正!$H$2:$H$10000,"0",引用修正!$I$2:$I$10000,"0")</f>
        <v>0</v>
      </c>
      <c r="I18" s="54">
        <f>SUMIFS(引用修正!$C$2:$C$10000,引用修正!$G$2:$G$10000,$A18,引用修正!$F$2:$F$10000,I$1,引用修正!$H$2:$H$10000,"0",引用修正!$I$2:$I$10000,"0")</f>
        <v>0</v>
      </c>
      <c r="J18" s="54">
        <f>SUMIFS(引用修正!$C$2:$C$10000,引用修正!$G$2:$G$10000,$A18,引用修正!$F$2:$F$10000,J$1,引用修正!$H$2:$H$10000,"0",引用修正!$I$2:$I$10000,"0")</f>
        <v>0</v>
      </c>
      <c r="K18" s="54">
        <f>SUMIFS(引用修正!$C$2:$C$10000,引用修正!$G$2:$G$10000,$A18,引用修正!$F$2:$F$10000,K$1,引用修正!$H$2:$H$10000,"0",引用修正!$I$2:$I$10000,"0")</f>
        <v>0</v>
      </c>
      <c r="L18" s="54">
        <f>SUMIFS(引用修正!$C$2:$C$10000,引用修正!$G$2:$G$10000,$A18,引用修正!$F$2:$F$10000,L$1,引用修正!$H$2:$H$10000,"0",引用修正!$I$2:$I$10000,"0")</f>
        <v>0</v>
      </c>
      <c r="M18" s="54">
        <f>SUMIFS(引用修正!$C$2:$C$10000,引用修正!$G$2:$G$10000,$A18,引用修正!$F$2:$F$10000,M$1,引用修正!$H$2:$H$10000,"0",引用修正!$I$2:$I$10000,"0")</f>
        <v>0</v>
      </c>
    </row>
    <row r="19" s="53" customFormat="1" spans="1:13">
      <c r="A19" s="56" t="s">
        <v>4781</v>
      </c>
      <c r="B19" s="53">
        <f>SUMIFS(引用修正!$C$2:$C$10000,引用修正!$G$2:$G$10000,$A19,引用修正!$F$2:$F$10000,B$1,引用修正!$H$2:$H$10000,"0",引用修正!$I$2:$I$10000,"0")</f>
        <v>0</v>
      </c>
      <c r="C19" s="53">
        <f>SUMIFS(引用修正!$C$2:$C$10000,引用修正!$G$2:$G$10000,$A19,引用修正!$F$2:$F$10000,C$1,引用修正!$H$2:$H$10000,"0",引用修正!$I$2:$I$10000,"0")</f>
        <v>0</v>
      </c>
      <c r="D19" s="53">
        <f>SUMIFS(引用修正!$C$2:$C$10000,引用修正!$G$2:$G$10000,$A19,引用修正!$F$2:$F$10000,D$1,引用修正!$H$2:$H$10000,"0",引用修正!$I$2:$I$10000,"0")</f>
        <v>0</v>
      </c>
      <c r="E19" s="53">
        <f>SUMIFS(引用修正!$C$2:$C$10000,引用修正!$G$2:$G$10000,$A19,引用修正!$F$2:$F$10000,E$1,引用修正!$H$2:$H$10000,"0",引用修正!$I$2:$I$10000,"0")</f>
        <v>0</v>
      </c>
      <c r="F19" s="53">
        <f>SUMIFS(引用修正!$C$2:$C$10000,引用修正!$G$2:$G$10000,$A19,引用修正!$F$2:$F$10000,F$1,引用修正!$H$2:$H$10000,"0",引用修正!$I$2:$I$10000,"0")</f>
        <v>0</v>
      </c>
      <c r="G19" s="53">
        <f>SUMIFS(引用修正!$C$2:$C$10000,引用修正!$G$2:$G$10000,$A19,引用修正!$F$2:$F$10000,G$1,引用修正!$H$2:$H$10000,"0",引用修正!$I$2:$I$10000,"0")</f>
        <v>0</v>
      </c>
      <c r="H19" s="53">
        <f>SUMIFS(引用修正!$C$2:$C$10000,引用修正!$G$2:$G$10000,$A19,引用修正!$F$2:$F$10000,H$1,引用修正!$H$2:$H$10000,"0",引用修正!$I$2:$I$10000,"0")</f>
        <v>0</v>
      </c>
      <c r="I19" s="53">
        <f>SUMIFS(引用修正!$C$2:$C$10000,引用修正!$G$2:$G$10000,$A19,引用修正!$F$2:$F$10000,I$1,引用修正!$H$2:$H$10000,"0",引用修正!$I$2:$I$10000,"0")</f>
        <v>0</v>
      </c>
      <c r="J19" s="53">
        <f>SUMIFS(引用修正!$C$2:$C$10000,引用修正!$G$2:$G$10000,$A19,引用修正!$F$2:$F$10000,J$1,引用修正!$H$2:$H$10000,"0",引用修正!$I$2:$I$10000,"0")</f>
        <v>0</v>
      </c>
      <c r="K19" s="53">
        <f>SUMIFS(引用修正!$C$2:$C$10000,引用修正!$G$2:$G$10000,$A19,引用修正!$F$2:$F$10000,K$1,引用修正!$H$2:$H$10000,"0",引用修正!$I$2:$I$10000,"0")</f>
        <v>0</v>
      </c>
      <c r="L19" s="53">
        <f>SUMIFS(引用修正!$C$2:$C$10000,引用修正!$G$2:$G$10000,$A19,引用修正!$F$2:$F$10000,L$1,引用修正!$H$2:$H$10000,"0",引用修正!$I$2:$I$10000,"0")</f>
        <v>0</v>
      </c>
      <c r="M19" s="53">
        <f>SUMIFS(引用修正!$C$2:$C$10000,引用修正!$G$2:$G$10000,$A19,引用修正!$F$2:$F$10000,M$1,引用修正!$H$2:$H$10000,"0",引用修正!$I$2:$I$10000,"0")</f>
        <v>0</v>
      </c>
    </row>
    <row r="20" s="53" customFormat="1" spans="1:13">
      <c r="A20" s="56" t="s">
        <v>4782</v>
      </c>
      <c r="B20" s="53">
        <f>SUMIFS(引用修正!$C$2:$C$10000,引用修正!$G$2:$G$10000,$A20,引用修正!$F$2:$F$10000,B$1,引用修正!$H$2:$H$10000,"0",引用修正!$I$2:$I$10000,"0")</f>
        <v>0</v>
      </c>
      <c r="C20" s="53">
        <f>SUMIFS(引用修正!$C$2:$C$10000,引用修正!$G$2:$G$10000,$A20,引用修正!$F$2:$F$10000,C$1,引用修正!$H$2:$H$10000,"0",引用修正!$I$2:$I$10000,"0")</f>
        <v>0</v>
      </c>
      <c r="D20" s="53">
        <f>SUMIFS(引用修正!$C$2:$C$10000,引用修正!$G$2:$G$10000,$A20,引用修正!$F$2:$F$10000,D$1,引用修正!$H$2:$H$10000,"0",引用修正!$I$2:$I$10000,"0")</f>
        <v>0</v>
      </c>
      <c r="E20" s="53">
        <f>SUMIFS(引用修正!$C$2:$C$10000,引用修正!$G$2:$G$10000,$A20,引用修正!$F$2:$F$10000,E$1,引用修正!$H$2:$H$10000,"0",引用修正!$I$2:$I$10000,"0")</f>
        <v>0</v>
      </c>
      <c r="F20" s="53">
        <f>SUMIFS(引用修正!$C$2:$C$10000,引用修正!$G$2:$G$10000,$A20,引用修正!$F$2:$F$10000,F$1,引用修正!$H$2:$H$10000,"0",引用修正!$I$2:$I$10000,"0")</f>
        <v>0</v>
      </c>
      <c r="G20" s="53">
        <f>SUMIFS(引用修正!$C$2:$C$10000,引用修正!$G$2:$G$10000,$A20,引用修正!$F$2:$F$10000,G$1,引用修正!$H$2:$H$10000,"0",引用修正!$I$2:$I$10000,"0")</f>
        <v>0</v>
      </c>
      <c r="H20" s="53">
        <f>SUMIFS(引用修正!$C$2:$C$10000,引用修正!$G$2:$G$10000,$A20,引用修正!$F$2:$F$10000,H$1,引用修正!$H$2:$H$10000,"0",引用修正!$I$2:$I$10000,"0")</f>
        <v>0</v>
      </c>
      <c r="I20" s="53">
        <f>SUMIFS(引用修正!$C$2:$C$10000,引用修正!$G$2:$G$10000,$A20,引用修正!$F$2:$F$10000,I$1,引用修正!$H$2:$H$10000,"0",引用修正!$I$2:$I$10000,"0")</f>
        <v>0</v>
      </c>
      <c r="J20" s="53">
        <f>SUMIFS(引用修正!$C$2:$C$10000,引用修正!$G$2:$G$10000,$A20,引用修正!$F$2:$F$10000,J$1,引用修正!$H$2:$H$10000,"0",引用修正!$I$2:$I$10000,"0")</f>
        <v>0</v>
      </c>
      <c r="K20" s="53">
        <f>SUMIFS(引用修正!$C$2:$C$10000,引用修正!$G$2:$G$10000,$A20,引用修正!$F$2:$F$10000,K$1,引用修正!$H$2:$H$10000,"0",引用修正!$I$2:$I$10000,"0")</f>
        <v>0</v>
      </c>
      <c r="L20" s="53">
        <f>SUMIFS(引用修正!$C$2:$C$10000,引用修正!$G$2:$G$10000,$A20,引用修正!$F$2:$F$10000,L$1,引用修正!$H$2:$H$10000,"0",引用修正!$I$2:$I$10000,"0")</f>
        <v>0</v>
      </c>
      <c r="M20" s="53">
        <f>SUMIFS(引用修正!$C$2:$C$10000,引用修正!$G$2:$G$10000,$A20,引用修正!$F$2:$F$10000,M$1,引用修正!$H$2:$H$10000,"0",引用修正!$I$2:$I$10000,"0")</f>
        <v>0</v>
      </c>
    </row>
    <row r="21" s="53" customFormat="1" spans="1:13">
      <c r="A21" s="56" t="s">
        <v>4783</v>
      </c>
      <c r="B21" s="53">
        <f>SUMIFS(引用修正!$C$2:$C$10000,引用修正!$G$2:$G$10000,$A21,引用修正!$F$2:$F$10000,B$1,引用修正!$H$2:$H$10000,"0",引用修正!$I$2:$I$10000,"0")</f>
        <v>0</v>
      </c>
      <c r="C21" s="53">
        <f>SUMIFS(引用修正!$C$2:$C$10000,引用修正!$G$2:$G$10000,$A21,引用修正!$F$2:$F$10000,C$1,引用修正!$H$2:$H$10000,"0",引用修正!$I$2:$I$10000,"0")</f>
        <v>0</v>
      </c>
      <c r="D21" s="53">
        <f>SUMIFS(引用修正!$C$2:$C$10000,引用修正!$G$2:$G$10000,$A21,引用修正!$F$2:$F$10000,D$1,引用修正!$H$2:$H$10000,"0",引用修正!$I$2:$I$10000,"0")</f>
        <v>0</v>
      </c>
      <c r="E21" s="53">
        <f>SUMIFS(引用修正!$C$2:$C$10000,引用修正!$G$2:$G$10000,$A21,引用修正!$F$2:$F$10000,E$1,引用修正!$H$2:$H$10000,"0",引用修正!$I$2:$I$10000,"0")</f>
        <v>0</v>
      </c>
      <c r="F21" s="53">
        <f>SUMIFS(引用修正!$C$2:$C$10000,引用修正!$G$2:$G$10000,$A21,引用修正!$F$2:$F$10000,F$1,引用修正!$H$2:$H$10000,"0",引用修正!$I$2:$I$10000,"0")</f>
        <v>0</v>
      </c>
      <c r="G21" s="53">
        <f>SUMIFS(引用修正!$C$2:$C$10000,引用修正!$G$2:$G$10000,$A21,引用修正!$F$2:$F$10000,G$1,引用修正!$H$2:$H$10000,"0",引用修正!$I$2:$I$10000,"0")</f>
        <v>0</v>
      </c>
      <c r="H21" s="53">
        <f>SUMIFS(引用修正!$C$2:$C$10000,引用修正!$G$2:$G$10000,$A21,引用修正!$F$2:$F$10000,H$1,引用修正!$H$2:$H$10000,"0",引用修正!$I$2:$I$10000,"0")</f>
        <v>0</v>
      </c>
      <c r="I21" s="53">
        <f>SUMIFS(引用修正!$C$2:$C$10000,引用修正!$G$2:$G$10000,$A21,引用修正!$F$2:$F$10000,I$1,引用修正!$H$2:$H$10000,"0",引用修正!$I$2:$I$10000,"0")</f>
        <v>0</v>
      </c>
      <c r="J21" s="53">
        <f>SUMIFS(引用修正!$C$2:$C$10000,引用修正!$G$2:$G$10000,$A21,引用修正!$F$2:$F$10000,J$1,引用修正!$H$2:$H$10000,"0",引用修正!$I$2:$I$10000,"0")</f>
        <v>0</v>
      </c>
      <c r="K21" s="53">
        <f>SUMIFS(引用修正!$C$2:$C$10000,引用修正!$G$2:$G$10000,$A21,引用修正!$F$2:$F$10000,K$1,引用修正!$H$2:$H$10000,"0",引用修正!$I$2:$I$10000,"0")</f>
        <v>0</v>
      </c>
      <c r="L21" s="53">
        <f>SUMIFS(引用修正!$C$2:$C$10000,引用修正!$G$2:$G$10000,$A21,引用修正!$F$2:$F$10000,L$1,引用修正!$H$2:$H$10000,"0",引用修正!$I$2:$I$10000,"0")</f>
        <v>0</v>
      </c>
      <c r="M21" s="53">
        <f>SUMIFS(引用修正!$C$2:$C$10000,引用修正!$G$2:$G$10000,$A21,引用修正!$F$2:$F$10000,M$1,引用修正!$H$2:$H$10000,"0",引用修正!$I$2:$I$10000,"0")</f>
        <v>0</v>
      </c>
    </row>
    <row r="22" s="53" customFormat="1" spans="1:13">
      <c r="A22" s="56" t="s">
        <v>4784</v>
      </c>
      <c r="B22" s="53">
        <f>SUMIFS(引用修正!$C$2:$C$10000,引用修正!$G$2:$G$10000,$A22,引用修正!$F$2:$F$10000,B$1,引用修正!$H$2:$H$10000,"0",引用修正!$I$2:$I$10000,"0")</f>
        <v>0</v>
      </c>
      <c r="C22" s="53">
        <f>SUMIFS(引用修正!$C$2:$C$10000,引用修正!$G$2:$G$10000,$A22,引用修正!$F$2:$F$10000,C$1,引用修正!$H$2:$H$10000,"0",引用修正!$I$2:$I$10000,"0")</f>
        <v>0</v>
      </c>
      <c r="D22" s="53">
        <f>SUMIFS(引用修正!$C$2:$C$10000,引用修正!$G$2:$G$10000,$A22,引用修正!$F$2:$F$10000,D$1,引用修正!$H$2:$H$10000,"0",引用修正!$I$2:$I$10000,"0")</f>
        <v>0</v>
      </c>
      <c r="E22" s="53">
        <f>SUMIFS(引用修正!$C$2:$C$10000,引用修正!$G$2:$G$10000,$A22,引用修正!$F$2:$F$10000,E$1,引用修正!$H$2:$H$10000,"0",引用修正!$I$2:$I$10000,"0")</f>
        <v>0</v>
      </c>
      <c r="F22" s="53">
        <f>SUMIFS(引用修正!$C$2:$C$10000,引用修正!$G$2:$G$10000,$A22,引用修正!$F$2:$F$10000,F$1,引用修正!$H$2:$H$10000,"0",引用修正!$I$2:$I$10000,"0")</f>
        <v>0</v>
      </c>
      <c r="G22" s="53">
        <f>SUMIFS(引用修正!$C$2:$C$10000,引用修正!$G$2:$G$10000,$A22,引用修正!$F$2:$F$10000,G$1,引用修正!$H$2:$H$10000,"0",引用修正!$I$2:$I$10000,"0")</f>
        <v>0</v>
      </c>
      <c r="H22" s="53">
        <f>SUMIFS(引用修正!$C$2:$C$10000,引用修正!$G$2:$G$10000,$A22,引用修正!$F$2:$F$10000,H$1,引用修正!$H$2:$H$10000,"0",引用修正!$I$2:$I$10000,"0")</f>
        <v>0</v>
      </c>
      <c r="I22" s="53">
        <f>SUMIFS(引用修正!$C$2:$C$10000,引用修正!$G$2:$G$10000,$A22,引用修正!$F$2:$F$10000,I$1,引用修正!$H$2:$H$10000,"0",引用修正!$I$2:$I$10000,"0")</f>
        <v>0</v>
      </c>
      <c r="J22" s="53">
        <f>SUMIFS(引用修正!$C$2:$C$10000,引用修正!$G$2:$G$10000,$A22,引用修正!$F$2:$F$10000,J$1,引用修正!$H$2:$H$10000,"0",引用修正!$I$2:$I$10000,"0")</f>
        <v>0</v>
      </c>
      <c r="K22" s="53">
        <f>SUMIFS(引用修正!$C$2:$C$10000,引用修正!$G$2:$G$10000,$A22,引用修正!$F$2:$F$10000,K$1,引用修正!$H$2:$H$10000,"0",引用修正!$I$2:$I$10000,"0")</f>
        <v>0</v>
      </c>
      <c r="L22" s="53">
        <f>SUMIFS(引用修正!$C$2:$C$10000,引用修正!$G$2:$G$10000,$A22,引用修正!$F$2:$F$10000,L$1,引用修正!$H$2:$H$10000,"0",引用修正!$I$2:$I$10000,"0")</f>
        <v>0</v>
      </c>
      <c r="M22" s="53">
        <f>SUMIFS(引用修正!$C$2:$C$10000,引用修正!$G$2:$G$10000,$A22,引用修正!$F$2:$F$10000,M$1,引用修正!$H$2:$H$10000,"0",引用修正!$I$2:$I$10000,"0")</f>
        <v>0</v>
      </c>
    </row>
    <row r="23" s="53" customFormat="1" spans="1:13">
      <c r="A23" s="56" t="s">
        <v>4785</v>
      </c>
      <c r="B23" s="53">
        <f>SUMIFS(引用修正!$C$2:$C$10000,引用修正!$G$2:$G$10000,$A23,引用修正!$F$2:$F$10000,B$1,引用修正!$H$2:$H$10000,"0",引用修正!$I$2:$I$10000,"0")</f>
        <v>0</v>
      </c>
      <c r="C23" s="53">
        <f>SUMIFS(引用修正!$C$2:$C$10000,引用修正!$G$2:$G$10000,$A23,引用修正!$F$2:$F$10000,C$1,引用修正!$H$2:$H$10000,"0",引用修正!$I$2:$I$10000,"0")</f>
        <v>0</v>
      </c>
      <c r="D23" s="53">
        <f>SUMIFS(引用修正!$C$2:$C$10000,引用修正!$G$2:$G$10000,$A23,引用修正!$F$2:$F$10000,D$1,引用修正!$H$2:$H$10000,"0",引用修正!$I$2:$I$10000,"0")</f>
        <v>0</v>
      </c>
      <c r="E23" s="53">
        <f>SUMIFS(引用修正!$C$2:$C$10000,引用修正!$G$2:$G$10000,$A23,引用修正!$F$2:$F$10000,E$1,引用修正!$H$2:$H$10000,"0",引用修正!$I$2:$I$10000,"0")</f>
        <v>0</v>
      </c>
      <c r="F23" s="53">
        <f>SUMIFS(引用修正!$C$2:$C$10000,引用修正!$G$2:$G$10000,$A23,引用修正!$F$2:$F$10000,F$1,引用修正!$H$2:$H$10000,"0",引用修正!$I$2:$I$10000,"0")</f>
        <v>0</v>
      </c>
      <c r="G23" s="53">
        <f>SUMIFS(引用修正!$C$2:$C$10000,引用修正!$G$2:$G$10000,$A23,引用修正!$F$2:$F$10000,G$1,引用修正!$H$2:$H$10000,"0",引用修正!$I$2:$I$10000,"0")</f>
        <v>0</v>
      </c>
      <c r="H23" s="53">
        <f>SUMIFS(引用修正!$C$2:$C$10000,引用修正!$G$2:$G$10000,$A23,引用修正!$F$2:$F$10000,H$1,引用修正!$H$2:$H$10000,"0",引用修正!$I$2:$I$10000,"0")</f>
        <v>0</v>
      </c>
      <c r="I23" s="53">
        <f>SUMIFS(引用修正!$C$2:$C$10000,引用修正!$G$2:$G$10000,$A23,引用修正!$F$2:$F$10000,I$1,引用修正!$H$2:$H$10000,"0",引用修正!$I$2:$I$10000,"0")</f>
        <v>0</v>
      </c>
      <c r="J23" s="53">
        <f>SUMIFS(引用修正!$C$2:$C$10000,引用修正!$G$2:$G$10000,$A23,引用修正!$F$2:$F$10000,J$1,引用修正!$H$2:$H$10000,"0",引用修正!$I$2:$I$10000,"0")</f>
        <v>0</v>
      </c>
      <c r="K23" s="53">
        <f>SUMIFS(引用修正!$C$2:$C$10000,引用修正!$G$2:$G$10000,$A23,引用修正!$F$2:$F$10000,K$1,引用修正!$H$2:$H$10000,"0",引用修正!$I$2:$I$10000,"0")</f>
        <v>0</v>
      </c>
      <c r="L23" s="53">
        <f>SUMIFS(引用修正!$C$2:$C$10000,引用修正!$G$2:$G$10000,$A23,引用修正!$F$2:$F$10000,L$1,引用修正!$H$2:$H$10000,"0",引用修正!$I$2:$I$10000,"0")</f>
        <v>0</v>
      </c>
      <c r="M23" s="53">
        <f>SUMIFS(引用修正!$C$2:$C$10000,引用修正!$G$2:$G$10000,$A23,引用修正!$F$2:$F$10000,M$1,引用修正!$H$2:$H$10000,"0",引用修正!$I$2:$I$10000,"0")</f>
        <v>0</v>
      </c>
    </row>
    <row r="24" s="53" customFormat="1" spans="1:13">
      <c r="A24" s="56" t="s">
        <v>4786</v>
      </c>
      <c r="B24" s="53">
        <f>SUMIFS(引用修正!$C$2:$C$10000,引用修正!$G$2:$G$10000,$A24,引用修正!$F$2:$F$10000,B$1,引用修正!$H$2:$H$10000,"0",引用修正!$I$2:$I$10000,"0")</f>
        <v>0</v>
      </c>
      <c r="C24" s="53">
        <f>SUMIFS(引用修正!$C$2:$C$10000,引用修正!$G$2:$G$10000,$A24,引用修正!$F$2:$F$10000,C$1,引用修正!$H$2:$H$10000,"0",引用修正!$I$2:$I$10000,"0")</f>
        <v>0</v>
      </c>
      <c r="D24" s="53">
        <f>SUMIFS(引用修正!$C$2:$C$10000,引用修正!$G$2:$G$10000,$A24,引用修正!$F$2:$F$10000,D$1,引用修正!$H$2:$H$10000,"0",引用修正!$I$2:$I$10000,"0")</f>
        <v>0</v>
      </c>
      <c r="E24" s="53">
        <f>SUMIFS(引用修正!$C$2:$C$10000,引用修正!$G$2:$G$10000,$A24,引用修正!$F$2:$F$10000,E$1,引用修正!$H$2:$H$10000,"0",引用修正!$I$2:$I$10000,"0")</f>
        <v>0</v>
      </c>
      <c r="F24" s="53">
        <f>SUMIFS(引用修正!$C$2:$C$10000,引用修正!$G$2:$G$10000,$A24,引用修正!$F$2:$F$10000,F$1,引用修正!$H$2:$H$10000,"0",引用修正!$I$2:$I$10000,"0")</f>
        <v>0</v>
      </c>
      <c r="G24" s="53">
        <f>SUMIFS(引用修正!$C$2:$C$10000,引用修正!$G$2:$G$10000,$A24,引用修正!$F$2:$F$10000,G$1,引用修正!$H$2:$H$10000,"0",引用修正!$I$2:$I$10000,"0")</f>
        <v>0</v>
      </c>
      <c r="H24" s="53">
        <f>SUMIFS(引用修正!$C$2:$C$10000,引用修正!$G$2:$G$10000,$A24,引用修正!$F$2:$F$10000,H$1,引用修正!$H$2:$H$10000,"0",引用修正!$I$2:$I$10000,"0")</f>
        <v>0</v>
      </c>
      <c r="I24" s="53">
        <f>SUMIFS(引用修正!$C$2:$C$10000,引用修正!$G$2:$G$10000,$A24,引用修正!$F$2:$F$10000,I$1,引用修正!$H$2:$H$10000,"0",引用修正!$I$2:$I$10000,"0")</f>
        <v>0</v>
      </c>
      <c r="J24" s="53">
        <f>SUMIFS(引用修正!$C$2:$C$10000,引用修正!$G$2:$G$10000,$A24,引用修正!$F$2:$F$10000,J$1,引用修正!$H$2:$H$10000,"0",引用修正!$I$2:$I$10000,"0")</f>
        <v>0</v>
      </c>
      <c r="K24" s="53">
        <f>SUMIFS(引用修正!$C$2:$C$10000,引用修正!$G$2:$G$10000,$A24,引用修正!$F$2:$F$10000,K$1,引用修正!$H$2:$H$10000,"0",引用修正!$I$2:$I$10000,"0")</f>
        <v>0</v>
      </c>
      <c r="L24" s="53">
        <f>SUMIFS(引用修正!$C$2:$C$10000,引用修正!$G$2:$G$10000,$A24,引用修正!$F$2:$F$10000,L$1,引用修正!$H$2:$H$10000,"0",引用修正!$I$2:$I$10000,"0")</f>
        <v>0</v>
      </c>
      <c r="M24" s="53">
        <f>SUMIFS(引用修正!$C$2:$C$10000,引用修正!$G$2:$G$10000,$A24,引用修正!$F$2:$F$10000,M$1,引用修正!$H$2:$H$10000,"0",引用修正!$I$2:$I$10000,"0")</f>
        <v>0</v>
      </c>
    </row>
    <row r="25" s="53" customFormat="1" spans="1:13">
      <c r="A25" s="56" t="s">
        <v>4787</v>
      </c>
      <c r="B25" s="53">
        <f>SUMIFS(引用修正!$C$2:$C$10000,引用修正!$G$2:$G$10000,$A25,引用修正!$F$2:$F$10000,B$1,引用修正!$H$2:$H$10000,"0",引用修正!$I$2:$I$10000,"0")</f>
        <v>0</v>
      </c>
      <c r="C25" s="53">
        <f>SUMIFS(引用修正!$C$2:$C$10000,引用修正!$G$2:$G$10000,$A25,引用修正!$F$2:$F$10000,C$1,引用修正!$H$2:$H$10000,"0",引用修正!$I$2:$I$10000,"0")</f>
        <v>0</v>
      </c>
      <c r="D25" s="53">
        <f>SUMIFS(引用修正!$C$2:$C$10000,引用修正!$G$2:$G$10000,$A25,引用修正!$F$2:$F$10000,D$1,引用修正!$H$2:$H$10000,"0",引用修正!$I$2:$I$10000,"0")</f>
        <v>0</v>
      </c>
      <c r="E25" s="53">
        <f>SUMIFS(引用修正!$C$2:$C$10000,引用修正!$G$2:$G$10000,$A25,引用修正!$F$2:$F$10000,E$1,引用修正!$H$2:$H$10000,"0",引用修正!$I$2:$I$10000,"0")</f>
        <v>0</v>
      </c>
      <c r="F25" s="53">
        <f>SUMIFS(引用修正!$C$2:$C$10000,引用修正!$G$2:$G$10000,$A25,引用修正!$F$2:$F$10000,F$1,引用修正!$H$2:$H$10000,"0",引用修正!$I$2:$I$10000,"0")</f>
        <v>0</v>
      </c>
      <c r="G25" s="53">
        <f>SUMIFS(引用修正!$C$2:$C$10000,引用修正!$G$2:$G$10000,$A25,引用修正!$F$2:$F$10000,G$1,引用修正!$H$2:$H$10000,"0",引用修正!$I$2:$I$10000,"0")</f>
        <v>0</v>
      </c>
      <c r="H25" s="53">
        <f>SUMIFS(引用修正!$C$2:$C$10000,引用修正!$G$2:$G$10000,$A25,引用修正!$F$2:$F$10000,H$1,引用修正!$H$2:$H$10000,"0",引用修正!$I$2:$I$10000,"0")</f>
        <v>0</v>
      </c>
      <c r="I25" s="53">
        <f>SUMIFS(引用修正!$C$2:$C$10000,引用修正!$G$2:$G$10000,$A25,引用修正!$F$2:$F$10000,I$1,引用修正!$H$2:$H$10000,"0",引用修正!$I$2:$I$10000,"0")</f>
        <v>0</v>
      </c>
      <c r="J25" s="53">
        <f>SUMIFS(引用修正!$C$2:$C$10000,引用修正!$G$2:$G$10000,$A25,引用修正!$F$2:$F$10000,J$1,引用修正!$H$2:$H$10000,"0",引用修正!$I$2:$I$10000,"0")</f>
        <v>0</v>
      </c>
      <c r="K25" s="53">
        <f>SUMIFS(引用修正!$C$2:$C$10000,引用修正!$G$2:$G$10000,$A25,引用修正!$F$2:$F$10000,K$1,引用修正!$H$2:$H$10000,"0",引用修正!$I$2:$I$10000,"0")</f>
        <v>0</v>
      </c>
      <c r="L25" s="53">
        <f>SUMIFS(引用修正!$C$2:$C$10000,引用修正!$G$2:$G$10000,$A25,引用修正!$F$2:$F$10000,L$1,引用修正!$H$2:$H$10000,"0",引用修正!$I$2:$I$10000,"0")</f>
        <v>0</v>
      </c>
      <c r="M25" s="53">
        <f>SUMIFS(引用修正!$C$2:$C$10000,引用修正!$G$2:$G$10000,$A25,引用修正!$F$2:$F$10000,M$1,引用修正!$H$2:$H$10000,"0",引用修正!$I$2:$I$10000,"0")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20" customWidth="1"/>
    <col min="2" max="2" width="14.5" style="18" customWidth="1"/>
    <col min="3" max="3" width="32.1272727272727" style="18" customWidth="1"/>
    <col min="4" max="5" width="9.25454545454545" customWidth="1"/>
    <col min="6" max="6" width="13.5" customWidth="1"/>
    <col min="7" max="7" width="9.25454545454545" customWidth="1"/>
    <col min="8" max="15" width="8.87272727272727" customWidth="1"/>
  </cols>
  <sheetData>
    <row r="1" spans="1:15">
      <c r="A1" s="17" t="s">
        <v>4788</v>
      </c>
      <c r="C1" s="18" t="s">
        <v>4789</v>
      </c>
      <c r="D1" s="19" t="s">
        <v>4753</v>
      </c>
      <c r="E1" s="19" t="s">
        <v>4754</v>
      </c>
      <c r="F1" s="19" t="s">
        <v>4755</v>
      </c>
      <c r="G1" s="19" t="s">
        <v>4756</v>
      </c>
      <c r="H1" s="19" t="s">
        <v>4757</v>
      </c>
      <c r="I1" s="19" t="s">
        <v>4758</v>
      </c>
      <c r="J1" s="19" t="s">
        <v>4759</v>
      </c>
      <c r="K1" s="19" t="s">
        <v>4760</v>
      </c>
      <c r="L1" s="19" t="s">
        <v>4761</v>
      </c>
      <c r="M1" s="19" t="s">
        <v>4762</v>
      </c>
      <c r="N1" s="19" t="s">
        <v>4763</v>
      </c>
      <c r="O1" s="19" t="s">
        <v>4764</v>
      </c>
    </row>
    <row r="2" ht="14.5" spans="1:15">
      <c r="A2" s="20" t="s">
        <v>2840</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4.5" spans="1:15">
      <c r="A3" s="20" t="s">
        <v>4790</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4.5" spans="1:15">
      <c r="A4" s="20" t="s">
        <v>4791</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4.5" spans="1:15">
      <c r="A5" s="20" t="s">
        <v>4792</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4.5" spans="1:15">
      <c r="A6" s="20" t="s">
        <v>4793</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4.5" spans="1:15">
      <c r="A7" s="20" t="s">
        <v>4794</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4.5" spans="1:15">
      <c r="A8" s="20" t="s">
        <v>4795</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4.5" spans="1:15">
      <c r="A9" s="20" t="s">
        <v>4796</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4.5" spans="1:15">
      <c r="A10" s="20" t="s">
        <v>4049</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4.5" spans="1:15">
      <c r="A11" s="20" t="s">
        <v>4797</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4.5" spans="1:15">
      <c r="A12" s="20" t="s">
        <v>4798</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4.5" spans="1:15">
      <c r="A13" s="20" t="s">
        <v>4799</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4.5" spans="1:15">
      <c r="A14" s="20" t="s">
        <v>4800</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4.5" spans="1:15">
      <c r="A15" s="20" t="s">
        <v>4801</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4.5" spans="1:15">
      <c r="A16" s="20" t="s">
        <v>4802</v>
      </c>
      <c r="B16" s="21" t="s">
        <v>2273</v>
      </c>
      <c r="C16" s="22" t="s">
        <v>2274</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4.5" spans="1:15">
      <c r="A17" s="20" t="s">
        <v>4803</v>
      </c>
      <c r="B17" s="21" t="s">
        <v>2273</v>
      </c>
      <c r="C17" s="22" t="s">
        <v>2274</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4.5" spans="1:15">
      <c r="A18" s="20" t="s">
        <v>3902</v>
      </c>
      <c r="B18" s="21" t="s">
        <v>2273</v>
      </c>
      <c r="C18" s="22" t="s">
        <v>2274</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4.5" spans="1:15">
      <c r="A19" s="20" t="s">
        <v>4804</v>
      </c>
      <c r="B19" s="21" t="s">
        <v>2273</v>
      </c>
      <c r="C19" s="22" t="s">
        <v>2274</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4.5" spans="1:15">
      <c r="A20" s="20" t="s">
        <v>3585</v>
      </c>
      <c r="B20" s="21" t="s">
        <v>2273</v>
      </c>
      <c r="C20" s="22" t="s">
        <v>2274</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4.5" spans="1:15">
      <c r="A21" s="20" t="s">
        <v>4805</v>
      </c>
      <c r="B21" s="21" t="s">
        <v>2273</v>
      </c>
      <c r="C21" s="22" t="s">
        <v>2274</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4.5" spans="1:15">
      <c r="A22" s="20" t="s">
        <v>4806</v>
      </c>
      <c r="B22" s="21" t="s">
        <v>2273</v>
      </c>
      <c r="C22" s="22" t="s">
        <v>2274</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4.5" spans="1:15">
      <c r="A23" s="20" t="s">
        <v>4807</v>
      </c>
      <c r="B23" s="21" t="s">
        <v>2273</v>
      </c>
      <c r="C23" s="22" t="s">
        <v>2274</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4.5" spans="1:15">
      <c r="A24" s="20" t="s">
        <v>4808</v>
      </c>
      <c r="B24" s="21" t="s">
        <v>2273</v>
      </c>
      <c r="C24" s="22" t="s">
        <v>2274</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4.5" spans="1:15">
      <c r="A25" s="20" t="s">
        <v>3173</v>
      </c>
      <c r="B25" s="21" t="s">
        <v>2273</v>
      </c>
      <c r="C25" s="22" t="s">
        <v>2274</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4.5" spans="1:15">
      <c r="A26" s="20" t="s">
        <v>4809</v>
      </c>
      <c r="B26" s="21" t="s">
        <v>2273</v>
      </c>
      <c r="C26" s="22" t="s">
        <v>2274</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4.5" spans="1:15">
      <c r="A27" s="20" t="s">
        <v>4810</v>
      </c>
      <c r="B27" s="21" t="s">
        <v>2273</v>
      </c>
      <c r="C27" s="22" t="s">
        <v>2274</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4.5" spans="1:15">
      <c r="A28" s="20" t="s">
        <v>4811</v>
      </c>
      <c r="B28" s="21" t="s">
        <v>2273</v>
      </c>
      <c r="C28" s="22" t="s">
        <v>2274</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4812</v>
      </c>
      <c r="B29" s="24"/>
      <c r="C29" s="24" t="s">
        <v>4813</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4814</v>
      </c>
      <c r="B30" s="24"/>
      <c r="C30" s="24" t="s">
        <v>4813</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4815</v>
      </c>
      <c r="B31" s="24"/>
      <c r="C31" s="24" t="s">
        <v>4813</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4816</v>
      </c>
      <c r="B32" s="24"/>
      <c r="C32" s="24" t="s">
        <v>4813</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4817</v>
      </c>
      <c r="B33" s="24"/>
      <c r="C33" s="24" t="s">
        <v>4813</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4818</v>
      </c>
      <c r="B34" s="24"/>
      <c r="C34" s="24" t="s">
        <v>4813</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5" spans="1:15">
      <c r="A35" s="25" t="s">
        <v>4819</v>
      </c>
      <c r="B35" s="24"/>
      <c r="C35" s="24" t="s">
        <v>4813</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5" spans="1:15">
      <c r="A36" s="25" t="s">
        <v>4820</v>
      </c>
      <c r="B36" s="24"/>
      <c r="C36" s="24" t="s">
        <v>4813</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4821</v>
      </c>
      <c r="B37" s="24"/>
      <c r="C37" s="24" t="s">
        <v>4813</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4822</v>
      </c>
      <c r="B38" s="24"/>
      <c r="C38" s="24" t="s">
        <v>4813</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4823</v>
      </c>
      <c r="B39" s="24"/>
      <c r="C39" s="24" t="s">
        <v>4813</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4824</v>
      </c>
      <c r="B40" s="24"/>
      <c r="C40" s="24" t="s">
        <v>4813</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4825</v>
      </c>
      <c r="B41" s="24"/>
      <c r="C41" s="24" t="s">
        <v>4813</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4826</v>
      </c>
      <c r="B42" s="24"/>
      <c r="C42" s="24" t="s">
        <v>4813</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4827</v>
      </c>
      <c r="B43" s="24"/>
      <c r="C43" s="24" t="s">
        <v>4813</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4828</v>
      </c>
      <c r="B44" s="24"/>
      <c r="C44" s="24" t="s">
        <v>4813</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4829</v>
      </c>
      <c r="B45" s="24"/>
      <c r="C45" s="24" t="s">
        <v>4813</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2963</v>
      </c>
      <c r="B46" s="24"/>
      <c r="C46" s="24" t="s">
        <v>4813</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3026</v>
      </c>
      <c r="B47" s="24"/>
      <c r="C47" s="24" t="s">
        <v>4813</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4055</v>
      </c>
      <c r="B48" s="24"/>
      <c r="C48" s="24" t="s">
        <v>4813</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4830</v>
      </c>
      <c r="B49" s="24"/>
      <c r="C49" s="24" t="s">
        <v>4813</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4831</v>
      </c>
      <c r="B50" s="24"/>
      <c r="C50" s="24" t="s">
        <v>4813</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4832</v>
      </c>
      <c r="B51" s="24"/>
      <c r="C51" s="24" t="s">
        <v>4813</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4026</v>
      </c>
      <c r="B52" s="24"/>
      <c r="C52" s="24" t="s">
        <v>4813</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4833</v>
      </c>
      <c r="B53" s="24"/>
      <c r="C53" s="24" t="s">
        <v>4813</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4834</v>
      </c>
      <c r="B54" s="24"/>
      <c r="C54" s="24" t="s">
        <v>4813</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4835</v>
      </c>
      <c r="B55" s="24"/>
      <c r="C55" s="24" t="s">
        <v>4813</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4836</v>
      </c>
      <c r="B56" s="24"/>
      <c r="C56" s="24" t="s">
        <v>4813</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4837</v>
      </c>
      <c r="B57" s="24"/>
      <c r="C57" s="24" t="s">
        <v>4813</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4838</v>
      </c>
      <c r="B58" s="24"/>
      <c r="C58" s="24" t="s">
        <v>4813</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4839</v>
      </c>
      <c r="B59" s="24"/>
      <c r="C59" s="24" t="s">
        <v>4813</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4840</v>
      </c>
      <c r="B60" s="24"/>
      <c r="C60" s="24" t="s">
        <v>4813</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2860</v>
      </c>
      <c r="B61" s="24"/>
      <c r="C61" s="24" t="s">
        <v>4813</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3736</v>
      </c>
      <c r="B62" s="24"/>
      <c r="C62" s="24" t="s">
        <v>4813</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4841</v>
      </c>
      <c r="B63" s="24"/>
      <c r="C63" s="24" t="s">
        <v>4813</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4842</v>
      </c>
      <c r="B64" s="24"/>
      <c r="C64" s="24" t="s">
        <v>4813</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4843</v>
      </c>
      <c r="B65" s="24"/>
      <c r="C65" s="24" t="s">
        <v>4813</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4844</v>
      </c>
      <c r="B66" s="24"/>
      <c r="C66" s="24" t="s">
        <v>4813</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4845</v>
      </c>
      <c r="B67" s="24"/>
      <c r="C67" s="24" t="s">
        <v>4813</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4846</v>
      </c>
      <c r="B68" s="24"/>
      <c r="C68" s="24" t="s">
        <v>4813</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4847</v>
      </c>
      <c r="B69" s="24"/>
      <c r="C69" s="24" t="s">
        <v>4813</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4848</v>
      </c>
      <c r="B70" s="24"/>
      <c r="C70" s="24" t="s">
        <v>4813</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4849</v>
      </c>
      <c r="B71" s="24"/>
      <c r="C71" s="24" t="s">
        <v>4813</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4850</v>
      </c>
      <c r="B72" s="24"/>
      <c r="C72" s="24" t="s">
        <v>4813</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4851</v>
      </c>
      <c r="B73" s="24"/>
      <c r="C73" s="24" t="s">
        <v>4813</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4852</v>
      </c>
      <c r="B74" s="24"/>
      <c r="C74" s="24" t="s">
        <v>4813</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4853</v>
      </c>
      <c r="B75" s="24"/>
      <c r="C75" s="24" t="s">
        <v>4813</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4854</v>
      </c>
      <c r="B76" s="24"/>
      <c r="C76" s="24" t="s">
        <v>4813</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4855</v>
      </c>
      <c r="B77" s="24"/>
      <c r="C77" s="24" t="s">
        <v>4813</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4856</v>
      </c>
      <c r="B78" s="24"/>
      <c r="C78" s="24" t="s">
        <v>4813</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4857</v>
      </c>
      <c r="B79" s="24"/>
      <c r="C79" s="24" t="s">
        <v>4813</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4858</v>
      </c>
      <c r="B80" s="24"/>
      <c r="C80" s="24" t="s">
        <v>4813</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4859</v>
      </c>
      <c r="B81" s="24"/>
      <c r="C81" s="24" t="s">
        <v>4813</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4860</v>
      </c>
      <c r="B82" s="24"/>
      <c r="C82" s="24" t="s">
        <v>4813</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4861</v>
      </c>
      <c r="B83" s="24"/>
      <c r="C83" s="24" t="s">
        <v>4813</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4862</v>
      </c>
      <c r="B84" s="24"/>
      <c r="C84" s="24" t="s">
        <v>4813</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4863</v>
      </c>
      <c r="B85" s="24"/>
      <c r="C85" s="24" t="s">
        <v>4813</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3064</v>
      </c>
      <c r="B86" s="24"/>
      <c r="C86" s="24" t="s">
        <v>4813</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4864</v>
      </c>
      <c r="B87" s="24"/>
      <c r="C87" s="24" t="s">
        <v>4813</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4865</v>
      </c>
      <c r="B88" s="24"/>
      <c r="C88" s="24" t="s">
        <v>4813</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4866</v>
      </c>
      <c r="B89" s="24"/>
      <c r="C89" s="24" t="s">
        <v>4813</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4867</v>
      </c>
      <c r="B90" s="24"/>
      <c r="C90" s="24" t="s">
        <v>4813</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4.5" spans="1:15">
      <c r="A91" s="20" t="s">
        <v>4868</v>
      </c>
      <c r="B91" s="47" t="s">
        <v>2083</v>
      </c>
      <c r="C91" s="48" t="s">
        <v>2084</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4.5" spans="1:15">
      <c r="A92" s="20" t="s">
        <v>4869</v>
      </c>
      <c r="B92" s="47" t="s">
        <v>2083</v>
      </c>
      <c r="C92" s="48" t="s">
        <v>2084</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4.5" spans="1:15">
      <c r="A93" s="20" t="s">
        <v>4870</v>
      </c>
      <c r="B93" s="47" t="s">
        <v>2083</v>
      </c>
      <c r="C93" s="48" t="s">
        <v>2084</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4.5" spans="1:15">
      <c r="A94" s="20" t="s">
        <v>4871</v>
      </c>
      <c r="B94" s="47" t="s">
        <v>2083</v>
      </c>
      <c r="C94" s="48" t="s">
        <v>2084</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4.5" spans="1:15">
      <c r="A95" s="20" t="s">
        <v>3366</v>
      </c>
      <c r="B95" s="47" t="s">
        <v>2083</v>
      </c>
      <c r="C95" s="48" t="s">
        <v>2084</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4.5" spans="1:15">
      <c r="A96" s="20" t="s">
        <v>4872</v>
      </c>
      <c r="B96" s="47" t="s">
        <v>2083</v>
      </c>
      <c r="C96" s="48" t="s">
        <v>2084</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4.5" spans="1:15">
      <c r="A97" s="20" t="s">
        <v>4873</v>
      </c>
      <c r="B97" s="47" t="s">
        <v>2083</v>
      </c>
      <c r="C97" s="48" t="s">
        <v>2084</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4.5" spans="1:15">
      <c r="A98" s="20" t="s">
        <v>4874</v>
      </c>
      <c r="B98" s="47" t="s">
        <v>2083</v>
      </c>
      <c r="C98" s="48" t="s">
        <v>2084</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4.5" spans="1:15">
      <c r="A99" s="20" t="s">
        <v>4875</v>
      </c>
      <c r="B99" s="47" t="s">
        <v>2083</v>
      </c>
      <c r="C99" s="48" t="s">
        <v>2084</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4.5" spans="1:15">
      <c r="A100" s="20" t="s">
        <v>4876</v>
      </c>
      <c r="B100" s="47" t="s">
        <v>2083</v>
      </c>
      <c r="C100" s="48" t="s">
        <v>2084</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4.5" spans="1:15">
      <c r="A101" s="20" t="s">
        <v>4877</v>
      </c>
      <c r="B101" s="47" t="s">
        <v>2083</v>
      </c>
      <c r="C101" s="48" t="s">
        <v>2084</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4.5" spans="1:15">
      <c r="A102" s="20" t="s">
        <v>4878</v>
      </c>
      <c r="B102" s="47" t="s">
        <v>2083</v>
      </c>
      <c r="C102" s="48" t="s">
        <v>2084</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4.5" spans="1:15">
      <c r="A103" s="20" t="s">
        <v>4879</v>
      </c>
      <c r="B103" s="47" t="s">
        <v>2083</v>
      </c>
      <c r="C103" s="48" t="s">
        <v>2084</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4.5" spans="1:15">
      <c r="A104" s="20" t="s">
        <v>4880</v>
      </c>
      <c r="B104" s="47" t="s">
        <v>2020</v>
      </c>
      <c r="C104" s="48" t="s">
        <v>2021</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5" spans="1:15">
      <c r="A105" s="49" t="s">
        <v>4881</v>
      </c>
      <c r="B105" s="47" t="s">
        <v>2020</v>
      </c>
      <c r="C105" s="48" t="s">
        <v>2021</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4.5" spans="1:15">
      <c r="A106" s="20" t="s">
        <v>4882</v>
      </c>
      <c r="B106" s="47" t="s">
        <v>2020</v>
      </c>
      <c r="C106" s="48" t="s">
        <v>2021</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4.5" spans="1:15">
      <c r="A107" s="20" t="s">
        <v>4883</v>
      </c>
      <c r="B107" s="47" t="s">
        <v>2020</v>
      </c>
      <c r="C107" s="48" t="s">
        <v>2021</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5" spans="1:15">
      <c r="A108" s="49" t="s">
        <v>4884</v>
      </c>
      <c r="B108" s="47" t="s">
        <v>2020</v>
      </c>
      <c r="C108" s="48" t="s">
        <v>2021</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4.5" spans="1:15">
      <c r="A109" s="20" t="s">
        <v>4885</v>
      </c>
      <c r="B109" s="47" t="s">
        <v>2020</v>
      </c>
      <c r="C109" s="48" t="s">
        <v>2021</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4.5" spans="1:15">
      <c r="A110" s="20" t="s">
        <v>4886</v>
      </c>
      <c r="B110" s="47" t="s">
        <v>2020</v>
      </c>
      <c r="C110" s="48" t="s">
        <v>2021</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4.5" spans="1:15">
      <c r="A111" s="20" t="s">
        <v>4887</v>
      </c>
      <c r="B111" s="47" t="s">
        <v>2020</v>
      </c>
      <c r="C111" s="48" t="s">
        <v>2021</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4.5" spans="1:15">
      <c r="A112" s="20" t="s">
        <v>4888</v>
      </c>
      <c r="B112" s="47" t="s">
        <v>2043</v>
      </c>
      <c r="C112" s="48" t="s">
        <v>2044</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4.5" spans="1:15">
      <c r="A113" s="20" t="s">
        <v>3884</v>
      </c>
      <c r="B113" s="47" t="s">
        <v>2043</v>
      </c>
      <c r="C113" s="48" t="s">
        <v>2044</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4.5" spans="1:15">
      <c r="A114" s="20" t="s">
        <v>4889</v>
      </c>
      <c r="B114" s="47" t="s">
        <v>2043</v>
      </c>
      <c r="C114" s="48" t="s">
        <v>2044</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4.5" spans="1:15">
      <c r="A115" s="20" t="s">
        <v>4890</v>
      </c>
      <c r="B115" s="47" t="s">
        <v>2043</v>
      </c>
      <c r="C115" s="48" t="s">
        <v>2044</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4.5" spans="1:15">
      <c r="A116" s="20" t="s">
        <v>4891</v>
      </c>
      <c r="B116" s="47" t="s">
        <v>2043</v>
      </c>
      <c r="C116" s="48" t="s">
        <v>2044</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4.5" spans="1:15">
      <c r="A117" s="20" t="s">
        <v>4892</v>
      </c>
      <c r="B117" s="47" t="s">
        <v>2043</v>
      </c>
      <c r="C117" s="48" t="s">
        <v>2044</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4.5" spans="1:15">
      <c r="A118" s="20" t="s">
        <v>4893</v>
      </c>
      <c r="B118" s="47" t="s">
        <v>2043</v>
      </c>
      <c r="C118" s="48" t="s">
        <v>2044</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4.5" spans="1:15">
      <c r="A119" s="20" t="s">
        <v>4894</v>
      </c>
      <c r="B119" s="47" t="s">
        <v>2043</v>
      </c>
      <c r="C119" s="48" t="s">
        <v>2044</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4.5" spans="1:15">
      <c r="A120" s="20" t="s">
        <v>4895</v>
      </c>
      <c r="B120" s="47" t="s">
        <v>2043</v>
      </c>
      <c r="C120" s="48" t="s">
        <v>2044</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4.5" spans="1:15">
      <c r="A121" s="20" t="s">
        <v>4896</v>
      </c>
      <c r="B121" s="47" t="s">
        <v>2043</v>
      </c>
      <c r="C121" s="48" t="s">
        <v>2044</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4.5" spans="1:15">
      <c r="A122" s="20" t="s">
        <v>4897</v>
      </c>
      <c r="B122" s="47" t="s">
        <v>2043</v>
      </c>
      <c r="C122" s="48" t="s">
        <v>2044</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4.5" spans="1:15">
      <c r="A123" s="20" t="s">
        <v>4898</v>
      </c>
      <c r="B123" s="47" t="s">
        <v>2043</v>
      </c>
      <c r="C123" s="48" t="s">
        <v>2044</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4.5" spans="1:15">
      <c r="A124" s="20" t="s">
        <v>4899</v>
      </c>
      <c r="B124" s="47" t="s">
        <v>2043</v>
      </c>
      <c r="C124" s="48" t="s">
        <v>2044</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4.5" spans="1:15">
      <c r="A125" s="20" t="s">
        <v>4900</v>
      </c>
      <c r="B125" s="47" t="s">
        <v>2043</v>
      </c>
      <c r="C125" s="48" t="s">
        <v>2044</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4.5" spans="1:15">
      <c r="A126" s="20" t="s">
        <v>4901</v>
      </c>
      <c r="B126" s="47" t="s">
        <v>2043</v>
      </c>
      <c r="C126" s="48" t="s">
        <v>2044</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4.5" spans="1:15">
      <c r="A127" s="20" t="s">
        <v>4902</v>
      </c>
      <c r="B127" s="47" t="s">
        <v>2043</v>
      </c>
      <c r="C127" s="48" t="s">
        <v>2044</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4.5" spans="1:15">
      <c r="A128" s="20" t="s">
        <v>4903</v>
      </c>
      <c r="B128" s="47" t="s">
        <v>2043</v>
      </c>
      <c r="C128" s="48" t="s">
        <v>2044</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4.5" spans="1:15">
      <c r="A129" s="20" t="s">
        <v>4904</v>
      </c>
      <c r="B129" s="47" t="s">
        <v>2043</v>
      </c>
      <c r="C129" s="48" t="s">
        <v>2044</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4.5" spans="1:15">
      <c r="A130" s="20" t="s">
        <v>4905</v>
      </c>
      <c r="B130" s="47" t="s">
        <v>2043</v>
      </c>
      <c r="C130" s="48" t="s">
        <v>2044</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4.5" spans="1:15">
      <c r="A131" s="20" t="s">
        <v>4906</v>
      </c>
      <c r="B131" s="47" t="s">
        <v>2043</v>
      </c>
      <c r="C131" s="48" t="s">
        <v>2044</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4.5" spans="1:15">
      <c r="A132" s="20" t="s">
        <v>4907</v>
      </c>
      <c r="B132" s="47" t="s">
        <v>2043</v>
      </c>
      <c r="C132" s="48" t="s">
        <v>2044</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4.5" spans="1:15">
      <c r="A133" s="20" t="s">
        <v>4908</v>
      </c>
      <c r="B133" s="47" t="s">
        <v>2043</v>
      </c>
      <c r="C133" s="48" t="s">
        <v>2044</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4.5" spans="1:15">
      <c r="A134" s="20" t="s">
        <v>4909</v>
      </c>
      <c r="B134" s="47" t="s">
        <v>2043</v>
      </c>
      <c r="C134" s="48" t="s">
        <v>2044</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4.5" spans="1:15">
      <c r="A135" s="20" t="s">
        <v>4910</v>
      </c>
      <c r="B135" s="47" t="s">
        <v>2043</v>
      </c>
      <c r="C135" s="48" t="s">
        <v>2044</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4.5" spans="1:15">
      <c r="A136" s="20" t="s">
        <v>4911</v>
      </c>
      <c r="B136" s="47" t="s">
        <v>2043</v>
      </c>
      <c r="C136" s="48" t="s">
        <v>2044</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4.5" spans="1:15">
      <c r="A137" s="20" t="s">
        <v>4912</v>
      </c>
      <c r="B137" s="47" t="s">
        <v>2043</v>
      </c>
      <c r="C137" s="48" t="s">
        <v>2044</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4.5" spans="1:15">
      <c r="A138" s="20" t="s">
        <v>4913</v>
      </c>
      <c r="B138" s="47" t="s">
        <v>2043</v>
      </c>
      <c r="C138" s="48" t="s">
        <v>2044</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4.5" spans="1:15">
      <c r="A139" s="20" t="s">
        <v>4914</v>
      </c>
      <c r="B139" s="47" t="s">
        <v>2043</v>
      </c>
      <c r="C139" s="48" t="s">
        <v>2044</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4.5" spans="1:15">
      <c r="A140" s="20" t="s">
        <v>4915</v>
      </c>
      <c r="B140" s="47" t="s">
        <v>2043</v>
      </c>
      <c r="C140" s="48" t="s">
        <v>2044</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4.5" spans="1:15">
      <c r="A141" s="20" t="s">
        <v>4916</v>
      </c>
      <c r="B141" s="47" t="s">
        <v>2083</v>
      </c>
      <c r="C141" s="48" t="s">
        <v>2084</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4.5" spans="1:15">
      <c r="A142" s="20" t="s">
        <v>4917</v>
      </c>
      <c r="B142" s="47" t="s">
        <v>2083</v>
      </c>
      <c r="C142" s="48" t="s">
        <v>2084</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4.5" spans="1:15">
      <c r="A143" s="20" t="s">
        <v>4918</v>
      </c>
      <c r="B143" s="47" t="s">
        <v>2083</v>
      </c>
      <c r="C143" s="48" t="s">
        <v>2084</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4.5" spans="1:15">
      <c r="A144" s="20" t="s">
        <v>4919</v>
      </c>
      <c r="B144" s="47" t="s">
        <v>2083</v>
      </c>
      <c r="C144" s="48" t="s">
        <v>2084</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4.5" spans="1:15">
      <c r="A145" s="20" t="s">
        <v>4920</v>
      </c>
      <c r="B145" s="47" t="s">
        <v>2083</v>
      </c>
      <c r="C145" s="48" t="s">
        <v>2084</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4.5" spans="1:15">
      <c r="A146" s="20" t="s">
        <v>4921</v>
      </c>
      <c r="B146" s="47" t="s">
        <v>2083</v>
      </c>
      <c r="C146" s="48" t="s">
        <v>2084</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4.5" spans="1:15">
      <c r="A147" s="20" t="s">
        <v>4922</v>
      </c>
      <c r="B147" s="47" t="s">
        <v>2083</v>
      </c>
      <c r="C147" s="48" t="s">
        <v>2084</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4.5" spans="1:15">
      <c r="A148" s="20" t="s">
        <v>4923</v>
      </c>
      <c r="B148" s="47" t="s">
        <v>2083</v>
      </c>
      <c r="C148" s="48" t="s">
        <v>2084</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4.5" spans="1:15">
      <c r="A149" s="20" t="s">
        <v>4924</v>
      </c>
      <c r="B149" s="47" t="s">
        <v>2083</v>
      </c>
      <c r="C149" s="48" t="s">
        <v>2084</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4.5" spans="1:15">
      <c r="A150" s="20" t="s">
        <v>4925</v>
      </c>
      <c r="B150" s="47" t="s">
        <v>2083</v>
      </c>
      <c r="C150" s="48" t="s">
        <v>2084</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4.5" spans="1:15">
      <c r="A151" s="20" t="s">
        <v>4926</v>
      </c>
      <c r="B151" s="47" t="s">
        <v>2083</v>
      </c>
      <c r="C151" s="48" t="s">
        <v>2084</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4.5" spans="1:15">
      <c r="A152" s="20" t="s">
        <v>4927</v>
      </c>
      <c r="B152" s="47" t="s">
        <v>2083</v>
      </c>
      <c r="C152" s="48" t="s">
        <v>2084</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4.5" spans="1:15">
      <c r="A153" s="20" t="s">
        <v>3878</v>
      </c>
      <c r="B153" s="47" t="s">
        <v>2083</v>
      </c>
      <c r="C153" s="48" t="s">
        <v>2084</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4.5" spans="1:15">
      <c r="A154" s="20" t="s">
        <v>4928</v>
      </c>
      <c r="B154" s="47" t="s">
        <v>2083</v>
      </c>
      <c r="C154" s="48" t="s">
        <v>2084</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4.5" spans="1:15">
      <c r="A155" s="20" t="s">
        <v>4929</v>
      </c>
      <c r="B155" s="47" t="s">
        <v>2083</v>
      </c>
      <c r="C155" s="48" t="s">
        <v>2084</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4.5" spans="1:15">
      <c r="A156" s="20" t="s">
        <v>4930</v>
      </c>
      <c r="B156" s="47" t="s">
        <v>2083</v>
      </c>
      <c r="C156" s="48" t="s">
        <v>2084</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4.5" spans="1:15">
      <c r="A157" s="20" t="s">
        <v>4931</v>
      </c>
      <c r="B157" s="47" t="s">
        <v>2083</v>
      </c>
      <c r="C157" s="48" t="s">
        <v>2084</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4.5" spans="1:15">
      <c r="A158" s="20" t="s">
        <v>4932</v>
      </c>
      <c r="B158" s="47" t="s">
        <v>2083</v>
      </c>
      <c r="C158" s="48" t="s">
        <v>2084</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4.5" spans="1:15">
      <c r="A159" s="20" t="s">
        <v>4933</v>
      </c>
      <c r="B159" s="47" t="s">
        <v>2083</v>
      </c>
      <c r="C159" s="48" t="s">
        <v>2084</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4.5" spans="1:15">
      <c r="A160" s="20" t="s">
        <v>3600</v>
      </c>
      <c r="B160" s="47" t="s">
        <v>2083</v>
      </c>
      <c r="C160" s="48" t="s">
        <v>2084</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4.5" spans="1:15">
      <c r="A161" s="20" t="s">
        <v>4934</v>
      </c>
      <c r="B161" s="47" t="s">
        <v>2083</v>
      </c>
      <c r="C161" s="48" t="s">
        <v>2084</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4.5" spans="1:15">
      <c r="A162" s="20" t="s">
        <v>4935</v>
      </c>
      <c r="B162" s="47" t="s">
        <v>2083</v>
      </c>
      <c r="C162" s="48" t="s">
        <v>2084</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4.5" spans="1:15">
      <c r="A163" s="20" t="s">
        <v>4936</v>
      </c>
      <c r="B163" s="47" t="s">
        <v>2083</v>
      </c>
      <c r="C163" s="48" t="s">
        <v>2084</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4.5" spans="1:15">
      <c r="A164" s="20" t="s">
        <v>4937</v>
      </c>
      <c r="B164" s="47" t="s">
        <v>2083</v>
      </c>
      <c r="C164" s="48" t="s">
        <v>2084</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4.5" spans="1:15">
      <c r="A165" s="20" t="s">
        <v>4938</v>
      </c>
      <c r="B165" s="47" t="s">
        <v>2083</v>
      </c>
      <c r="C165" s="48" t="s">
        <v>2084</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4.5" spans="1:15">
      <c r="A166" s="20" t="s">
        <v>4939</v>
      </c>
      <c r="B166" s="47" t="s">
        <v>2083</v>
      </c>
      <c r="C166" s="48" t="s">
        <v>2084</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4.5" spans="1:15">
      <c r="A167" s="20" t="s">
        <v>4940</v>
      </c>
      <c r="B167" s="47" t="s">
        <v>2083</v>
      </c>
      <c r="C167" s="48" t="s">
        <v>2084</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4.5" spans="1:15">
      <c r="A168" s="20" t="s">
        <v>4941</v>
      </c>
      <c r="B168" s="47" t="s">
        <v>2083</v>
      </c>
      <c r="C168" s="48" t="s">
        <v>2084</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4.5" spans="1:15">
      <c r="A169" s="20" t="s">
        <v>3604</v>
      </c>
      <c r="B169" s="47" t="s">
        <v>2083</v>
      </c>
      <c r="C169" s="48" t="s">
        <v>2084</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4.5" spans="1:15">
      <c r="A170" s="20" t="s">
        <v>4942</v>
      </c>
      <c r="B170" s="47" t="s">
        <v>2083</v>
      </c>
      <c r="C170" s="48" t="s">
        <v>2084</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4.5" spans="1:15">
      <c r="A171" s="20" t="s">
        <v>4943</v>
      </c>
      <c r="B171" s="47" t="s">
        <v>2083</v>
      </c>
      <c r="C171" s="48" t="s">
        <v>2084</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4.5" spans="1:15">
      <c r="A172" s="20" t="s">
        <v>4944</v>
      </c>
      <c r="B172" s="47" t="s">
        <v>2083</v>
      </c>
      <c r="C172" s="48" t="s">
        <v>2084</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4.5" spans="1:15">
      <c r="A173" s="20" t="s">
        <v>3119</v>
      </c>
      <c r="B173" s="47" t="s">
        <v>2083</v>
      </c>
      <c r="C173" s="48" t="s">
        <v>2084</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4.5" spans="1:15">
      <c r="A174" s="20" t="s">
        <v>4040</v>
      </c>
      <c r="B174" s="47" t="s">
        <v>2083</v>
      </c>
      <c r="C174" s="48" t="s">
        <v>2084</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4.5" spans="1:15">
      <c r="A175" s="20" t="s">
        <v>4945</v>
      </c>
      <c r="B175" s="47" t="s">
        <v>2083</v>
      </c>
      <c r="C175" s="48" t="s">
        <v>2084</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4.5" spans="1:15">
      <c r="A176" s="20" t="s">
        <v>3892</v>
      </c>
      <c r="B176" s="47" t="s">
        <v>2083</v>
      </c>
      <c r="C176" s="48" t="s">
        <v>2084</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4.5" spans="1:15">
      <c r="A177" s="20" t="s">
        <v>4946</v>
      </c>
      <c r="B177" s="47" t="s">
        <v>2083</v>
      </c>
      <c r="C177" s="48" t="s">
        <v>2084</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4.5" spans="1:15">
      <c r="A178" s="20" t="s">
        <v>4947</v>
      </c>
      <c r="B178" s="47" t="s">
        <v>2083</v>
      </c>
      <c r="C178" s="48" t="s">
        <v>2084</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4.5" spans="1:15">
      <c r="A179" s="20" t="s">
        <v>4948</v>
      </c>
      <c r="B179" s="47" t="s">
        <v>2083</v>
      </c>
      <c r="C179" s="48" t="s">
        <v>2084</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4.5" spans="1:15">
      <c r="A180" s="20" t="s">
        <v>4067</v>
      </c>
      <c r="B180" s="47" t="s">
        <v>2083</v>
      </c>
      <c r="C180" s="48" t="s">
        <v>2084</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4.5" spans="1:15">
      <c r="A181" s="20" t="s">
        <v>4949</v>
      </c>
      <c r="B181" s="47" t="s">
        <v>2083</v>
      </c>
      <c r="C181" s="48" t="s">
        <v>2084</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4.5" spans="1:15">
      <c r="A182" s="20" t="s">
        <v>3794</v>
      </c>
      <c r="B182" s="47" t="s">
        <v>2083</v>
      </c>
      <c r="C182" s="48" t="s">
        <v>2084</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4.5" spans="1:15">
      <c r="A183" s="20" t="s">
        <v>4950</v>
      </c>
      <c r="B183" s="47" t="s">
        <v>2083</v>
      </c>
      <c r="C183" s="48" t="s">
        <v>2084</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4.5" spans="1:15">
      <c r="A184" s="20" t="s">
        <v>4951</v>
      </c>
      <c r="B184" s="47" t="s">
        <v>2083</v>
      </c>
      <c r="C184" s="48" t="s">
        <v>2084</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4.5" spans="1:15">
      <c r="A185" s="20" t="s">
        <v>4952</v>
      </c>
      <c r="B185" s="47" t="s">
        <v>2083</v>
      </c>
      <c r="C185" s="48" t="s">
        <v>2084</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4.5" spans="1:15">
      <c r="A186" s="20" t="s">
        <v>4953</v>
      </c>
      <c r="B186" s="47" t="s">
        <v>2083</v>
      </c>
      <c r="C186" s="48" t="s">
        <v>2084</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4.5" spans="1:15">
      <c r="A187" s="20" t="s">
        <v>4954</v>
      </c>
      <c r="B187" s="47" t="s">
        <v>2083</v>
      </c>
      <c r="C187" s="48" t="s">
        <v>2084</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4.5" spans="1:15">
      <c r="A188" s="20" t="s">
        <v>4955</v>
      </c>
      <c r="B188" s="47" t="s">
        <v>2083</v>
      </c>
      <c r="C188" s="48" t="s">
        <v>2084</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4.5" spans="1:15">
      <c r="A189" s="20" t="s">
        <v>4956</v>
      </c>
      <c r="B189" s="47" t="s">
        <v>2083</v>
      </c>
      <c r="C189" s="48" t="s">
        <v>2084</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4.5" spans="1:15">
      <c r="A190" s="20" t="s">
        <v>4957</v>
      </c>
      <c r="B190" s="47" t="s">
        <v>2083</v>
      </c>
      <c r="C190" s="48" t="s">
        <v>2084</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4.5" spans="1:15">
      <c r="A191" s="20" t="s">
        <v>4958</v>
      </c>
      <c r="B191" s="47" t="s">
        <v>2083</v>
      </c>
      <c r="C191" s="48" t="s">
        <v>2084</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4.5" spans="1:15">
      <c r="A192" s="20" t="s">
        <v>4959</v>
      </c>
      <c r="B192" s="47" t="s">
        <v>2083</v>
      </c>
      <c r="C192" s="48" t="s">
        <v>2084</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4.5" spans="1:15">
      <c r="A193" s="20" t="s">
        <v>4960</v>
      </c>
      <c r="B193" s="47" t="s">
        <v>2083</v>
      </c>
      <c r="C193" s="48" t="s">
        <v>2084</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4.5" spans="1:15">
      <c r="A194" s="20" t="s">
        <v>4961</v>
      </c>
      <c r="B194" s="47" t="s">
        <v>2083</v>
      </c>
      <c r="C194" s="48" t="s">
        <v>2084</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4.5" spans="1:15">
      <c r="A195" s="20" t="s">
        <v>3467</v>
      </c>
      <c r="B195" s="47" t="s">
        <v>2083</v>
      </c>
      <c r="C195" s="48" t="s">
        <v>2084</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4.5" spans="1:15">
      <c r="A196" s="20" t="s">
        <v>4962</v>
      </c>
      <c r="B196" s="47" t="s">
        <v>2083</v>
      </c>
      <c r="C196" s="48" t="s">
        <v>2084</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4.5" spans="1:15">
      <c r="A197" s="20" t="s">
        <v>4963</v>
      </c>
      <c r="B197" s="47" t="s">
        <v>2083</v>
      </c>
      <c r="C197" s="48" t="s">
        <v>2084</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4.5" spans="1:15">
      <c r="A198" s="20" t="s">
        <v>4964</v>
      </c>
      <c r="B198" s="47" t="s">
        <v>2083</v>
      </c>
      <c r="C198" s="48" t="s">
        <v>2084</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4.5" spans="1:15">
      <c r="A199" s="20" t="s">
        <v>4965</v>
      </c>
      <c r="B199" s="47" t="s">
        <v>2083</v>
      </c>
      <c r="C199" s="48" t="s">
        <v>2084</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4.5" spans="1:15">
      <c r="A200" s="20" t="s">
        <v>4966</v>
      </c>
      <c r="B200" s="47" t="s">
        <v>2083</v>
      </c>
      <c r="C200" s="48" t="s">
        <v>2084</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4.5" spans="1:15">
      <c r="A201" s="20" t="s">
        <v>4967</v>
      </c>
      <c r="B201" s="47" t="s">
        <v>2083</v>
      </c>
      <c r="C201" s="48" t="s">
        <v>2084</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4.5" spans="1:15">
      <c r="A202" s="20" t="s">
        <v>4968</v>
      </c>
      <c r="B202" s="47" t="s">
        <v>2083</v>
      </c>
      <c r="C202" s="48" t="s">
        <v>2084</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4.5" spans="1:15">
      <c r="A203" s="20" t="s">
        <v>4969</v>
      </c>
      <c r="B203" s="47" t="s">
        <v>2083</v>
      </c>
      <c r="C203" s="48" t="s">
        <v>2084</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5" spans="1:15">
      <c r="A204" s="49" t="s">
        <v>4970</v>
      </c>
      <c r="B204" s="47" t="s">
        <v>2083</v>
      </c>
      <c r="C204" s="48" t="s">
        <v>2084</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4.5" spans="1:15">
      <c r="A205" s="20" t="s">
        <v>4971</v>
      </c>
      <c r="B205" s="47" t="s">
        <v>2083</v>
      </c>
      <c r="C205" s="48" t="s">
        <v>2084</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4.5" spans="1:15">
      <c r="A206" s="20" t="s">
        <v>4972</v>
      </c>
      <c r="B206" s="47" t="s">
        <v>2083</v>
      </c>
      <c r="C206" s="48" t="s">
        <v>2084</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4.5" spans="1:15">
      <c r="A207" s="20" t="s">
        <v>4973</v>
      </c>
      <c r="B207" s="47" t="s">
        <v>2083</v>
      </c>
      <c r="C207" s="48" t="s">
        <v>2084</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4.5" spans="1:15">
      <c r="A208" s="20" t="s">
        <v>4974</v>
      </c>
      <c r="B208" s="47" t="s">
        <v>2083</v>
      </c>
      <c r="C208" s="48" t="s">
        <v>2084</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4.5" spans="1:15">
      <c r="A209" s="20" t="s">
        <v>4975</v>
      </c>
      <c r="B209" s="47" t="s">
        <v>2083</v>
      </c>
      <c r="C209" s="48" t="s">
        <v>2084</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4.5" spans="1:15">
      <c r="A210" s="20" t="s">
        <v>4976</v>
      </c>
      <c r="B210" s="47" t="s">
        <v>2083</v>
      </c>
      <c r="C210" s="48" t="s">
        <v>2084</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4.5" spans="1:15">
      <c r="A211" s="20" t="s">
        <v>4977</v>
      </c>
      <c r="B211" s="47" t="s">
        <v>2083</v>
      </c>
      <c r="C211" s="48" t="s">
        <v>2084</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4.5" spans="1:15">
      <c r="A212" s="20" t="s">
        <v>4978</v>
      </c>
      <c r="B212" s="47" t="s">
        <v>2083</v>
      </c>
      <c r="C212" s="48" t="s">
        <v>2084</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4.5" spans="1:15">
      <c r="A213" s="20" t="s">
        <v>4979</v>
      </c>
      <c r="B213" s="47" t="s">
        <v>2083</v>
      </c>
      <c r="C213" s="48" t="s">
        <v>2084</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4.5" spans="1:15">
      <c r="A214" s="20" t="s">
        <v>4980</v>
      </c>
      <c r="B214" s="47" t="s">
        <v>2083</v>
      </c>
      <c r="C214" s="48" t="s">
        <v>2084</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4.5" spans="1:15">
      <c r="A215" s="20" t="s">
        <v>4981</v>
      </c>
      <c r="B215" s="47" t="s">
        <v>2083</v>
      </c>
      <c r="C215" s="48" t="s">
        <v>2084</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4.5" spans="1:15">
      <c r="A216" s="20" t="s">
        <v>4982</v>
      </c>
      <c r="B216" s="47" t="s">
        <v>2083</v>
      </c>
      <c r="C216" s="48" t="s">
        <v>2084</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4.5" spans="1:15">
      <c r="A217" s="20" t="s">
        <v>4983</v>
      </c>
      <c r="B217" s="47" t="s">
        <v>2083</v>
      </c>
      <c r="C217" s="48" t="s">
        <v>2084</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4.5" spans="1:15">
      <c r="A218" s="20" t="s">
        <v>4984</v>
      </c>
      <c r="B218" s="47" t="s">
        <v>2083</v>
      </c>
      <c r="C218" s="48" t="s">
        <v>2084</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4.5" spans="1:15">
      <c r="A219" s="20" t="s">
        <v>4985</v>
      </c>
      <c r="B219" s="47" t="s">
        <v>2083</v>
      </c>
      <c r="C219" s="48" t="s">
        <v>2084</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4.5" spans="1:15">
      <c r="A220" s="20" t="s">
        <v>4986</v>
      </c>
      <c r="B220" s="47" t="s">
        <v>2083</v>
      </c>
      <c r="C220" s="48" t="s">
        <v>2084</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4.5" spans="1:15">
      <c r="A221" s="20" t="s">
        <v>4987</v>
      </c>
      <c r="B221" s="47" t="s">
        <v>2083</v>
      </c>
      <c r="C221" s="48" t="s">
        <v>2084</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4.5" spans="1:15">
      <c r="A222" s="20" t="s">
        <v>4988</v>
      </c>
      <c r="B222" s="47" t="s">
        <v>2083</v>
      </c>
      <c r="C222" s="48" t="s">
        <v>2084</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4.5" spans="1:15">
      <c r="A223" s="20" t="s">
        <v>4989</v>
      </c>
      <c r="B223" s="47" t="s">
        <v>2083</v>
      </c>
      <c r="C223" s="48" t="s">
        <v>2084</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4.5" spans="1:15">
      <c r="A224" s="20" t="s">
        <v>4990</v>
      </c>
      <c r="B224" s="47" t="s">
        <v>2083</v>
      </c>
      <c r="C224" s="48" t="s">
        <v>2084</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4.5" spans="1:15">
      <c r="A225" s="20" t="s">
        <v>4991</v>
      </c>
      <c r="B225" s="47" t="s">
        <v>2083</v>
      </c>
      <c r="C225" s="48" t="s">
        <v>2084</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4.5" spans="1:15">
      <c r="A226" s="20" t="s">
        <v>4992</v>
      </c>
      <c r="B226" s="47" t="s">
        <v>2083</v>
      </c>
      <c r="C226" s="48" t="s">
        <v>2084</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4.5" spans="1:15">
      <c r="A227" s="20" t="s">
        <v>4993</v>
      </c>
      <c r="B227" s="47" t="s">
        <v>2083</v>
      </c>
      <c r="C227" s="48" t="s">
        <v>2084</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4.5" spans="1:15">
      <c r="A228" s="20" t="s">
        <v>4994</v>
      </c>
      <c r="B228" s="47" t="s">
        <v>2083</v>
      </c>
      <c r="C228" s="48" t="s">
        <v>2084</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4.5" spans="1:15">
      <c r="A229" s="20" t="s">
        <v>4995</v>
      </c>
      <c r="B229" s="47" t="s">
        <v>2083</v>
      </c>
      <c r="C229" s="48" t="s">
        <v>2084</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4.5" spans="1:15">
      <c r="A230" s="20" t="s">
        <v>4996</v>
      </c>
      <c r="B230" s="47" t="s">
        <v>2083</v>
      </c>
      <c r="C230" s="48" t="s">
        <v>2084</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4.5" spans="1:15">
      <c r="A231" s="20" t="s">
        <v>4997</v>
      </c>
      <c r="B231" s="47" t="s">
        <v>2083</v>
      </c>
      <c r="C231" s="48" t="s">
        <v>2084</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4.5" spans="1:15">
      <c r="A232" s="20" t="s">
        <v>4998</v>
      </c>
      <c r="B232" s="47" t="s">
        <v>2083</v>
      </c>
      <c r="C232" s="48" t="s">
        <v>2084</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4.5" spans="1:15">
      <c r="A233" s="20" t="s">
        <v>4999</v>
      </c>
      <c r="B233" s="47" t="s">
        <v>2083</v>
      </c>
      <c r="C233" s="48" t="s">
        <v>2084</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5" spans="1:15">
      <c r="A234" s="49" t="s">
        <v>5000</v>
      </c>
      <c r="B234" s="47" t="s">
        <v>2083</v>
      </c>
      <c r="C234" s="48" t="s">
        <v>2084</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5" spans="1:15">
      <c r="A235" s="49" t="s">
        <v>5001</v>
      </c>
      <c r="B235" s="47" t="s">
        <v>2083</v>
      </c>
      <c r="C235" s="48" t="s">
        <v>2084</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5" spans="1:15">
      <c r="A236" s="49" t="s">
        <v>5002</v>
      </c>
      <c r="B236" s="47" t="s">
        <v>2083</v>
      </c>
      <c r="C236" s="48" t="s">
        <v>2084</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5" spans="1:15">
      <c r="A237" s="49" t="s">
        <v>5003</v>
      </c>
      <c r="B237" s="47" t="s">
        <v>2083</v>
      </c>
      <c r="C237" s="48" t="s">
        <v>2084</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5" spans="1:15">
      <c r="A238" s="49" t="s">
        <v>5004</v>
      </c>
      <c r="B238" s="47" t="s">
        <v>2083</v>
      </c>
      <c r="C238" s="48" t="s">
        <v>2084</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5" spans="1:15">
      <c r="A239" s="49" t="s">
        <v>5005</v>
      </c>
      <c r="B239" s="47" t="s">
        <v>2083</v>
      </c>
      <c r="C239" s="48" t="s">
        <v>2084</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5" spans="1:15">
      <c r="A240" s="49" t="s">
        <v>5006</v>
      </c>
      <c r="B240" s="47" t="s">
        <v>2083</v>
      </c>
      <c r="C240" s="48" t="s">
        <v>2084</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4.5" spans="1:15">
      <c r="A241" s="20" t="s">
        <v>5007</v>
      </c>
      <c r="B241" s="47" t="s">
        <v>2083</v>
      </c>
      <c r="C241" s="48" t="s">
        <v>2084</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4.5" spans="1:15">
      <c r="A242" s="20" t="s">
        <v>5008</v>
      </c>
      <c r="B242" s="47" t="s">
        <v>2083</v>
      </c>
      <c r="C242" s="48" t="s">
        <v>2084</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5" spans="1:15">
      <c r="A243" s="49" t="s">
        <v>5009</v>
      </c>
      <c r="B243" s="47" t="s">
        <v>2083</v>
      </c>
      <c r="C243" s="48" t="s">
        <v>2084</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30" spans="1:15">
      <c r="A244" s="49" t="s">
        <v>5010</v>
      </c>
      <c r="B244" s="47" t="s">
        <v>2083</v>
      </c>
      <c r="C244" s="48" t="s">
        <v>2084</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5" spans="1:15">
      <c r="A245" s="49" t="s">
        <v>3766</v>
      </c>
      <c r="B245" s="47" t="s">
        <v>2083</v>
      </c>
      <c r="C245" s="48" t="s">
        <v>2084</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4.5" spans="1:15">
      <c r="A246" s="20" t="s">
        <v>5011</v>
      </c>
      <c r="B246" s="47" t="s">
        <v>2083</v>
      </c>
      <c r="C246" s="48" t="s">
        <v>2084</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5" spans="1:15">
      <c r="A247" s="49" t="s">
        <v>5012</v>
      </c>
      <c r="B247" s="47" t="s">
        <v>2083</v>
      </c>
      <c r="C247" s="48" t="s">
        <v>2084</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5" spans="1:15">
      <c r="A248" s="49" t="s">
        <v>5013</v>
      </c>
      <c r="B248" s="47" t="s">
        <v>2083</v>
      </c>
      <c r="C248" s="48" t="s">
        <v>2084</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5" spans="1:15">
      <c r="A249" s="49" t="s">
        <v>5014</v>
      </c>
      <c r="B249" s="47" t="s">
        <v>2083</v>
      </c>
      <c r="C249" s="48" t="s">
        <v>2084</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5" spans="1:15">
      <c r="A250" s="49" t="s">
        <v>5015</v>
      </c>
      <c r="B250" s="47" t="s">
        <v>2083</v>
      </c>
      <c r="C250" s="48" t="s">
        <v>2084</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5" spans="1:15">
      <c r="A251" s="49" t="s">
        <v>5016</v>
      </c>
      <c r="B251" s="47" t="s">
        <v>2083</v>
      </c>
      <c r="C251" s="48" t="s">
        <v>2084</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4.5" spans="1:15">
      <c r="A252" s="20" t="s">
        <v>5017</v>
      </c>
      <c r="B252" s="47" t="s">
        <v>2083</v>
      </c>
      <c r="C252" s="48" t="s">
        <v>2084</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4.5" spans="1:15">
      <c r="A253" s="20" t="s">
        <v>5018</v>
      </c>
      <c r="B253" s="47" t="s">
        <v>2083</v>
      </c>
      <c r="C253" s="48" t="s">
        <v>2084</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4.5" spans="1:15">
      <c r="A254" s="20" t="s">
        <v>5019</v>
      </c>
      <c r="B254" s="47" t="s">
        <v>2083</v>
      </c>
      <c r="C254" s="48" t="s">
        <v>2084</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4.5" spans="1:15">
      <c r="A255" s="20" t="s">
        <v>5020</v>
      </c>
      <c r="B255" s="47" t="s">
        <v>2083</v>
      </c>
      <c r="C255" s="48" t="s">
        <v>2084</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4.5" spans="1:15">
      <c r="A256" s="20" t="s">
        <v>5021</v>
      </c>
      <c r="B256" s="47" t="s">
        <v>2083</v>
      </c>
      <c r="C256" s="48" t="s">
        <v>2084</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4.5" spans="1:15">
      <c r="A257" s="20" t="s">
        <v>5022</v>
      </c>
      <c r="B257" s="47" t="s">
        <v>2083</v>
      </c>
      <c r="C257" s="48" t="s">
        <v>2084</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4.5" spans="1:15">
      <c r="A258" s="20" t="s">
        <v>5023</v>
      </c>
      <c r="B258" s="47" t="s">
        <v>2083</v>
      </c>
      <c r="C258" s="48" t="s">
        <v>2084</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4.5" spans="1:15">
      <c r="A259" s="20" t="s">
        <v>5024</v>
      </c>
      <c r="B259" s="47" t="s">
        <v>2083</v>
      </c>
      <c r="C259" s="48" t="s">
        <v>2084</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4.5" spans="1:15">
      <c r="A260" s="20" t="s">
        <v>5025</v>
      </c>
      <c r="B260" s="47" t="s">
        <v>2083</v>
      </c>
      <c r="C260" s="48" t="s">
        <v>2084</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4.5" spans="1:15">
      <c r="A261" s="20" t="s">
        <v>5026</v>
      </c>
      <c r="B261" s="47" t="s">
        <v>2083</v>
      </c>
      <c r="C261" s="48" t="s">
        <v>2084</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4.5" spans="1:15">
      <c r="A262" s="20" t="s">
        <v>5027</v>
      </c>
      <c r="B262" s="47" t="s">
        <v>2083</v>
      </c>
      <c r="C262" s="48" t="s">
        <v>2084</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4.5" spans="1:15">
      <c r="A263" s="20" t="s">
        <v>5028</v>
      </c>
      <c r="B263" s="47" t="s">
        <v>2083</v>
      </c>
      <c r="C263" s="48" t="s">
        <v>2084</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4.5" spans="1:15">
      <c r="A264" s="20" t="s">
        <v>5029</v>
      </c>
      <c r="B264" s="47" t="s">
        <v>2083</v>
      </c>
      <c r="C264" s="48" t="s">
        <v>2084</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4.5" spans="1:15">
      <c r="A265" s="20" t="s">
        <v>5030</v>
      </c>
      <c r="B265" s="47" t="s">
        <v>2083</v>
      </c>
      <c r="C265" s="48" t="s">
        <v>2084</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4.5" spans="1:15">
      <c r="A266" s="20" t="s">
        <v>5031</v>
      </c>
      <c r="B266" s="47" t="s">
        <v>2083</v>
      </c>
      <c r="C266" s="48" t="s">
        <v>2084</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4.5" spans="1:15">
      <c r="A267" s="20" t="s">
        <v>5032</v>
      </c>
      <c r="B267" s="47" t="s">
        <v>2083</v>
      </c>
      <c r="C267" s="48" t="s">
        <v>2084</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4.5" spans="1:15">
      <c r="A268" s="20" t="s">
        <v>5033</v>
      </c>
      <c r="B268" s="47" t="s">
        <v>2083</v>
      </c>
      <c r="C268" s="48" t="s">
        <v>2084</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4.5" spans="1:15">
      <c r="A269" s="20" t="s">
        <v>5034</v>
      </c>
      <c r="B269" s="47" t="s">
        <v>2083</v>
      </c>
      <c r="C269" s="48" t="s">
        <v>2084</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4.5" spans="1:15">
      <c r="A270" s="20" t="s">
        <v>5035</v>
      </c>
      <c r="B270" s="47" t="s">
        <v>2083</v>
      </c>
      <c r="C270" s="48" t="s">
        <v>2084</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4.5" spans="1:15">
      <c r="A271" s="20" t="s">
        <v>5036</v>
      </c>
      <c r="B271" s="47" t="s">
        <v>2083</v>
      </c>
      <c r="C271" s="48" t="s">
        <v>2084</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4.5" spans="1:15">
      <c r="A272" s="20" t="s">
        <v>3692</v>
      </c>
      <c r="B272" s="47" t="s">
        <v>2083</v>
      </c>
      <c r="C272" s="48" t="s">
        <v>2084</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4.5" spans="1:15">
      <c r="A273" s="20" t="s">
        <v>5037</v>
      </c>
      <c r="B273" s="47" t="s">
        <v>2083</v>
      </c>
      <c r="C273" s="48" t="s">
        <v>2084</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4.5" spans="1:15">
      <c r="A274" s="20" t="s">
        <v>5038</v>
      </c>
      <c r="B274" s="47" t="s">
        <v>2083</v>
      </c>
      <c r="C274" s="48" t="s">
        <v>2084</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4.5" spans="1:15">
      <c r="A275" s="20" t="s">
        <v>5039</v>
      </c>
      <c r="B275" s="47" t="s">
        <v>2083</v>
      </c>
      <c r="C275" s="48" t="s">
        <v>2084</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4.5" spans="1:15">
      <c r="A276" s="20" t="s">
        <v>5040</v>
      </c>
      <c r="B276" s="47" t="s">
        <v>2083</v>
      </c>
      <c r="C276" s="48" t="s">
        <v>2084</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4.5" spans="1:15">
      <c r="A277" s="20" t="s">
        <v>5041</v>
      </c>
      <c r="B277" s="47" t="s">
        <v>2083</v>
      </c>
      <c r="C277" s="48" t="s">
        <v>2084</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4.5" spans="1:15">
      <c r="A278" s="20" t="s">
        <v>5042</v>
      </c>
      <c r="B278" s="47" t="s">
        <v>2083</v>
      </c>
      <c r="C278" s="48" t="s">
        <v>2084</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4.5" spans="1:15">
      <c r="A279" s="20" t="s">
        <v>5043</v>
      </c>
      <c r="B279" s="47" t="s">
        <v>2083</v>
      </c>
      <c r="C279" s="48" t="s">
        <v>2084</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4.5" spans="1:15">
      <c r="A280" s="20" t="s">
        <v>5044</v>
      </c>
      <c r="B280" s="47" t="s">
        <v>2083</v>
      </c>
      <c r="C280" s="48" t="s">
        <v>2084</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4.5" spans="1:15">
      <c r="A281" s="20" t="s">
        <v>5045</v>
      </c>
      <c r="B281" s="47" t="s">
        <v>2083</v>
      </c>
      <c r="C281" s="48" t="s">
        <v>2084</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4.5" spans="1:15">
      <c r="A282" s="20" t="s">
        <v>5046</v>
      </c>
      <c r="B282" s="47" t="s">
        <v>2083</v>
      </c>
      <c r="C282" s="48" t="s">
        <v>2084</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4.5" spans="1:15">
      <c r="A283" s="20" t="s">
        <v>5047</v>
      </c>
      <c r="B283" s="47" t="s">
        <v>2083</v>
      </c>
      <c r="C283" s="48" t="s">
        <v>2084</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4.5" spans="1:15">
      <c r="A284" s="20" t="s">
        <v>5048</v>
      </c>
      <c r="B284" s="47" t="s">
        <v>2083</v>
      </c>
      <c r="C284" s="48" t="s">
        <v>2084</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4.5" spans="1:15">
      <c r="A285" s="20" t="s">
        <v>5049</v>
      </c>
      <c r="B285" s="47" t="s">
        <v>2083</v>
      </c>
      <c r="C285" s="48" t="s">
        <v>2084</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4.5" spans="1:15">
      <c r="A286" s="20" t="s">
        <v>5050</v>
      </c>
      <c r="B286" s="47" t="s">
        <v>2083</v>
      </c>
      <c r="C286" s="48" t="s">
        <v>2084</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4.5" spans="1:15">
      <c r="A287" s="20" t="s">
        <v>5051</v>
      </c>
      <c r="B287" s="47" t="s">
        <v>2083</v>
      </c>
      <c r="C287" s="48" t="s">
        <v>2084</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4.5" spans="1:15">
      <c r="A288" s="20" t="s">
        <v>5052</v>
      </c>
      <c r="B288" s="47" t="s">
        <v>2083</v>
      </c>
      <c r="C288" s="48" t="s">
        <v>2084</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4.5" spans="1:15">
      <c r="A289" s="20" t="s">
        <v>5053</v>
      </c>
      <c r="B289" s="47" t="s">
        <v>2083</v>
      </c>
      <c r="C289" s="48" t="s">
        <v>2084</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5" spans="1:15">
      <c r="A290" s="49" t="s">
        <v>5054</v>
      </c>
      <c r="B290" s="47" t="s">
        <v>2083</v>
      </c>
      <c r="C290" s="48" t="s">
        <v>2084</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4.5" spans="1:15">
      <c r="A291" s="20" t="s">
        <v>3800</v>
      </c>
      <c r="B291" s="47" t="s">
        <v>2083</v>
      </c>
      <c r="C291" s="48" t="s">
        <v>2084</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4.5" spans="1:15">
      <c r="A292" s="20" t="s">
        <v>5055</v>
      </c>
      <c r="B292" s="47" t="s">
        <v>2083</v>
      </c>
      <c r="C292" s="48" t="s">
        <v>2084</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4.5" spans="1:15">
      <c r="A293" s="20" t="s">
        <v>5056</v>
      </c>
      <c r="B293" s="47" t="s">
        <v>2083</v>
      </c>
      <c r="C293" s="48" t="s">
        <v>2084</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4.5" spans="1:15">
      <c r="A294" s="20" t="s">
        <v>5057</v>
      </c>
      <c r="B294" s="47" t="s">
        <v>2083</v>
      </c>
      <c r="C294" s="48" t="s">
        <v>2084</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4.5" spans="1:15">
      <c r="A295" s="20" t="s">
        <v>5058</v>
      </c>
      <c r="B295" s="47" t="s">
        <v>2083</v>
      </c>
      <c r="C295" s="48" t="s">
        <v>2084</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4.5" spans="1:15">
      <c r="A296" s="20" t="s">
        <v>5059</v>
      </c>
      <c r="B296" s="47" t="s">
        <v>2083</v>
      </c>
      <c r="C296" s="48" t="s">
        <v>2084</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4.5" spans="1:15">
      <c r="A297" s="20" t="s">
        <v>5060</v>
      </c>
      <c r="B297" s="47" t="s">
        <v>2083</v>
      </c>
      <c r="C297" s="48" t="s">
        <v>2084</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4.5" spans="1:15">
      <c r="A298" s="20" t="s">
        <v>5061</v>
      </c>
      <c r="B298" s="47" t="s">
        <v>2083</v>
      </c>
      <c r="C298" s="48" t="s">
        <v>2084</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4.5" spans="1:15">
      <c r="A299" s="20" t="s">
        <v>5062</v>
      </c>
      <c r="B299" s="47" t="s">
        <v>2083</v>
      </c>
      <c r="C299" s="48" t="s">
        <v>2084</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4.5" spans="1:15">
      <c r="A300" s="20" t="s">
        <v>5063</v>
      </c>
      <c r="B300" s="47" t="s">
        <v>2083</v>
      </c>
      <c r="C300" s="48" t="s">
        <v>2084</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4.5" spans="1:15">
      <c r="A301" s="20" t="s">
        <v>5064</v>
      </c>
      <c r="B301" s="47" t="s">
        <v>2083</v>
      </c>
      <c r="C301" s="48" t="s">
        <v>2084</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4.5" spans="1:15">
      <c r="A302" s="20" t="s">
        <v>5065</v>
      </c>
      <c r="B302" s="47" t="s">
        <v>2083</v>
      </c>
      <c r="C302" s="48" t="s">
        <v>2084</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4.5" spans="1:15">
      <c r="A303" s="20" t="s">
        <v>5066</v>
      </c>
      <c r="B303" s="47" t="s">
        <v>2020</v>
      </c>
      <c r="C303" s="48" t="s">
        <v>2021</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4.5" spans="1:15">
      <c r="A304" s="20" t="s">
        <v>5067</v>
      </c>
      <c r="B304" s="47" t="s">
        <v>2020</v>
      </c>
      <c r="C304" s="48" t="s">
        <v>2021</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4.5" spans="1:15">
      <c r="A305" s="20" t="s">
        <v>5068</v>
      </c>
      <c r="B305" s="47" t="s">
        <v>2020</v>
      </c>
      <c r="C305" s="48" t="s">
        <v>2021</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4.5" spans="1:15">
      <c r="A306" s="20" t="s">
        <v>3177</v>
      </c>
      <c r="B306" s="47" t="s">
        <v>2020</v>
      </c>
      <c r="C306" s="48" t="s">
        <v>2021</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4.5" spans="1:15">
      <c r="A307" s="20" t="s">
        <v>5069</v>
      </c>
      <c r="B307" s="47" t="s">
        <v>2020</v>
      </c>
      <c r="C307" s="48" t="s">
        <v>2021</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4.5" spans="1:15">
      <c r="A308" s="20" t="s">
        <v>5070</v>
      </c>
      <c r="B308" s="47" t="s">
        <v>2020</v>
      </c>
      <c r="C308" s="48" t="s">
        <v>2021</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4.5" spans="1:15">
      <c r="A309" s="20" t="s">
        <v>5071</v>
      </c>
      <c r="B309" s="47" t="s">
        <v>2043</v>
      </c>
      <c r="C309" s="48" t="s">
        <v>2044</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4.5" spans="1:15">
      <c r="A310" s="20" t="s">
        <v>5072</v>
      </c>
      <c r="B310" s="47" t="s">
        <v>2043</v>
      </c>
      <c r="C310" s="48" t="s">
        <v>2044</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4.5" spans="1:15">
      <c r="A311" s="20" t="s">
        <v>5073</v>
      </c>
      <c r="B311" s="47" t="s">
        <v>2043</v>
      </c>
      <c r="C311" s="48" t="s">
        <v>2044</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4.5" spans="1:15">
      <c r="A312" s="20" t="s">
        <v>5074</v>
      </c>
      <c r="B312" s="47" t="s">
        <v>2043</v>
      </c>
      <c r="C312" s="48" t="s">
        <v>2044</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4.5" spans="1:15">
      <c r="A313" s="20" t="s">
        <v>3153</v>
      </c>
      <c r="B313" s="47" t="s">
        <v>2043</v>
      </c>
      <c r="C313" s="48" t="s">
        <v>2044</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4.5" spans="1:15">
      <c r="A314" s="20" t="s">
        <v>5075</v>
      </c>
      <c r="B314" s="47" t="s">
        <v>2043</v>
      </c>
      <c r="C314" s="48" t="s">
        <v>2044</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4.5" spans="1:15">
      <c r="A315" s="20" t="s">
        <v>5076</v>
      </c>
      <c r="B315" s="47" t="s">
        <v>2043</v>
      </c>
      <c r="C315" s="48" t="s">
        <v>2044</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4.5" spans="1:15">
      <c r="A316" s="20" t="s">
        <v>5077</v>
      </c>
      <c r="B316" s="47" t="s">
        <v>2043</v>
      </c>
      <c r="C316" s="48" t="s">
        <v>2044</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4.5" spans="1:15">
      <c r="A317" s="20" t="s">
        <v>5078</v>
      </c>
      <c r="B317" s="47" t="s">
        <v>2043</v>
      </c>
      <c r="C317" s="48" t="s">
        <v>2044</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4.5" spans="1:15">
      <c r="A318" s="20" t="s">
        <v>5079</v>
      </c>
      <c r="B318" s="47" t="s">
        <v>2043</v>
      </c>
      <c r="C318" s="48" t="s">
        <v>2044</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4.5" spans="1:15">
      <c r="A319" s="20" t="s">
        <v>5080</v>
      </c>
      <c r="B319" s="47" t="s">
        <v>2043</v>
      </c>
      <c r="C319" s="48" t="s">
        <v>2044</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4.5" spans="1:15">
      <c r="A320" s="20" t="s">
        <v>5081</v>
      </c>
      <c r="B320" s="47" t="s">
        <v>2043</v>
      </c>
      <c r="C320" s="48" t="s">
        <v>2044</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4.5" spans="1:15">
      <c r="A321" s="20" t="s">
        <v>5082</v>
      </c>
      <c r="B321" s="47" t="s">
        <v>2043</v>
      </c>
      <c r="C321" s="48" t="s">
        <v>2044</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4.5" spans="1:15">
      <c r="A322" s="20" t="s">
        <v>5083</v>
      </c>
      <c r="B322" s="47" t="s">
        <v>2043</v>
      </c>
      <c r="C322" s="48" t="s">
        <v>2044</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4.5" spans="1:15">
      <c r="A323" s="20" t="s">
        <v>5084</v>
      </c>
      <c r="B323" s="47" t="s">
        <v>2043</v>
      </c>
      <c r="C323" s="48" t="s">
        <v>2044</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4.5" spans="1:15">
      <c r="A324" s="20" t="s">
        <v>5085</v>
      </c>
      <c r="B324" s="47" t="s">
        <v>2043</v>
      </c>
      <c r="C324" s="48" t="s">
        <v>2044</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4.5" spans="1:15">
      <c r="A325" s="20" t="s">
        <v>5086</v>
      </c>
      <c r="B325" s="47" t="s">
        <v>2043</v>
      </c>
      <c r="C325" s="48" t="s">
        <v>2044</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4.5" spans="1:15">
      <c r="A326" s="20" t="s">
        <v>5087</v>
      </c>
      <c r="B326" s="47" t="s">
        <v>2043</v>
      </c>
      <c r="C326" s="48" t="s">
        <v>2044</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4.5" spans="1:15">
      <c r="A327" s="20" t="s">
        <v>5088</v>
      </c>
      <c r="B327" s="47" t="s">
        <v>2043</v>
      </c>
      <c r="C327" s="48" t="s">
        <v>2044</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4.5" spans="1:15">
      <c r="A328" s="20" t="s">
        <v>5089</v>
      </c>
      <c r="B328" s="47" t="s">
        <v>2043</v>
      </c>
      <c r="C328" s="48" t="s">
        <v>2044</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4.5" spans="1:15">
      <c r="A329" s="20" t="s">
        <v>5090</v>
      </c>
      <c r="B329" s="47" t="s">
        <v>2043</v>
      </c>
      <c r="C329" s="48" t="s">
        <v>2044</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4.5" spans="1:15">
      <c r="A330" s="20" t="s">
        <v>5091</v>
      </c>
      <c r="B330" s="47" t="s">
        <v>2043</v>
      </c>
      <c r="C330" s="48" t="s">
        <v>2044</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4.5" spans="1:15">
      <c r="A331" s="20" t="s">
        <v>5092</v>
      </c>
      <c r="B331" s="47" t="s">
        <v>2043</v>
      </c>
      <c r="C331" s="48" t="s">
        <v>2044</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4.5" spans="1:15">
      <c r="A332" s="20" t="s">
        <v>5093</v>
      </c>
      <c r="B332" s="47" t="s">
        <v>2043</v>
      </c>
      <c r="C332" s="48" t="s">
        <v>2044</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4.5" spans="1:15">
      <c r="A333" s="20" t="s">
        <v>5094</v>
      </c>
      <c r="B333" s="47" t="s">
        <v>2043</v>
      </c>
      <c r="C333" s="48" t="s">
        <v>2044</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4.5" spans="1:15">
      <c r="A334" s="20" t="s">
        <v>5095</v>
      </c>
      <c r="B334" s="47" t="s">
        <v>2043</v>
      </c>
      <c r="C334" s="48" t="s">
        <v>2044</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4.5" spans="1:15">
      <c r="A335" s="20" t="s">
        <v>5096</v>
      </c>
      <c r="B335" s="47" t="s">
        <v>2043</v>
      </c>
      <c r="C335" s="48" t="s">
        <v>2044</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4.5" spans="1:15">
      <c r="A336" s="20" t="s">
        <v>5097</v>
      </c>
      <c r="B336" s="47" t="s">
        <v>2043</v>
      </c>
      <c r="C336" s="48" t="s">
        <v>2044</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4.5" spans="1:15">
      <c r="A337" s="20" t="s">
        <v>5098</v>
      </c>
      <c r="B337" s="47" t="s">
        <v>2043</v>
      </c>
      <c r="C337" s="48" t="s">
        <v>2044</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4.5" spans="1:15">
      <c r="A338" s="20" t="s">
        <v>5099</v>
      </c>
      <c r="B338" s="47" t="s">
        <v>2043</v>
      </c>
      <c r="C338" s="48" t="s">
        <v>2044</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4.5" spans="1:15">
      <c r="A339" s="20" t="s">
        <v>5100</v>
      </c>
      <c r="B339" s="47" t="s">
        <v>2043</v>
      </c>
      <c r="C339" s="48" t="s">
        <v>2044</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4.5" spans="1:15">
      <c r="A340" s="20" t="s">
        <v>5101</v>
      </c>
      <c r="B340" s="47" t="s">
        <v>2043</v>
      </c>
      <c r="C340" s="48" t="s">
        <v>2044</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4.5" spans="1:15">
      <c r="A341" s="20" t="s">
        <v>5102</v>
      </c>
      <c r="B341" s="47" t="s">
        <v>2043</v>
      </c>
      <c r="C341" s="48" t="s">
        <v>2044</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4.5" spans="1:15">
      <c r="A342" s="20" t="s">
        <v>5103</v>
      </c>
      <c r="B342" s="47" t="s">
        <v>2043</v>
      </c>
      <c r="C342" s="48" t="s">
        <v>2044</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4.5" spans="1:15">
      <c r="A343" s="20" t="s">
        <v>5104</v>
      </c>
      <c r="B343" s="47" t="s">
        <v>2043</v>
      </c>
      <c r="C343" s="48" t="s">
        <v>2044</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4.5" spans="1:15">
      <c r="A344" s="20" t="s">
        <v>5105</v>
      </c>
      <c r="B344" s="47" t="s">
        <v>2043</v>
      </c>
      <c r="C344" s="48" t="s">
        <v>2044</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4.5" spans="1:15">
      <c r="A345" s="20" t="s">
        <v>5106</v>
      </c>
      <c r="B345" s="47" t="s">
        <v>2043</v>
      </c>
      <c r="C345" s="48" t="s">
        <v>2044</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4.5" spans="1:15">
      <c r="A346" s="20" t="s">
        <v>5107</v>
      </c>
      <c r="B346" s="47" t="s">
        <v>2043</v>
      </c>
      <c r="C346" s="48" t="s">
        <v>2044</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4.5" spans="1:15">
      <c r="A347" s="20" t="s">
        <v>5108</v>
      </c>
      <c r="B347" s="47" t="s">
        <v>2043</v>
      </c>
      <c r="C347" s="48" t="s">
        <v>2044</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4.5" spans="1:15">
      <c r="A348" s="20" t="s">
        <v>5109</v>
      </c>
      <c r="B348" s="47" t="s">
        <v>2043</v>
      </c>
      <c r="C348" s="48" t="s">
        <v>2044</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4.5" spans="1:15">
      <c r="A349" s="20" t="s">
        <v>5110</v>
      </c>
      <c r="B349" s="47" t="s">
        <v>2043</v>
      </c>
      <c r="C349" s="48" t="s">
        <v>2044</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4.5" spans="1:15">
      <c r="A350" s="20" t="s">
        <v>5111</v>
      </c>
      <c r="B350" s="47" t="s">
        <v>2043</v>
      </c>
      <c r="C350" s="48" t="s">
        <v>2044</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4.5" spans="1:15">
      <c r="A351" s="20" t="s">
        <v>5112</v>
      </c>
      <c r="B351" s="47" t="s">
        <v>2043</v>
      </c>
      <c r="C351" s="48" t="s">
        <v>2044</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4.5" spans="1:15">
      <c r="A352" s="20" t="s">
        <v>5113</v>
      </c>
      <c r="B352" s="47" t="s">
        <v>2043</v>
      </c>
      <c r="C352" s="48" t="s">
        <v>2044</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4.5" spans="1:15">
      <c r="A353" s="20" t="s">
        <v>5114</v>
      </c>
      <c r="B353" s="47" t="s">
        <v>2043</v>
      </c>
      <c r="C353" s="48" t="s">
        <v>2044</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4.5" spans="1:15">
      <c r="A354" s="20" t="s">
        <v>5115</v>
      </c>
      <c r="B354" s="47" t="s">
        <v>2043</v>
      </c>
      <c r="C354" s="48" t="s">
        <v>2044</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4.5" spans="1:15">
      <c r="A355" s="20" t="s">
        <v>5116</v>
      </c>
      <c r="B355" s="47" t="s">
        <v>2043</v>
      </c>
      <c r="C355" s="48" t="s">
        <v>2044</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4.5" spans="1:15">
      <c r="A356" s="20" t="s">
        <v>5117</v>
      </c>
      <c r="B356" s="47" t="s">
        <v>2043</v>
      </c>
      <c r="C356" s="48" t="s">
        <v>2044</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4.5" spans="1:15">
      <c r="A357" s="20" t="s">
        <v>5118</v>
      </c>
      <c r="B357" s="47" t="s">
        <v>2043</v>
      </c>
      <c r="C357" s="48" t="s">
        <v>2044</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4.5" spans="1:15">
      <c r="A358" s="20" t="s">
        <v>5119</v>
      </c>
      <c r="B358" s="47" t="s">
        <v>2043</v>
      </c>
      <c r="C358" s="48" t="s">
        <v>2044</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4.5" spans="1:15">
      <c r="A359" s="20" t="s">
        <v>5120</v>
      </c>
      <c r="B359" s="47" t="s">
        <v>2043</v>
      </c>
      <c r="C359" s="48" t="s">
        <v>2044</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4.5" spans="1:15">
      <c r="A360" s="20" t="s">
        <v>5121</v>
      </c>
      <c r="B360" s="47" t="s">
        <v>2043</v>
      </c>
      <c r="C360" s="48" t="s">
        <v>2044</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4.5" spans="1:15">
      <c r="A361" s="20" t="s">
        <v>5122</v>
      </c>
      <c r="B361" s="47" t="s">
        <v>2043</v>
      </c>
      <c r="C361" s="48" t="s">
        <v>2044</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4.5" spans="1:15">
      <c r="A362" s="20" t="s">
        <v>5123</v>
      </c>
      <c r="B362" s="47" t="s">
        <v>2043</v>
      </c>
      <c r="C362" s="48" t="s">
        <v>2044</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4.5" spans="1:15">
      <c r="A363" s="20" t="s">
        <v>5124</v>
      </c>
      <c r="B363" s="47" t="s">
        <v>2043</v>
      </c>
      <c r="C363" s="48" t="s">
        <v>2044</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4.5" spans="1:15">
      <c r="A364" s="20" t="s">
        <v>3951</v>
      </c>
      <c r="B364" s="47" t="s">
        <v>2043</v>
      </c>
      <c r="C364" s="48" t="s">
        <v>2044</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4.5" spans="1:15">
      <c r="A365" s="20" t="s">
        <v>5125</v>
      </c>
      <c r="B365" s="47" t="s">
        <v>2043</v>
      </c>
      <c r="C365" s="48" t="s">
        <v>2044</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5" spans="1:15">
      <c r="A366" s="49" t="s">
        <v>5126</v>
      </c>
      <c r="B366" s="47" t="s">
        <v>2083</v>
      </c>
      <c r="C366" s="48" t="s">
        <v>2084</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4.5" spans="1:15">
      <c r="A367" s="20" t="s">
        <v>5127</v>
      </c>
      <c r="B367" s="47" t="s">
        <v>2083</v>
      </c>
      <c r="C367" s="48" t="s">
        <v>2084</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4.5" spans="1:15">
      <c r="A368" s="20" t="s">
        <v>3808</v>
      </c>
      <c r="B368" s="47" t="s">
        <v>2083</v>
      </c>
      <c r="C368" s="48" t="s">
        <v>2084</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5" spans="1:15">
      <c r="A369" s="49" t="s">
        <v>3050</v>
      </c>
      <c r="B369" s="47" t="s">
        <v>2083</v>
      </c>
      <c r="C369" s="48" t="s">
        <v>2084</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4.5" spans="1:15">
      <c r="A370" s="20" t="s">
        <v>5128</v>
      </c>
      <c r="B370" s="47" t="s">
        <v>2083</v>
      </c>
      <c r="C370" s="48" t="s">
        <v>2084</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4.5" spans="1:15">
      <c r="A371" s="20" t="s">
        <v>5129</v>
      </c>
      <c r="B371" s="47" t="s">
        <v>2083</v>
      </c>
      <c r="C371" s="48" t="s">
        <v>2084</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4.5" spans="1:15">
      <c r="A372" s="20" t="s">
        <v>5130</v>
      </c>
      <c r="B372" s="47" t="s">
        <v>2083</v>
      </c>
      <c r="C372" s="48" t="s">
        <v>2084</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4.5" spans="1:15">
      <c r="A373" s="20" t="s">
        <v>5131</v>
      </c>
      <c r="B373" s="47" t="s">
        <v>2083</v>
      </c>
      <c r="C373" s="48" t="s">
        <v>2084</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4.5" spans="1:15">
      <c r="A374" s="20" t="s">
        <v>5132</v>
      </c>
      <c r="B374" s="47" t="s">
        <v>2083</v>
      </c>
      <c r="C374" s="48" t="s">
        <v>2084</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4.5" spans="1:15">
      <c r="A375" s="20" t="s">
        <v>5133</v>
      </c>
      <c r="B375" s="47" t="s">
        <v>2083</v>
      </c>
      <c r="C375" s="48" t="s">
        <v>2084</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5" spans="1:15">
      <c r="A376" s="49" t="s">
        <v>5134</v>
      </c>
      <c r="B376" s="47" t="s">
        <v>2083</v>
      </c>
      <c r="C376" s="48" t="s">
        <v>2084</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4.5" spans="1:15">
      <c r="A377" s="20" t="s">
        <v>5135</v>
      </c>
      <c r="B377" s="47" t="s">
        <v>2083</v>
      </c>
      <c r="C377" s="48" t="s">
        <v>2084</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4.5" spans="1:15">
      <c r="A378" s="20" t="s">
        <v>5136</v>
      </c>
      <c r="B378" s="47" t="s">
        <v>2083</v>
      </c>
      <c r="C378" s="48" t="s">
        <v>2084</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4.5" spans="1:15">
      <c r="A379" s="20" t="s">
        <v>5137</v>
      </c>
      <c r="B379" s="47" t="s">
        <v>2083</v>
      </c>
      <c r="C379" s="48" t="s">
        <v>2084</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4.5" spans="1:15">
      <c r="A380" s="20" t="s">
        <v>5138</v>
      </c>
      <c r="B380" s="47" t="s">
        <v>2083</v>
      </c>
      <c r="C380" s="48" t="s">
        <v>2084</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4.5" spans="1:15">
      <c r="A381" s="20" t="s">
        <v>5139</v>
      </c>
      <c r="B381" s="47" t="s">
        <v>2083</v>
      </c>
      <c r="C381" s="48" t="s">
        <v>2084</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4.5" spans="1:15">
      <c r="A382" s="20" t="s">
        <v>5140</v>
      </c>
      <c r="B382" s="47" t="s">
        <v>2083</v>
      </c>
      <c r="C382" s="48" t="s">
        <v>2084</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4.5" spans="1:15">
      <c r="A383" s="20" t="s">
        <v>5141</v>
      </c>
      <c r="B383" s="47" t="s">
        <v>2083</v>
      </c>
      <c r="C383" s="48" t="s">
        <v>2084</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5" spans="1:15">
      <c r="A384" s="49" t="s">
        <v>5142</v>
      </c>
      <c r="B384" s="47" t="s">
        <v>2083</v>
      </c>
      <c r="C384" s="48" t="s">
        <v>2084</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5" spans="1:15">
      <c r="A385" s="49" t="s">
        <v>5143</v>
      </c>
      <c r="B385" s="47" t="s">
        <v>2083</v>
      </c>
      <c r="C385" s="48" t="s">
        <v>2084</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4.5" spans="1:15">
      <c r="A386" s="20" t="s">
        <v>5144</v>
      </c>
      <c r="B386" s="47" t="s">
        <v>2083</v>
      </c>
      <c r="C386" s="48" t="s">
        <v>2084</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4.5" spans="1:15">
      <c r="A387" s="20" t="s">
        <v>5145</v>
      </c>
      <c r="B387" s="47" t="s">
        <v>2083</v>
      </c>
      <c r="C387" s="48" t="s">
        <v>2084</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4.5" spans="1:15">
      <c r="A388" s="20" t="s">
        <v>5146</v>
      </c>
      <c r="B388" s="47" t="s">
        <v>2083</v>
      </c>
      <c r="C388" s="48" t="s">
        <v>2084</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4.5" spans="1:15">
      <c r="A389" s="20" t="s">
        <v>5147</v>
      </c>
      <c r="B389" s="47" t="s">
        <v>2083</v>
      </c>
      <c r="C389" s="48" t="s">
        <v>2084</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4.5" spans="1:15">
      <c r="A390" s="20" t="s">
        <v>5148</v>
      </c>
      <c r="B390" s="47" t="s">
        <v>2083</v>
      </c>
      <c r="C390" s="48" t="s">
        <v>2084</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5" spans="1:15">
      <c r="A391" s="49" t="s">
        <v>3475</v>
      </c>
      <c r="B391" s="47" t="s">
        <v>2083</v>
      </c>
      <c r="C391" s="48" t="s">
        <v>2084</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5" spans="1:15">
      <c r="A392" s="49" t="s">
        <v>5149</v>
      </c>
      <c r="B392" s="47" t="s">
        <v>2083</v>
      </c>
      <c r="C392" s="48" t="s">
        <v>2084</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5" spans="1:15">
      <c r="A393" s="49" t="s">
        <v>5150</v>
      </c>
      <c r="B393" s="47" t="s">
        <v>2083</v>
      </c>
      <c r="C393" s="48" t="s">
        <v>2084</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5" spans="1:15">
      <c r="A394" s="49" t="s">
        <v>3644</v>
      </c>
      <c r="B394" s="47" t="s">
        <v>2083</v>
      </c>
      <c r="C394" s="48" t="s">
        <v>2084</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4.5" spans="1:15">
      <c r="A395" s="20" t="s">
        <v>5151</v>
      </c>
      <c r="B395" s="47" t="s">
        <v>2083</v>
      </c>
      <c r="C395" s="48" t="s">
        <v>2084</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4.5" spans="1:15">
      <c r="A396" s="20" t="s">
        <v>3945</v>
      </c>
      <c r="B396" s="47" t="s">
        <v>2083</v>
      </c>
      <c r="C396" s="48" t="s">
        <v>2084</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4.5" spans="1:15">
      <c r="A397" s="20" t="s">
        <v>5152</v>
      </c>
      <c r="B397" s="47" t="s">
        <v>2083</v>
      </c>
      <c r="C397" s="48" t="s">
        <v>2084</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4.5" spans="1:15">
      <c r="A398" s="20" t="s">
        <v>5153</v>
      </c>
      <c r="B398" s="47" t="s">
        <v>2083</v>
      </c>
      <c r="C398" s="48" t="s">
        <v>2084</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4.5" spans="1:15">
      <c r="A399" s="20" t="s">
        <v>5154</v>
      </c>
      <c r="B399" s="47" t="s">
        <v>2083</v>
      </c>
      <c r="C399" s="48" t="s">
        <v>2084</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4.5" spans="1:15">
      <c r="A400" s="20" t="s">
        <v>5155</v>
      </c>
      <c r="B400" s="47" t="s">
        <v>2083</v>
      </c>
      <c r="C400" s="48" t="s">
        <v>2084</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5" spans="1:15">
      <c r="A401" s="49" t="s">
        <v>5156</v>
      </c>
      <c r="B401" s="47" t="s">
        <v>2083</v>
      </c>
      <c r="C401" s="48" t="s">
        <v>2084</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4.5" spans="1:15">
      <c r="A402" s="20" t="s">
        <v>5157</v>
      </c>
      <c r="B402" s="47" t="s">
        <v>2083</v>
      </c>
      <c r="C402" s="48" t="s">
        <v>2084</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4.5" spans="1:15">
      <c r="A403" s="20" t="s">
        <v>5158</v>
      </c>
      <c r="B403" s="47" t="s">
        <v>2083</v>
      </c>
      <c r="C403" s="48" t="s">
        <v>2084</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4.5" spans="1:15">
      <c r="A404" s="20" t="s">
        <v>5159</v>
      </c>
      <c r="B404" s="47" t="s">
        <v>2083</v>
      </c>
      <c r="C404" s="48" t="s">
        <v>2084</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4.5" spans="1:15">
      <c r="A405" s="20" t="s">
        <v>2848</v>
      </c>
      <c r="B405" s="47" t="s">
        <v>2083</v>
      </c>
      <c r="C405" s="48" t="s">
        <v>2084</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4.5" spans="1:15">
      <c r="A406" s="20" t="s">
        <v>5160</v>
      </c>
      <c r="B406" s="47" t="s">
        <v>2083</v>
      </c>
      <c r="C406" s="48" t="s">
        <v>2084</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4.5" spans="1:15">
      <c r="A407" s="20" t="s">
        <v>5161</v>
      </c>
      <c r="B407" s="47" t="s">
        <v>2083</v>
      </c>
      <c r="C407" s="48" t="s">
        <v>2084</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4.5" spans="1:15">
      <c r="A408" s="20" t="s">
        <v>5162</v>
      </c>
      <c r="B408" s="47" t="s">
        <v>2083</v>
      </c>
      <c r="C408" s="48" t="s">
        <v>2084</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4.5" spans="1:15">
      <c r="A409" s="20" t="s">
        <v>5163</v>
      </c>
      <c r="B409" s="47" t="s">
        <v>2083</v>
      </c>
      <c r="C409" s="48" t="s">
        <v>2084</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4.5" spans="1:15">
      <c r="A410" s="20" t="s">
        <v>5164</v>
      </c>
      <c r="B410" s="47" t="s">
        <v>2083</v>
      </c>
      <c r="C410" s="48" t="s">
        <v>2084</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4.5" spans="1:15">
      <c r="A411" s="20" t="s">
        <v>5165</v>
      </c>
      <c r="B411" s="47" t="s">
        <v>2083</v>
      </c>
      <c r="C411" s="48" t="s">
        <v>2084</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5" spans="1:15">
      <c r="A412" s="49" t="s">
        <v>5166</v>
      </c>
      <c r="B412" s="47" t="s">
        <v>2083</v>
      </c>
      <c r="C412" s="48" t="s">
        <v>2084</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5" spans="1:15">
      <c r="A413" s="49" t="s">
        <v>5167</v>
      </c>
      <c r="B413" s="47" t="s">
        <v>2083</v>
      </c>
      <c r="C413" s="48" t="s">
        <v>2084</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4.5" spans="1:15">
      <c r="A414" s="20" t="s">
        <v>2844</v>
      </c>
      <c r="B414" s="47" t="s">
        <v>2083</v>
      </c>
      <c r="C414" s="48" t="s">
        <v>2084</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4.5" spans="1:15">
      <c r="A415" s="20" t="s">
        <v>5168</v>
      </c>
      <c r="B415" s="47" t="s">
        <v>2083</v>
      </c>
      <c r="C415" s="48" t="s">
        <v>2084</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4.5" spans="1:15">
      <c r="A416" s="20" t="s">
        <v>5169</v>
      </c>
      <c r="B416" s="47" t="s">
        <v>2083</v>
      </c>
      <c r="C416" s="48" t="s">
        <v>2084</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4.5" spans="1:15">
      <c r="A417" s="20" t="s">
        <v>5170</v>
      </c>
      <c r="B417" s="47" t="s">
        <v>2083</v>
      </c>
      <c r="C417" s="48" t="s">
        <v>2084</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4.5" spans="1:15">
      <c r="A418" s="20" t="s">
        <v>5171</v>
      </c>
      <c r="B418" s="47" t="s">
        <v>2083</v>
      </c>
      <c r="C418" s="48" t="s">
        <v>2084</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5" spans="1:15">
      <c r="A419" s="49" t="s">
        <v>3640</v>
      </c>
      <c r="B419" s="47" t="s">
        <v>2083</v>
      </c>
      <c r="C419" s="48" t="s">
        <v>2084</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5" spans="1:15">
      <c r="A420" s="49" t="s">
        <v>5172</v>
      </c>
      <c r="B420" s="47" t="s">
        <v>2083</v>
      </c>
      <c r="C420" s="48" t="s">
        <v>2084</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4.5" spans="1:15">
      <c r="A421" s="20" t="s">
        <v>5173</v>
      </c>
      <c r="B421" s="47" t="s">
        <v>2083</v>
      </c>
      <c r="C421" s="48" t="s">
        <v>2084</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4.5" spans="1:15">
      <c r="A422" s="20" t="s">
        <v>5174</v>
      </c>
      <c r="B422" s="47" t="s">
        <v>2083</v>
      </c>
      <c r="C422" s="48" t="s">
        <v>2084</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4.5" spans="1:15">
      <c r="A423" s="20" t="s">
        <v>5175</v>
      </c>
      <c r="B423" s="47" t="s">
        <v>2083</v>
      </c>
      <c r="C423" s="48" t="s">
        <v>2084</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5" spans="1:15">
      <c r="A424" s="49" t="s">
        <v>2834</v>
      </c>
      <c r="B424" s="47" t="s">
        <v>2083</v>
      </c>
      <c r="C424" s="48" t="s">
        <v>2084</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4.5" spans="1:15">
      <c r="A425" s="20" t="s">
        <v>5176</v>
      </c>
      <c r="B425" s="47" t="s">
        <v>2083</v>
      </c>
      <c r="C425" s="48" t="s">
        <v>2084</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5" spans="1:15">
      <c r="A426" s="49" t="s">
        <v>3056</v>
      </c>
      <c r="B426" s="47" t="s">
        <v>2083</v>
      </c>
      <c r="C426" s="48" t="s">
        <v>2084</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5" spans="1:15">
      <c r="A427" s="49" t="s">
        <v>5177</v>
      </c>
      <c r="B427" s="47" t="s">
        <v>2083</v>
      </c>
      <c r="C427" s="48" t="s">
        <v>2084</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4.5" spans="1:15">
      <c r="A428" s="20" t="s">
        <v>5178</v>
      </c>
      <c r="B428" s="47" t="s">
        <v>2083</v>
      </c>
      <c r="C428" s="48" t="s">
        <v>2084</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4.5" spans="1:15">
      <c r="A429" s="20" t="s">
        <v>5179</v>
      </c>
      <c r="B429" s="47" t="s">
        <v>2083</v>
      </c>
      <c r="C429" s="48" t="s">
        <v>2084</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4.5" spans="1:15">
      <c r="A430" s="20" t="s">
        <v>5180</v>
      </c>
      <c r="B430" s="47" t="s">
        <v>2083</v>
      </c>
      <c r="C430" s="48" t="s">
        <v>2084</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4.5" spans="1:15">
      <c r="A431" s="20" t="s">
        <v>3158</v>
      </c>
      <c r="B431" s="47" t="s">
        <v>2083</v>
      </c>
      <c r="C431" s="48" t="s">
        <v>2084</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4.5" spans="1:15">
      <c r="A432" s="20" t="s">
        <v>5181</v>
      </c>
      <c r="B432" s="47" t="s">
        <v>2083</v>
      </c>
      <c r="C432" s="48" t="s">
        <v>2084</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4.5" spans="1:15">
      <c r="A433" s="20" t="s">
        <v>5182</v>
      </c>
      <c r="B433" s="47" t="s">
        <v>2083</v>
      </c>
      <c r="C433" s="48" t="s">
        <v>2084</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4.5" spans="1:15">
      <c r="A434" s="20" t="s">
        <v>5183</v>
      </c>
      <c r="B434" s="47" t="s">
        <v>2083</v>
      </c>
      <c r="C434" s="48" t="s">
        <v>2084</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5" spans="1:15">
      <c r="A435" s="49" t="s">
        <v>5184</v>
      </c>
      <c r="B435" s="47" t="s">
        <v>2083</v>
      </c>
      <c r="C435" s="48" t="s">
        <v>2084</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5" spans="1:15">
      <c r="A436" s="49" t="s">
        <v>5185</v>
      </c>
      <c r="B436" s="47" t="s">
        <v>2083</v>
      </c>
      <c r="C436" s="48" t="s">
        <v>2084</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4.5" spans="1:15">
      <c r="A437" s="20" t="s">
        <v>5186</v>
      </c>
      <c r="B437" s="47" t="s">
        <v>2083</v>
      </c>
      <c r="C437" s="48" t="s">
        <v>2084</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4.5" spans="1:15">
      <c r="A438" s="20" t="s">
        <v>5187</v>
      </c>
      <c r="B438" s="47" t="s">
        <v>2083</v>
      </c>
      <c r="C438" s="48" t="s">
        <v>2084</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4.5" spans="1:15">
      <c r="A439" s="20" t="s">
        <v>5188</v>
      </c>
      <c r="B439" s="47" t="s">
        <v>2083</v>
      </c>
      <c r="C439" s="48" t="s">
        <v>2084</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4.5" spans="1:15">
      <c r="A440" s="20" t="s">
        <v>5189</v>
      </c>
      <c r="B440" s="47" t="s">
        <v>2083</v>
      </c>
      <c r="C440" s="48" t="s">
        <v>2084</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4.5" spans="1:15">
      <c r="A441" s="20" t="s">
        <v>5190</v>
      </c>
      <c r="B441" s="47" t="s">
        <v>2083</v>
      </c>
      <c r="C441" s="48" t="s">
        <v>2084</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4.5" spans="1:15">
      <c r="A442" s="20" t="s">
        <v>5191</v>
      </c>
      <c r="B442" s="47" t="s">
        <v>2083</v>
      </c>
      <c r="C442" s="48" t="s">
        <v>2084</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4.5" spans="1:15">
      <c r="A443" s="20" t="s">
        <v>5192</v>
      </c>
      <c r="B443" s="47" t="s">
        <v>2083</v>
      </c>
      <c r="C443" s="48" t="s">
        <v>2084</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4.5" spans="1:15">
      <c r="A444" s="20" t="s">
        <v>5193</v>
      </c>
      <c r="B444" s="47" t="s">
        <v>2083</v>
      </c>
      <c r="C444" s="48" t="s">
        <v>2084</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5" spans="1:15">
      <c r="A445" s="49" t="s">
        <v>5194</v>
      </c>
      <c r="B445" s="47" t="s">
        <v>2083</v>
      </c>
      <c r="C445" s="48" t="s">
        <v>2084</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4.5" spans="1:15">
      <c r="A446" s="20" t="s">
        <v>5195</v>
      </c>
      <c r="B446" s="47" t="s">
        <v>2083</v>
      </c>
      <c r="C446" s="48" t="s">
        <v>2084</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4.5" spans="1:15">
      <c r="A447" s="20" t="s">
        <v>5196</v>
      </c>
      <c r="B447" s="47" t="s">
        <v>2083</v>
      </c>
      <c r="C447" s="48" t="s">
        <v>2084</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5" spans="1:15">
      <c r="A448" s="29" t="s">
        <v>5197</v>
      </c>
      <c r="B448" s="47" t="s">
        <v>2083</v>
      </c>
      <c r="C448" s="48" t="s">
        <v>2084</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4.5" spans="1:15">
      <c r="A449" s="20" t="s">
        <v>5198</v>
      </c>
      <c r="B449" s="47" t="s">
        <v>2083</v>
      </c>
      <c r="C449" s="48" t="s">
        <v>2084</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4.5" spans="1:15">
      <c r="A450" s="20" t="s">
        <v>3712</v>
      </c>
      <c r="B450" s="47" t="s">
        <v>2083</v>
      </c>
      <c r="C450" s="48" t="s">
        <v>2084</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4.5" spans="1:15">
      <c r="A451" s="20" t="s">
        <v>5199</v>
      </c>
      <c r="B451" s="47" t="s">
        <v>2083</v>
      </c>
      <c r="C451" s="48" t="s">
        <v>2084</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4.5" spans="1:15">
      <c r="A452" s="20" t="s">
        <v>5200</v>
      </c>
      <c r="B452" s="47" t="s">
        <v>2083</v>
      </c>
      <c r="C452" s="48" t="s">
        <v>2084</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4.5" spans="1:15">
      <c r="A453" s="20" t="s">
        <v>5201</v>
      </c>
      <c r="B453" s="47" t="s">
        <v>2083</v>
      </c>
      <c r="C453" s="48" t="s">
        <v>2084</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4.5" spans="1:15">
      <c r="A454" s="20" t="s">
        <v>5202</v>
      </c>
      <c r="B454" s="47" t="s">
        <v>2083</v>
      </c>
      <c r="C454" s="48" t="s">
        <v>2084</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4.5" spans="1:15">
      <c r="A455" s="20" t="s">
        <v>5203</v>
      </c>
      <c r="B455" s="47" t="s">
        <v>2083</v>
      </c>
      <c r="C455" s="48" t="s">
        <v>2084</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4.5" spans="1:15">
      <c r="A456" s="20" t="s">
        <v>3471</v>
      </c>
      <c r="B456" s="47" t="s">
        <v>2083</v>
      </c>
      <c r="C456" s="48" t="s">
        <v>2084</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4.5" spans="1:15">
      <c r="A457" s="20" t="s">
        <v>5204</v>
      </c>
      <c r="B457" s="47" t="s">
        <v>2083</v>
      </c>
      <c r="C457" s="48" t="s">
        <v>2084</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4.5" spans="1:15">
      <c r="A458" s="20" t="s">
        <v>5205</v>
      </c>
      <c r="B458" s="47" t="s">
        <v>2083</v>
      </c>
      <c r="C458" s="48" t="s">
        <v>2084</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4.5" spans="1:15">
      <c r="A459" s="20" t="s">
        <v>5206</v>
      </c>
      <c r="B459" s="47" t="s">
        <v>2083</v>
      </c>
      <c r="C459" s="48" t="s">
        <v>2084</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4.5" spans="1:15">
      <c r="A460" s="20" t="s">
        <v>5207</v>
      </c>
      <c r="B460" s="47" t="s">
        <v>2083</v>
      </c>
      <c r="C460" s="48" t="s">
        <v>2084</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4.5" spans="1:15">
      <c r="A461" s="20" t="s">
        <v>5208</v>
      </c>
      <c r="B461" s="47" t="s">
        <v>2083</v>
      </c>
      <c r="C461" s="48" t="s">
        <v>2084</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5" spans="1:15">
      <c r="A462" s="49" t="s">
        <v>5209</v>
      </c>
      <c r="B462" s="47" t="s">
        <v>2083</v>
      </c>
      <c r="C462" s="48" t="s">
        <v>2084</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4.5" spans="1:15">
      <c r="A463" s="20" t="s">
        <v>5210</v>
      </c>
      <c r="B463" s="47" t="s">
        <v>2083</v>
      </c>
      <c r="C463" s="48" t="s">
        <v>2084</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4.5" spans="1:15">
      <c r="A464" s="20" t="s">
        <v>5211</v>
      </c>
      <c r="B464" s="47" t="s">
        <v>2083</v>
      </c>
      <c r="C464" s="48" t="s">
        <v>2084</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4.5" spans="1:15">
      <c r="A465" s="20" t="s">
        <v>3897</v>
      </c>
      <c r="B465" s="47" t="s">
        <v>2083</v>
      </c>
      <c r="C465" s="48" t="s">
        <v>2084</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4.5" spans="1:15">
      <c r="A466" s="20" t="s">
        <v>5212</v>
      </c>
      <c r="B466" s="47" t="s">
        <v>2083</v>
      </c>
      <c r="C466" s="48" t="s">
        <v>2084</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4.5" spans="1:15">
      <c r="A467" s="20" t="s">
        <v>5213</v>
      </c>
      <c r="B467" s="47" t="s">
        <v>2083</v>
      </c>
      <c r="C467" s="48" t="s">
        <v>2084</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4.5" spans="1:15">
      <c r="A468" s="20" t="s">
        <v>5214</v>
      </c>
      <c r="B468" s="47" t="s">
        <v>2083</v>
      </c>
      <c r="C468" s="48" t="s">
        <v>2084</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4.5" spans="1:15">
      <c r="A469" s="20" t="s">
        <v>5215</v>
      </c>
      <c r="B469" s="47" t="s">
        <v>2083</v>
      </c>
      <c r="C469" s="48" t="s">
        <v>2084</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4.5" spans="1:15">
      <c r="A470" s="20" t="s">
        <v>3479</v>
      </c>
      <c r="B470" s="47" t="s">
        <v>2083</v>
      </c>
      <c r="C470" s="48" t="s">
        <v>2084</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4.5" spans="1:15">
      <c r="A471" s="20" t="s">
        <v>5216</v>
      </c>
      <c r="B471" s="47" t="s">
        <v>2083</v>
      </c>
      <c r="C471" s="48" t="s">
        <v>2084</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5" spans="1:15">
      <c r="A472" s="49" t="s">
        <v>5217</v>
      </c>
      <c r="B472" s="47" t="s">
        <v>2083</v>
      </c>
      <c r="C472" s="48" t="s">
        <v>2084</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4.5" spans="1:15">
      <c r="A473" s="20" t="s">
        <v>5218</v>
      </c>
      <c r="B473" s="47" t="s">
        <v>2083</v>
      </c>
      <c r="C473" s="48" t="s">
        <v>2084</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4.5" spans="1:15">
      <c r="A474" s="20" t="s">
        <v>5219</v>
      </c>
      <c r="B474" s="47" t="s">
        <v>2083</v>
      </c>
      <c r="C474" s="48" t="s">
        <v>2084</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4.5" spans="1:15">
      <c r="A475" s="20" t="s">
        <v>5220</v>
      </c>
      <c r="B475" s="47" t="s">
        <v>2083</v>
      </c>
      <c r="C475" s="48" t="s">
        <v>2084</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4.5" spans="1:15">
      <c r="A476" s="20" t="s">
        <v>5221</v>
      </c>
      <c r="B476" s="47" t="s">
        <v>2083</v>
      </c>
      <c r="C476" s="48" t="s">
        <v>2084</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5" spans="1:15">
      <c r="A477" s="49" t="s">
        <v>5222</v>
      </c>
      <c r="B477" s="47" t="s">
        <v>2083</v>
      </c>
      <c r="C477" s="48" t="s">
        <v>2084</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5" spans="1:15">
      <c r="A478" s="49" t="s">
        <v>5223</v>
      </c>
      <c r="B478" s="47" t="s">
        <v>2083</v>
      </c>
      <c r="C478" s="48" t="s">
        <v>2084</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4.5" spans="1:15">
      <c r="A479" s="20" t="s">
        <v>3964</v>
      </c>
      <c r="B479" s="47" t="s">
        <v>2083</v>
      </c>
      <c r="C479" s="48" t="s">
        <v>2084</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5" spans="1:15">
      <c r="A480" s="49" t="s">
        <v>5224</v>
      </c>
      <c r="B480" s="47" t="s">
        <v>2083</v>
      </c>
      <c r="C480" s="48" t="s">
        <v>2084</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4.5" spans="1:15">
      <c r="A481" s="20" t="s">
        <v>5225</v>
      </c>
      <c r="B481" s="47" t="s">
        <v>2043</v>
      </c>
      <c r="C481" s="48" t="s">
        <v>2044</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4.5" spans="1:15">
      <c r="A482" s="20" t="s">
        <v>5226</v>
      </c>
      <c r="B482" s="47" t="s">
        <v>2043</v>
      </c>
      <c r="C482" s="48" t="s">
        <v>2044</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4.5" spans="1:15">
      <c r="A483" s="20" t="s">
        <v>5227</v>
      </c>
      <c r="B483" s="47" t="s">
        <v>2043</v>
      </c>
      <c r="C483" s="48" t="s">
        <v>2044</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4.5" spans="1:15">
      <c r="A484" s="20" t="s">
        <v>5228</v>
      </c>
      <c r="B484" s="47" t="s">
        <v>2043</v>
      </c>
      <c r="C484" s="48" t="s">
        <v>2044</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4.5" spans="1:15">
      <c r="A485" s="20" t="s">
        <v>3636</v>
      </c>
      <c r="B485" s="47" t="s">
        <v>2043</v>
      </c>
      <c r="C485" s="48" t="s">
        <v>2044</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4.5" spans="1:15">
      <c r="A486" s="20" t="s">
        <v>5229</v>
      </c>
      <c r="B486" s="47" t="s">
        <v>2043</v>
      </c>
      <c r="C486" s="48" t="s">
        <v>2044</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4.5" spans="1:15">
      <c r="A487" s="20" t="s">
        <v>5230</v>
      </c>
      <c r="B487" s="47" t="s">
        <v>2043</v>
      </c>
      <c r="C487" s="48" t="s">
        <v>2044</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4.5" spans="1:15">
      <c r="A488" s="20" t="s">
        <v>5231</v>
      </c>
      <c r="B488" s="47" t="s">
        <v>2043</v>
      </c>
      <c r="C488" s="48" t="s">
        <v>2044</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4.5" spans="1:15">
      <c r="A489" s="20" t="s">
        <v>3333</v>
      </c>
      <c r="B489" s="47" t="s">
        <v>2043</v>
      </c>
      <c r="C489" s="48" t="s">
        <v>2044</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4.5" spans="1:15">
      <c r="A490" s="20" t="s">
        <v>5232</v>
      </c>
      <c r="B490" s="47" t="s">
        <v>2043</v>
      </c>
      <c r="C490" s="48" t="s">
        <v>2044</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4.5" spans="1:15">
      <c r="A491" s="20" t="s">
        <v>5233</v>
      </c>
      <c r="B491" s="47" t="s">
        <v>2043</v>
      </c>
      <c r="C491" s="48" t="s">
        <v>2044</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4.5" spans="1:15">
      <c r="A492" s="20" t="s">
        <v>5234</v>
      </c>
      <c r="B492" s="47" t="s">
        <v>2043</v>
      </c>
      <c r="C492" s="48" t="s">
        <v>2044</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4.5" spans="1:15">
      <c r="A493" s="20" t="s">
        <v>5235</v>
      </c>
      <c r="B493" s="47" t="s">
        <v>2043</v>
      </c>
      <c r="C493" s="48" t="s">
        <v>2044</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4.5" spans="1:15">
      <c r="A494" s="20" t="s">
        <v>5236</v>
      </c>
      <c r="B494" s="47" t="s">
        <v>2043</v>
      </c>
      <c r="C494" s="48" t="s">
        <v>2044</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4.5" spans="1:15">
      <c r="A495" s="20" t="s">
        <v>5237</v>
      </c>
      <c r="B495" s="47" t="s">
        <v>2043</v>
      </c>
      <c r="C495" s="48" t="s">
        <v>2044</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4.5" spans="1:15">
      <c r="A496" s="20" t="s">
        <v>5238</v>
      </c>
      <c r="B496" s="47" t="s">
        <v>2043</v>
      </c>
      <c r="C496" s="48" t="s">
        <v>2044</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4.5" spans="1:15">
      <c r="A497" s="20" t="s">
        <v>5239</v>
      </c>
      <c r="B497" s="47" t="s">
        <v>2043</v>
      </c>
      <c r="C497" s="48" t="s">
        <v>2044</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4.5" spans="1:15">
      <c r="A498" s="20" t="s">
        <v>5240</v>
      </c>
      <c r="B498" s="47" t="s">
        <v>2043</v>
      </c>
      <c r="C498" s="48" t="s">
        <v>2044</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4.5" spans="1:15">
      <c r="A499" s="20" t="s">
        <v>5241</v>
      </c>
      <c r="B499" s="47" t="s">
        <v>2083</v>
      </c>
      <c r="C499" s="48" t="s">
        <v>2084</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4.5" spans="1:15">
      <c r="A500" s="20" t="s">
        <v>5242</v>
      </c>
      <c r="B500" s="47" t="s">
        <v>2083</v>
      </c>
      <c r="C500" s="48" t="s">
        <v>2084</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4.5" spans="1:15">
      <c r="A501" s="20" t="s">
        <v>5243</v>
      </c>
      <c r="B501" s="47" t="s">
        <v>2083</v>
      </c>
      <c r="C501" s="48" t="s">
        <v>2084</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4.5" spans="1:15">
      <c r="A502" s="20" t="s">
        <v>5244</v>
      </c>
      <c r="B502" s="47" t="s">
        <v>2083</v>
      </c>
      <c r="C502" s="48" t="s">
        <v>2084</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4.5" spans="1:15">
      <c r="A503" s="20" t="s">
        <v>5245</v>
      </c>
      <c r="B503" s="47" t="s">
        <v>2083</v>
      </c>
      <c r="C503" s="48" t="s">
        <v>2084</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4.5" spans="1:15">
      <c r="A504" s="20" t="s">
        <v>5246</v>
      </c>
      <c r="B504" s="47" t="s">
        <v>2083</v>
      </c>
      <c r="C504" s="48" t="s">
        <v>2084</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4.5" spans="1:15">
      <c r="A505" s="20" t="s">
        <v>5247</v>
      </c>
      <c r="B505" s="47" t="s">
        <v>2083</v>
      </c>
      <c r="C505" s="48" t="s">
        <v>2084</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4.5" spans="1:15">
      <c r="A506" s="20" t="s">
        <v>5248</v>
      </c>
      <c r="B506" s="47" t="s">
        <v>2083</v>
      </c>
      <c r="C506" s="48" t="s">
        <v>2084</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4.5" spans="1:15">
      <c r="A507" s="20" t="s">
        <v>5249</v>
      </c>
      <c r="B507" s="47" t="s">
        <v>2083</v>
      </c>
      <c r="C507" s="48" t="s">
        <v>2084</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4.5" spans="1:15">
      <c r="A508" s="20" t="s">
        <v>5250</v>
      </c>
      <c r="B508" s="47" t="s">
        <v>2083</v>
      </c>
      <c r="C508" s="48" t="s">
        <v>2084</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4.5" spans="1:15">
      <c r="A509" s="20" t="s">
        <v>5251</v>
      </c>
      <c r="B509" s="47" t="s">
        <v>2083</v>
      </c>
      <c r="C509" s="48" t="s">
        <v>2084</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4.5" spans="1:15">
      <c r="A510" s="20" t="s">
        <v>5252</v>
      </c>
      <c r="B510" s="47" t="s">
        <v>2083</v>
      </c>
      <c r="C510" s="48" t="s">
        <v>2084</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4.5" spans="1:15">
      <c r="A511" s="20" t="s">
        <v>5253</v>
      </c>
      <c r="B511" s="47" t="s">
        <v>2083</v>
      </c>
      <c r="C511" s="48" t="s">
        <v>2084</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4.5" spans="1:15">
      <c r="A512" s="20" t="s">
        <v>5254</v>
      </c>
      <c r="B512" s="47" t="s">
        <v>2083</v>
      </c>
      <c r="C512" s="48" t="s">
        <v>2084</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4.5" spans="1:15">
      <c r="A513" s="20" t="s">
        <v>5255</v>
      </c>
      <c r="B513" s="47" t="s">
        <v>2083</v>
      </c>
      <c r="C513" s="48" t="s">
        <v>2084</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4.5" spans="1:15">
      <c r="A514" s="20" t="s">
        <v>5256</v>
      </c>
      <c r="B514" s="47" t="s">
        <v>2083</v>
      </c>
      <c r="C514" s="48" t="s">
        <v>2084</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4.5" spans="1:15">
      <c r="A515" s="20" t="s">
        <v>5257</v>
      </c>
      <c r="B515" s="47" t="s">
        <v>2083</v>
      </c>
      <c r="C515" s="48" t="s">
        <v>2084</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4.5" spans="1:15">
      <c r="A516" s="20" t="s">
        <v>5258</v>
      </c>
      <c r="B516" s="47" t="s">
        <v>2083</v>
      </c>
      <c r="C516" s="48" t="s">
        <v>2084</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5" spans="1:15">
      <c r="A517" s="49" t="s">
        <v>5259</v>
      </c>
      <c r="B517" s="47" t="s">
        <v>2083</v>
      </c>
      <c r="C517" s="48" t="s">
        <v>2084</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4.5" spans="1:15">
      <c r="A518" s="20" t="s">
        <v>5260</v>
      </c>
      <c r="B518" s="47" t="s">
        <v>2083</v>
      </c>
      <c r="C518" s="48" t="s">
        <v>2084</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4.5" spans="1:15">
      <c r="A519" s="20" t="s">
        <v>5261</v>
      </c>
      <c r="B519" s="47" t="s">
        <v>2083</v>
      </c>
      <c r="C519" s="48" t="s">
        <v>2084</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5" spans="1:15">
      <c r="A520" s="49" t="s">
        <v>2909</v>
      </c>
      <c r="B520" s="47" t="s">
        <v>2083</v>
      </c>
      <c r="C520" s="48" t="s">
        <v>2084</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4.5" spans="1:15">
      <c r="A521" s="20" t="s">
        <v>5262</v>
      </c>
      <c r="B521" s="21" t="s">
        <v>2273</v>
      </c>
      <c r="C521" s="22" t="s">
        <v>2274</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4.5" spans="1:15">
      <c r="A522" s="20" t="s">
        <v>5263</v>
      </c>
      <c r="B522" s="21" t="s">
        <v>2273</v>
      </c>
      <c r="C522" s="22" t="s">
        <v>2274</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4.5" spans="1:15">
      <c r="A523" s="20" t="s">
        <v>5264</v>
      </c>
      <c r="B523" s="21" t="s">
        <v>2273</v>
      </c>
      <c r="C523" s="22" t="s">
        <v>2274</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4.5" spans="1:15">
      <c r="A524" s="20" t="s">
        <v>2917</v>
      </c>
      <c r="B524" s="21" t="s">
        <v>2273</v>
      </c>
      <c r="C524" s="22" t="s">
        <v>2274</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4.5" spans="1:15">
      <c r="A525" s="20" t="s">
        <v>5265</v>
      </c>
      <c r="B525" s="21" t="s">
        <v>2273</v>
      </c>
      <c r="C525" s="22" t="s">
        <v>2274</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4.5" spans="1:15">
      <c r="A526" s="20" t="s">
        <v>5266</v>
      </c>
      <c r="B526" s="21" t="s">
        <v>2273</v>
      </c>
      <c r="C526" s="22" t="s">
        <v>2274</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4.5" spans="1:15">
      <c r="A527" s="20" t="s">
        <v>5267</v>
      </c>
      <c r="B527" s="21" t="s">
        <v>2273</v>
      </c>
      <c r="C527" s="22" t="s">
        <v>2274</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4.5" spans="1:15">
      <c r="A528" s="20" t="s">
        <v>5268</v>
      </c>
      <c r="B528" s="21" t="s">
        <v>2273</v>
      </c>
      <c r="C528" s="22" t="s">
        <v>2274</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4.5" spans="1:15">
      <c r="A529" s="20" t="s">
        <v>5269</v>
      </c>
      <c r="B529" s="21" t="s">
        <v>2273</v>
      </c>
      <c r="C529" s="22" t="s">
        <v>2274</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4.5" spans="1:15">
      <c r="A530" s="20" t="s">
        <v>3774</v>
      </c>
      <c r="B530" s="21" t="s">
        <v>2273</v>
      </c>
      <c r="C530" s="22" t="s">
        <v>2274</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4.5" spans="1:15">
      <c r="A531" s="20" t="s">
        <v>5270</v>
      </c>
      <c r="B531" s="21" t="s">
        <v>2273</v>
      </c>
      <c r="C531" s="22" t="s">
        <v>2274</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4.5" spans="1:15">
      <c r="A532" s="20" t="s">
        <v>5271</v>
      </c>
      <c r="B532" s="47" t="s">
        <v>1674</v>
      </c>
      <c r="C532" s="48" t="s">
        <v>5272</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4.5" spans="1:15">
      <c r="A533" s="20" t="s">
        <v>2873</v>
      </c>
      <c r="B533" s="47" t="s">
        <v>1674</v>
      </c>
      <c r="C533" s="48" t="s">
        <v>5272</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5" spans="1:15">
      <c r="A534" s="49" t="s">
        <v>3852</v>
      </c>
      <c r="B534" s="47" t="s">
        <v>1674</v>
      </c>
      <c r="C534" s="48" t="s">
        <v>5272</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5" spans="1:15">
      <c r="A535" s="29" t="s">
        <v>3524</v>
      </c>
      <c r="B535" s="47" t="s">
        <v>1674</v>
      </c>
      <c r="C535" s="48" t="s">
        <v>5272</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4.5" spans="1:15">
      <c r="A536" s="20" t="s">
        <v>3040</v>
      </c>
      <c r="B536" s="47" t="s">
        <v>1674</v>
      </c>
      <c r="C536" s="48" t="s">
        <v>5272</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4.5" spans="1:15">
      <c r="A537" s="20" t="s">
        <v>5273</v>
      </c>
      <c r="B537" s="47" t="s">
        <v>1674</v>
      </c>
      <c r="C537" s="48" t="s">
        <v>5272</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4.5" spans="1:15">
      <c r="A538" s="20" t="s">
        <v>5274</v>
      </c>
      <c r="B538" s="47" t="s">
        <v>1674</v>
      </c>
      <c r="C538" s="48" t="s">
        <v>5272</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4.5" spans="1:15">
      <c r="A539" s="20" t="s">
        <v>5275</v>
      </c>
      <c r="B539" s="47" t="s">
        <v>1674</v>
      </c>
      <c r="C539" s="48" t="s">
        <v>5272</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4.5" spans="1:15">
      <c r="A540" s="20" t="s">
        <v>2923</v>
      </c>
      <c r="B540" s="47" t="s">
        <v>1674</v>
      </c>
      <c r="C540" s="48" t="s">
        <v>5272</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4.5" spans="1:15">
      <c r="A541" s="20" t="s">
        <v>5276</v>
      </c>
      <c r="B541" s="47" t="s">
        <v>1674</v>
      </c>
      <c r="C541" s="48" t="s">
        <v>5272</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5" spans="1:15">
      <c r="A542" s="49" t="s">
        <v>5277</v>
      </c>
      <c r="B542" s="47" t="s">
        <v>1674</v>
      </c>
      <c r="C542" s="48" t="s">
        <v>5272</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5" spans="1:15">
      <c r="A543" s="49" t="s">
        <v>5278</v>
      </c>
      <c r="B543" s="47" t="s">
        <v>1674</v>
      </c>
      <c r="C543" s="48" t="s">
        <v>5272</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5" spans="1:15">
      <c r="A544" s="49" t="s">
        <v>5279</v>
      </c>
      <c r="B544" s="47" t="s">
        <v>1674</v>
      </c>
      <c r="C544" s="48" t="s">
        <v>5272</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5" spans="1:15">
      <c r="A545" s="49" t="s">
        <v>5280</v>
      </c>
      <c r="B545" s="47" t="s">
        <v>1674</v>
      </c>
      <c r="C545" s="48" t="s">
        <v>5272</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5" spans="1:15">
      <c r="A546" s="49" t="s">
        <v>5281</v>
      </c>
      <c r="B546" s="47" t="s">
        <v>1674</v>
      </c>
      <c r="C546" s="48" t="s">
        <v>5272</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4.5" spans="1:15">
      <c r="A547" s="20" t="s">
        <v>5282</v>
      </c>
      <c r="B547" s="47" t="s">
        <v>1814</v>
      </c>
      <c r="C547" s="48" t="s">
        <v>1815</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4.5" spans="1:15">
      <c r="A548" s="20" t="s">
        <v>5283</v>
      </c>
      <c r="B548" s="47" t="s">
        <v>1814</v>
      </c>
      <c r="C548" s="48" t="s">
        <v>1815</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4.5" spans="1:15">
      <c r="A549" s="20" t="s">
        <v>5284</v>
      </c>
      <c r="B549" s="47" t="s">
        <v>1814</v>
      </c>
      <c r="C549" s="48" t="s">
        <v>1815</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4.5" spans="1:15">
      <c r="A550" s="20" t="s">
        <v>5285</v>
      </c>
      <c r="B550" s="47" t="s">
        <v>1814</v>
      </c>
      <c r="C550" s="48" t="s">
        <v>1815</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4.5" spans="1:15">
      <c r="A551" s="20" t="s">
        <v>5286</v>
      </c>
      <c r="B551" s="47" t="s">
        <v>1814</v>
      </c>
      <c r="C551" s="48" t="s">
        <v>1815</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4.5" spans="1:15">
      <c r="A552" s="20" t="s">
        <v>5287</v>
      </c>
      <c r="B552" s="47" t="s">
        <v>1814</v>
      </c>
      <c r="C552" s="48" t="s">
        <v>1815</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4.5" spans="1:15">
      <c r="A553" s="20" t="s">
        <v>5288</v>
      </c>
      <c r="B553" s="47" t="s">
        <v>1814</v>
      </c>
      <c r="C553" s="48" t="s">
        <v>1815</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5" spans="1:15">
      <c r="A554" s="49" t="s">
        <v>5289</v>
      </c>
      <c r="B554" s="47" t="s">
        <v>1802</v>
      </c>
      <c r="C554" s="48" t="s">
        <v>1803</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5" spans="1:15">
      <c r="A555" s="49" t="s">
        <v>5290</v>
      </c>
      <c r="B555" s="47" t="s">
        <v>1802</v>
      </c>
      <c r="C555" s="48" t="s">
        <v>1803</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5" spans="1:15">
      <c r="A556" s="49" t="s">
        <v>5291</v>
      </c>
      <c r="B556" s="47" t="s">
        <v>1802</v>
      </c>
      <c r="C556" s="48" t="s">
        <v>1803</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5" spans="1:15">
      <c r="A557" s="49" t="s">
        <v>5292</v>
      </c>
      <c r="B557" s="47" t="s">
        <v>1802</v>
      </c>
      <c r="C557" s="48" t="s">
        <v>1803</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5" spans="1:15">
      <c r="A558" s="49" t="s">
        <v>5293</v>
      </c>
      <c r="B558" s="47" t="s">
        <v>1802</v>
      </c>
      <c r="C558" s="48" t="s">
        <v>1803</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5" spans="1:15">
      <c r="A559" s="49" t="s">
        <v>5294</v>
      </c>
      <c r="B559" s="47" t="s">
        <v>1802</v>
      </c>
      <c r="C559" s="48" t="s">
        <v>1803</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5" spans="1:15">
      <c r="A560" s="49" t="s">
        <v>5295</v>
      </c>
      <c r="B560" s="47" t="s">
        <v>1802</v>
      </c>
      <c r="C560" s="48" t="s">
        <v>1803</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5" spans="1:15">
      <c r="A561" s="49" t="s">
        <v>5296</v>
      </c>
      <c r="B561" s="47" t="s">
        <v>1802</v>
      </c>
      <c r="C561" s="48" t="s">
        <v>1803</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5" spans="1:15">
      <c r="A562" s="49" t="s">
        <v>5297</v>
      </c>
      <c r="B562" s="47" t="s">
        <v>1802</v>
      </c>
      <c r="C562" s="48" t="s">
        <v>1803</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5" spans="1:15">
      <c r="A563" s="49" t="s">
        <v>5298</v>
      </c>
      <c r="B563" s="47" t="s">
        <v>1802</v>
      </c>
      <c r="C563" s="48" t="s">
        <v>1803</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5" spans="1:15">
      <c r="A564" s="49" t="s">
        <v>5299</v>
      </c>
      <c r="B564" s="47" t="s">
        <v>1802</v>
      </c>
      <c r="C564" s="48" t="s">
        <v>1803</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5" spans="1:15">
      <c r="A565" s="49" t="s">
        <v>5300</v>
      </c>
      <c r="B565" s="47" t="s">
        <v>1802</v>
      </c>
      <c r="C565" s="48" t="s">
        <v>1803</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4.5" spans="1:15">
      <c r="A566" s="20" t="s">
        <v>5301</v>
      </c>
      <c r="B566" s="47" t="s">
        <v>1802</v>
      </c>
      <c r="C566" s="48" t="s">
        <v>1803</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4.5" spans="1:15">
      <c r="A567" s="20" t="s">
        <v>5302</v>
      </c>
      <c r="B567" s="47" t="s">
        <v>1802</v>
      </c>
      <c r="C567" s="48" t="s">
        <v>1803</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5" spans="1:15">
      <c r="A568" s="49" t="s">
        <v>5303</v>
      </c>
      <c r="B568" s="47" t="s">
        <v>1802</v>
      </c>
      <c r="C568" s="48" t="s">
        <v>1803</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5" spans="1:15">
      <c r="A569" s="49" t="s">
        <v>5304</v>
      </c>
      <c r="B569" s="47" t="s">
        <v>1802</v>
      </c>
      <c r="C569" s="48" t="s">
        <v>1803</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5" spans="1:15">
      <c r="A570" s="49" t="s">
        <v>5305</v>
      </c>
      <c r="B570" s="47" t="s">
        <v>1802</v>
      </c>
      <c r="C570" s="48" t="s">
        <v>1803</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5" spans="1:15">
      <c r="A571" s="49" t="s">
        <v>5306</v>
      </c>
      <c r="B571" s="47" t="s">
        <v>1802</v>
      </c>
      <c r="C571" s="48" t="s">
        <v>1803</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5" spans="1:15">
      <c r="A572" s="49" t="s">
        <v>5307</v>
      </c>
      <c r="B572" s="47" t="s">
        <v>1802</v>
      </c>
      <c r="C572" s="48" t="s">
        <v>1803</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5" spans="1:15">
      <c r="A573" s="49" t="s">
        <v>5308</v>
      </c>
      <c r="B573" s="47" t="s">
        <v>1802</v>
      </c>
      <c r="C573" s="48" t="s">
        <v>1803</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5" spans="1:15">
      <c r="A574" s="49" t="s">
        <v>5309</v>
      </c>
      <c r="B574" s="47" t="s">
        <v>1802</v>
      </c>
      <c r="C574" s="48" t="s">
        <v>1803</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5" spans="1:15">
      <c r="A575" s="49" t="s">
        <v>5310</v>
      </c>
      <c r="B575" s="47" t="s">
        <v>1802</v>
      </c>
      <c r="C575" s="48" t="s">
        <v>1803</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5" spans="1:15">
      <c r="A576" s="49" t="s">
        <v>3632</v>
      </c>
      <c r="B576" s="47" t="s">
        <v>1802</v>
      </c>
      <c r="C576" s="48" t="s">
        <v>1803</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5" spans="1:15">
      <c r="A577" s="49" t="s">
        <v>5311</v>
      </c>
      <c r="B577" s="47" t="s">
        <v>1802</v>
      </c>
      <c r="C577" s="48" t="s">
        <v>1803</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4.5" spans="1:15">
      <c r="A578" s="20" t="s">
        <v>5312</v>
      </c>
      <c r="B578" s="47" t="s">
        <v>1802</v>
      </c>
      <c r="C578" s="48" t="s">
        <v>1803</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4.5" spans="1:15">
      <c r="A579" s="20" t="s">
        <v>5313</v>
      </c>
      <c r="B579" s="47" t="s">
        <v>1802</v>
      </c>
      <c r="C579" s="48" t="s">
        <v>1803</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4.5" spans="1:15">
      <c r="A580" s="20" t="s">
        <v>3190</v>
      </c>
      <c r="B580" s="47" t="s">
        <v>1802</v>
      </c>
      <c r="C580" s="48" t="s">
        <v>1803</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4.5" spans="1:15">
      <c r="A581" s="20" t="s">
        <v>5314</v>
      </c>
      <c r="B581" s="47" t="s">
        <v>1802</v>
      </c>
      <c r="C581" s="48" t="s">
        <v>1803</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4.5" spans="1:15">
      <c r="A582" s="20" t="s">
        <v>5315</v>
      </c>
      <c r="B582" s="47" t="s">
        <v>1802</v>
      </c>
      <c r="C582" s="48" t="s">
        <v>1803</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4.5" spans="1:15">
      <c r="A583" s="20" t="s">
        <v>5316</v>
      </c>
      <c r="B583" s="47" t="s">
        <v>1802</v>
      </c>
      <c r="C583" s="48" t="s">
        <v>1803</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5" spans="1:15">
      <c r="A584" s="49" t="s">
        <v>5317</v>
      </c>
      <c r="B584" s="47" t="s">
        <v>1802</v>
      </c>
      <c r="C584" s="48" t="s">
        <v>1803</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4.5" spans="1:15">
      <c r="A585" s="20" t="s">
        <v>5318</v>
      </c>
      <c r="B585" s="47" t="s">
        <v>1802</v>
      </c>
      <c r="C585" s="48" t="s">
        <v>1803</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4.5" spans="1:15">
      <c r="A586" s="20" t="s">
        <v>5319</v>
      </c>
      <c r="B586" s="47" t="s">
        <v>1802</v>
      </c>
      <c r="C586" s="48" t="s">
        <v>1803</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4.5" spans="1:15">
      <c r="A587" s="20" t="s">
        <v>5320</v>
      </c>
      <c r="B587" s="47" t="s">
        <v>1802</v>
      </c>
      <c r="C587" s="48" t="s">
        <v>1803</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4.5" spans="1:15">
      <c r="A588" s="20" t="s">
        <v>5321</v>
      </c>
      <c r="B588" s="47" t="s">
        <v>1814</v>
      </c>
      <c r="C588" s="48" t="s">
        <v>1815</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4.5" spans="1:15">
      <c r="A589" s="20" t="s">
        <v>5322</v>
      </c>
      <c r="B589" s="47" t="s">
        <v>1814</v>
      </c>
      <c r="C589" s="48" t="s">
        <v>1815</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4.5" spans="1:15">
      <c r="A590" s="20" t="s">
        <v>5323</v>
      </c>
      <c r="B590" s="47" t="s">
        <v>1814</v>
      </c>
      <c r="C590" s="48" t="s">
        <v>1815</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4.5" spans="1:15">
      <c r="A591" s="20" t="s">
        <v>5324</v>
      </c>
      <c r="B591" s="47" t="s">
        <v>1841</v>
      </c>
      <c r="C591" s="48" t="s">
        <v>1842</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4.5" spans="1:15">
      <c r="A592" s="20" t="s">
        <v>5325</v>
      </c>
      <c r="B592" s="47" t="s">
        <v>1841</v>
      </c>
      <c r="C592" s="48" t="s">
        <v>1842</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4.5" spans="1:15">
      <c r="A593" s="20" t="s">
        <v>5326</v>
      </c>
      <c r="B593" s="47" t="s">
        <v>1841</v>
      </c>
      <c r="C593" s="48" t="s">
        <v>1842</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4.5" spans="1:15">
      <c r="A594" s="20" t="s">
        <v>5327</v>
      </c>
      <c r="B594" s="47" t="s">
        <v>1841</v>
      </c>
      <c r="C594" s="48" t="s">
        <v>1842</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4.5" spans="1:15">
      <c r="A595" s="20" t="s">
        <v>3222</v>
      </c>
      <c r="B595" s="47" t="s">
        <v>1841</v>
      </c>
      <c r="C595" s="48" t="s">
        <v>1842</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4.5" spans="1:15">
      <c r="A596" s="20" t="s">
        <v>5328</v>
      </c>
      <c r="B596" s="47" t="s">
        <v>1841</v>
      </c>
      <c r="C596" s="48" t="s">
        <v>1842</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4.5" spans="1:15">
      <c r="A597" s="20" t="s">
        <v>5329</v>
      </c>
      <c r="B597" s="47" t="s">
        <v>1841</v>
      </c>
      <c r="C597" s="48" t="s">
        <v>1842</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4.5" spans="1:15">
      <c r="A598" s="20" t="s">
        <v>5330</v>
      </c>
      <c r="B598" s="47" t="s">
        <v>1841</v>
      </c>
      <c r="C598" s="48" t="s">
        <v>1842</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4.5" spans="1:15">
      <c r="A599" s="20" t="s">
        <v>5331</v>
      </c>
      <c r="B599" s="47" t="s">
        <v>1841</v>
      </c>
      <c r="C599" s="48" t="s">
        <v>1842</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4.5" spans="1:15">
      <c r="A600" s="20" t="s">
        <v>5332</v>
      </c>
      <c r="B600" s="47" t="s">
        <v>1841</v>
      </c>
      <c r="C600" s="48" t="s">
        <v>1842</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4.5" spans="1:15">
      <c r="A601" s="20" t="s">
        <v>2970</v>
      </c>
      <c r="B601" s="47" t="s">
        <v>1841</v>
      </c>
      <c r="C601" s="48" t="s">
        <v>1842</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4.5" spans="1:15">
      <c r="A602" s="20" t="s">
        <v>3867</v>
      </c>
      <c r="B602" s="47" t="s">
        <v>1841</v>
      </c>
      <c r="C602" s="48" t="s">
        <v>1842</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4.5" spans="1:15">
      <c r="A603" s="20" t="s">
        <v>5333</v>
      </c>
      <c r="B603" s="47" t="s">
        <v>1841</v>
      </c>
      <c r="C603" s="48" t="s">
        <v>1842</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4.5" spans="1:15">
      <c r="A604" s="20" t="s">
        <v>5334</v>
      </c>
      <c r="B604" s="47" t="s">
        <v>1841</v>
      </c>
      <c r="C604" s="48" t="s">
        <v>1842</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4.5" spans="1:15">
      <c r="A605" s="20" t="s">
        <v>5335</v>
      </c>
      <c r="B605" s="47" t="s">
        <v>1747</v>
      </c>
      <c r="C605" s="48" t="s">
        <v>1748</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4.5" spans="1:15">
      <c r="A606" s="20" t="s">
        <v>4169</v>
      </c>
      <c r="B606" s="47" t="s">
        <v>1747</v>
      </c>
      <c r="C606" s="48" t="s">
        <v>1748</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4.5" spans="1:15">
      <c r="A607" s="20" t="s">
        <v>5336</v>
      </c>
      <c r="B607" s="47" t="s">
        <v>1747</v>
      </c>
      <c r="C607" s="48" t="s">
        <v>1748</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5" spans="1:15">
      <c r="A608" s="29" t="s">
        <v>5337</v>
      </c>
      <c r="B608" s="47" t="s">
        <v>1747</v>
      </c>
      <c r="C608" s="48" t="s">
        <v>1748</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4.5" spans="1:15">
      <c r="A609" s="20" t="s">
        <v>5338</v>
      </c>
      <c r="B609" s="47" t="s">
        <v>1747</v>
      </c>
      <c r="C609" s="48" t="s">
        <v>1748</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4.5" spans="1:15">
      <c r="A610" s="20" t="s">
        <v>5339</v>
      </c>
      <c r="B610" s="47" t="s">
        <v>1747</v>
      </c>
      <c r="C610" s="48" t="s">
        <v>1748</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4.5" spans="1:15">
      <c r="A611" s="20" t="s">
        <v>3389</v>
      </c>
      <c r="B611" s="47" t="s">
        <v>1747</v>
      </c>
      <c r="C611" s="48" t="s">
        <v>1748</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4.5" spans="1:15">
      <c r="A612" s="20" t="s">
        <v>5340</v>
      </c>
      <c r="B612" s="47" t="s">
        <v>1747</v>
      </c>
      <c r="C612" s="48" t="s">
        <v>1748</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4.5" spans="1:15">
      <c r="A613" s="20" t="s">
        <v>3931</v>
      </c>
      <c r="B613" s="47" t="s">
        <v>1747</v>
      </c>
      <c r="C613" s="48" t="s">
        <v>1748</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4.5" spans="1:15">
      <c r="A614" s="20" t="s">
        <v>5341</v>
      </c>
      <c r="B614" s="47" t="s">
        <v>1747</v>
      </c>
      <c r="C614" s="48" t="s">
        <v>1748</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4.5" spans="1:15">
      <c r="A615" s="20" t="s">
        <v>5342</v>
      </c>
      <c r="B615" s="47" t="s">
        <v>1734</v>
      </c>
      <c r="C615" s="48" t="s">
        <v>1735</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4.5" spans="1:15">
      <c r="A616" s="20" t="s">
        <v>5343</v>
      </c>
      <c r="B616" s="47" t="s">
        <v>1734</v>
      </c>
      <c r="C616" s="48" t="s">
        <v>1735</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4.5" spans="1:15">
      <c r="A617" s="20" t="s">
        <v>2892</v>
      </c>
      <c r="B617" s="47" t="s">
        <v>1734</v>
      </c>
      <c r="C617" s="48" t="s">
        <v>1735</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4.5" spans="1:15">
      <c r="A618" s="20" t="s">
        <v>2900</v>
      </c>
      <c r="B618" s="47" t="s">
        <v>1734</v>
      </c>
      <c r="C618" s="48" t="s">
        <v>1735</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4.5" spans="1:15">
      <c r="A619" s="20" t="s">
        <v>4131</v>
      </c>
      <c r="B619" s="47" t="s">
        <v>1734</v>
      </c>
      <c r="C619" s="48" t="s">
        <v>1735</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4.5" spans="1:15">
      <c r="A620" s="20" t="s">
        <v>5344</v>
      </c>
      <c r="B620" s="47" t="s">
        <v>1734</v>
      </c>
      <c r="C620" s="48" t="s">
        <v>1735</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4.5" spans="1:15">
      <c r="A621" s="20" t="s">
        <v>5345</v>
      </c>
      <c r="B621" s="47" t="s">
        <v>1734</v>
      </c>
      <c r="C621" s="48" t="s">
        <v>1735</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4.5" spans="1:15">
      <c r="A622" s="20" t="s">
        <v>2953</v>
      </c>
      <c r="B622" s="47" t="s">
        <v>1734</v>
      </c>
      <c r="C622" s="48" t="s">
        <v>1735</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4.5" spans="1:15">
      <c r="A623" s="20" t="s">
        <v>3910</v>
      </c>
      <c r="B623" s="47" t="s">
        <v>1734</v>
      </c>
      <c r="C623" s="48" t="s">
        <v>1735</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4.5" spans="1:15">
      <c r="A624" s="20" t="s">
        <v>3846</v>
      </c>
      <c r="B624" s="47" t="s">
        <v>1734</v>
      </c>
      <c r="C624" s="48" t="s">
        <v>1735</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5" spans="1:15">
      <c r="A625" s="49" t="s">
        <v>5346</v>
      </c>
      <c r="B625" s="47" t="s">
        <v>1734</v>
      </c>
      <c r="C625" s="48" t="s">
        <v>1735</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4.5" spans="1:15">
      <c r="A626" s="20" t="s">
        <v>5347</v>
      </c>
      <c r="B626" s="47" t="s">
        <v>1734</v>
      </c>
      <c r="C626" s="48" t="s">
        <v>1735</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4.5" spans="1:15">
      <c r="A627" s="20" t="s">
        <v>5348</v>
      </c>
      <c r="B627" s="47" t="s">
        <v>1734</v>
      </c>
      <c r="C627" s="48" t="s">
        <v>1735</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4.5" spans="1:15">
      <c r="A628" s="20" t="s">
        <v>3142</v>
      </c>
      <c r="B628" s="47" t="s">
        <v>1734</v>
      </c>
      <c r="C628" s="48" t="s">
        <v>1735</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4.5" spans="1:15">
      <c r="A629" s="20" t="s">
        <v>5349</v>
      </c>
      <c r="B629" s="47" t="s">
        <v>1734</v>
      </c>
      <c r="C629" s="48" t="s">
        <v>1735</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4.5" spans="1:15">
      <c r="A630" s="20" t="s">
        <v>3435</v>
      </c>
      <c r="B630" s="47" t="s">
        <v>1734</v>
      </c>
      <c r="C630" s="48" t="s">
        <v>1735</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4.5" spans="1:15">
      <c r="A631" s="20" t="s">
        <v>2878</v>
      </c>
      <c r="B631" s="47" t="s">
        <v>1734</v>
      </c>
      <c r="C631" s="48" t="s">
        <v>1735</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4.5" spans="1:15">
      <c r="A632" s="20" t="s">
        <v>5350</v>
      </c>
      <c r="B632" s="47" t="s">
        <v>1734</v>
      </c>
      <c r="C632" s="48" t="s">
        <v>1735</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4.5" spans="1:15">
      <c r="A633" s="20" t="s">
        <v>5351</v>
      </c>
      <c r="B633" s="47" t="s">
        <v>1734</v>
      </c>
      <c r="C633" s="48" t="s">
        <v>1735</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4.5" spans="1:15">
      <c r="A634" s="20" t="s">
        <v>3228</v>
      </c>
      <c r="B634" s="47" t="s">
        <v>1734</v>
      </c>
      <c r="C634" s="48" t="s">
        <v>1735</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4.5" spans="1:15">
      <c r="A635" s="20" t="s">
        <v>3000</v>
      </c>
      <c r="B635" s="47" t="s">
        <v>1734</v>
      </c>
      <c r="C635" s="48" t="s">
        <v>1735</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4.5" spans="1:15">
      <c r="A636" s="20" t="s">
        <v>5352</v>
      </c>
      <c r="B636" s="47" t="s">
        <v>1734</v>
      </c>
      <c r="C636" s="48" t="s">
        <v>1735</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4.5" spans="1:15">
      <c r="A637" s="20" t="s">
        <v>5353</v>
      </c>
      <c r="B637" s="47" t="s">
        <v>1734</v>
      </c>
      <c r="C637" s="48" t="s">
        <v>1735</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4.5" spans="1:15">
      <c r="A638" s="20" t="s">
        <v>5354</v>
      </c>
      <c r="B638" s="47" t="s">
        <v>1734</v>
      </c>
      <c r="C638" s="48" t="s">
        <v>1735</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4.5" spans="1:15">
      <c r="A639" s="20" t="s">
        <v>3013</v>
      </c>
      <c r="B639" s="47" t="s">
        <v>1734</v>
      </c>
      <c r="C639" s="48" t="s">
        <v>1735</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4.5" spans="1:15">
      <c r="A640" s="20" t="s">
        <v>5355</v>
      </c>
      <c r="B640" s="47" t="s">
        <v>1734</v>
      </c>
      <c r="C640" s="48" t="s">
        <v>1735</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4.5" spans="1:15">
      <c r="A641" s="20" t="s">
        <v>5356</v>
      </c>
      <c r="B641" s="47" t="s">
        <v>1734</v>
      </c>
      <c r="C641" s="48" t="s">
        <v>1735</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4.5" spans="1:15">
      <c r="A642" s="20" t="s">
        <v>5357</v>
      </c>
      <c r="B642" s="47" t="s">
        <v>1734</v>
      </c>
      <c r="C642" s="48" t="s">
        <v>1735</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4.5" spans="1:15">
      <c r="A643" s="20" t="s">
        <v>3400</v>
      </c>
      <c r="B643" s="47" t="s">
        <v>1734</v>
      </c>
      <c r="C643" s="48" t="s">
        <v>1735</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4.5" spans="1:15">
      <c r="A644" s="20" t="s">
        <v>2867</v>
      </c>
      <c r="B644" s="47" t="s">
        <v>1734</v>
      </c>
      <c r="C644" s="48" t="s">
        <v>1735</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5" spans="1:15">
      <c r="A645" s="49" t="s">
        <v>5358</v>
      </c>
      <c r="B645" s="47" t="s">
        <v>1734</v>
      </c>
      <c r="C645" s="48" t="s">
        <v>1735</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4.5" spans="1:15">
      <c r="A646" s="20" t="s">
        <v>5359</v>
      </c>
      <c r="B646" s="47" t="s">
        <v>1734</v>
      </c>
      <c r="C646" s="48" t="s">
        <v>1735</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4.5" spans="1:15">
      <c r="A647" s="20" t="s">
        <v>5360</v>
      </c>
      <c r="B647" s="47" t="s">
        <v>1734</v>
      </c>
      <c r="C647" s="48" t="s">
        <v>1735</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4.5" spans="1:15">
      <c r="A648" s="20" t="s">
        <v>5361</v>
      </c>
      <c r="B648" s="47" t="s">
        <v>1734</v>
      </c>
      <c r="C648" s="48" t="s">
        <v>1735</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4.5" spans="1:15">
      <c r="A649" s="20" t="s">
        <v>5362</v>
      </c>
      <c r="B649" s="47" t="s">
        <v>1734</v>
      </c>
      <c r="C649" s="48" t="s">
        <v>1735</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4.5" spans="1:15">
      <c r="A650" s="20" t="s">
        <v>5363</v>
      </c>
      <c r="B650" s="47" t="s">
        <v>1734</v>
      </c>
      <c r="C650" s="48" t="s">
        <v>1735</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5" spans="1:15">
      <c r="A651" s="49" t="s">
        <v>3826</v>
      </c>
      <c r="B651" s="47" t="s">
        <v>1747</v>
      </c>
      <c r="C651" s="48" t="s">
        <v>1748</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5" spans="1:15">
      <c r="A652" s="49" t="s">
        <v>5364</v>
      </c>
      <c r="B652" s="47" t="s">
        <v>1747</v>
      </c>
      <c r="C652" s="48" t="s">
        <v>1748</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4.5" spans="1:15">
      <c r="A653" s="20" t="s">
        <v>2948</v>
      </c>
      <c r="B653" s="47" t="s">
        <v>1747</v>
      </c>
      <c r="C653" s="48" t="s">
        <v>1748</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5" spans="1:15">
      <c r="A654" s="49" t="s">
        <v>5365</v>
      </c>
      <c r="B654" s="47" t="s">
        <v>1747</v>
      </c>
      <c r="C654" s="48" t="s">
        <v>1748</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5" spans="1:15">
      <c r="A655" s="49" t="s">
        <v>3822</v>
      </c>
      <c r="B655" s="47" t="s">
        <v>1747</v>
      </c>
      <c r="C655" s="48" t="s">
        <v>1748</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5" spans="1:15">
      <c r="A656" s="49" t="s">
        <v>5366</v>
      </c>
      <c r="B656" s="47" t="s">
        <v>1747</v>
      </c>
      <c r="C656" s="48" t="s">
        <v>1748</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5" spans="1:15">
      <c r="A657" s="49" t="s">
        <v>5367</v>
      </c>
      <c r="B657" s="47" t="s">
        <v>1747</v>
      </c>
      <c r="C657" s="48" t="s">
        <v>1748</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5" spans="1:15">
      <c r="A658" s="49" t="s">
        <v>5368</v>
      </c>
      <c r="B658" s="47" t="s">
        <v>1747</v>
      </c>
      <c r="C658" s="48" t="s">
        <v>1748</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5" spans="1:15">
      <c r="A659" s="49" t="s">
        <v>5369</v>
      </c>
      <c r="B659" s="47" t="s">
        <v>1747</v>
      </c>
      <c r="C659" s="48" t="s">
        <v>1748</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4.5" spans="1:15">
      <c r="A660" s="20" t="s">
        <v>2958</v>
      </c>
      <c r="B660" s="47" t="s">
        <v>1747</v>
      </c>
      <c r="C660" s="48" t="s">
        <v>1748</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5" spans="1:15">
      <c r="A661" s="49" t="s">
        <v>5370</v>
      </c>
      <c r="B661" s="47" t="s">
        <v>1747</v>
      </c>
      <c r="C661" s="48" t="s">
        <v>1748</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5" spans="1:15">
      <c r="A662" s="49" t="s">
        <v>5371</v>
      </c>
      <c r="B662" s="47" t="s">
        <v>1747</v>
      </c>
      <c r="C662" s="48" t="s">
        <v>1748</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5" spans="1:15">
      <c r="A663" s="49" t="s">
        <v>4185</v>
      </c>
      <c r="B663" s="47" t="s">
        <v>1747</v>
      </c>
      <c r="C663" s="48" t="s">
        <v>1748</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4.5" spans="1:15">
      <c r="A664" s="20" t="s">
        <v>3008</v>
      </c>
      <c r="B664" s="47" t="s">
        <v>1747</v>
      </c>
      <c r="C664" s="48" t="s">
        <v>1748</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4.5" spans="1:15">
      <c r="A665" s="20" t="s">
        <v>2883</v>
      </c>
      <c r="B665" s="47" t="s">
        <v>1747</v>
      </c>
      <c r="C665" s="48" t="s">
        <v>1748</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5" spans="1:15">
      <c r="A666" s="49" t="s">
        <v>5372</v>
      </c>
      <c r="B666" s="47" t="s">
        <v>1747</v>
      </c>
      <c r="C666" s="48" t="s">
        <v>1748</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5" spans="1:15">
      <c r="A667" s="49" t="s">
        <v>5373</v>
      </c>
      <c r="B667" s="47" t="s">
        <v>1747</v>
      </c>
      <c r="C667" s="48" t="s">
        <v>1748</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4.5" spans="1:15">
      <c r="A668" s="20" t="s">
        <v>2939</v>
      </c>
      <c r="B668" s="47" t="s">
        <v>1747</v>
      </c>
      <c r="C668" s="48" t="s">
        <v>1748</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4.5" spans="1:15">
      <c r="A669" s="20" t="s">
        <v>5374</v>
      </c>
      <c r="B669" s="47" t="s">
        <v>1747</v>
      </c>
      <c r="C669" s="48" t="s">
        <v>1748</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5" spans="1:15">
      <c r="A670" s="49" t="s">
        <v>5375</v>
      </c>
      <c r="B670" s="47" t="s">
        <v>1747</v>
      </c>
      <c r="C670" s="48" t="s">
        <v>1748</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5" spans="1:15">
      <c r="A671" s="49" t="s">
        <v>5376</v>
      </c>
      <c r="B671" s="47" t="s">
        <v>1747</v>
      </c>
      <c r="C671" s="48" t="s">
        <v>1748</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5" spans="1:15">
      <c r="A672" s="49" t="s">
        <v>5377</v>
      </c>
      <c r="B672" s="47" t="s">
        <v>1747</v>
      </c>
      <c r="C672" s="48" t="s">
        <v>1748</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5" spans="1:15">
      <c r="A673" s="49" t="s">
        <v>5378</v>
      </c>
      <c r="B673" s="47" t="s">
        <v>1747</v>
      </c>
      <c r="C673" s="48" t="s">
        <v>1748</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30" spans="1:15">
      <c r="A674" s="49" t="s">
        <v>4154</v>
      </c>
      <c r="B674" s="47" t="s">
        <v>1747</v>
      </c>
      <c r="C674" s="48" t="s">
        <v>1748</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30" spans="1:15">
      <c r="A675" s="49" t="s">
        <v>3981</v>
      </c>
      <c r="B675" s="47" t="s">
        <v>1747</v>
      </c>
      <c r="C675" s="48" t="s">
        <v>1748</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5" spans="1:15">
      <c r="A676" s="49" t="s">
        <v>5379</v>
      </c>
      <c r="B676" s="47" t="s">
        <v>1747</v>
      </c>
      <c r="C676" s="48" t="s">
        <v>1748</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5" spans="1:15">
      <c r="A677" s="49" t="s">
        <v>5380</v>
      </c>
      <c r="B677" s="47" t="s">
        <v>1747</v>
      </c>
      <c r="C677" s="48" t="s">
        <v>1748</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5" spans="1:15">
      <c r="A678" s="49" t="s">
        <v>4160</v>
      </c>
      <c r="B678" s="47" t="s">
        <v>1747</v>
      </c>
      <c r="C678" s="48" t="s">
        <v>1748</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30" spans="1:15">
      <c r="A679" s="49" t="s">
        <v>5381</v>
      </c>
      <c r="B679" s="47" t="s">
        <v>1747</v>
      </c>
      <c r="C679" s="48" t="s">
        <v>1748</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30" spans="1:15">
      <c r="A680" s="49" t="s">
        <v>5382</v>
      </c>
      <c r="B680" s="47" t="s">
        <v>1747</v>
      </c>
      <c r="C680" s="48" t="s">
        <v>1748</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5" spans="1:15">
      <c r="A681" s="49" t="s">
        <v>4000</v>
      </c>
      <c r="B681" s="47" t="s">
        <v>1747</v>
      </c>
      <c r="C681" s="48" t="s">
        <v>1748</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5" spans="1:15">
      <c r="A682" s="49" t="s">
        <v>5383</v>
      </c>
      <c r="B682" s="47" t="s">
        <v>1747</v>
      </c>
      <c r="C682" s="48" t="s">
        <v>1748</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5" spans="1:15">
      <c r="A683" s="49" t="s">
        <v>3833</v>
      </c>
      <c r="B683" s="47" t="s">
        <v>1747</v>
      </c>
      <c r="C683" s="48" t="s">
        <v>1748</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30" spans="1:15">
      <c r="A684" s="49" t="s">
        <v>5384</v>
      </c>
      <c r="B684" s="47" t="s">
        <v>1747</v>
      </c>
      <c r="C684" s="48" t="s">
        <v>1748</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30" spans="1:15">
      <c r="A685" s="49" t="s">
        <v>5385</v>
      </c>
      <c r="B685" s="47" t="s">
        <v>1747</v>
      </c>
      <c r="C685" s="48" t="s">
        <v>1748</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5" spans="1:15">
      <c r="A686" s="49" t="s">
        <v>5386</v>
      </c>
      <c r="B686" s="47" t="s">
        <v>1747</v>
      </c>
      <c r="C686" s="48" t="s">
        <v>1748</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30" spans="1:15">
      <c r="A687" s="49" t="s">
        <v>5387</v>
      </c>
      <c r="B687" s="47" t="s">
        <v>1747</v>
      </c>
      <c r="C687" s="48" t="s">
        <v>1748</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5" spans="1:15">
      <c r="A688" s="49" t="s">
        <v>5388</v>
      </c>
      <c r="B688" s="47" t="s">
        <v>1747</v>
      </c>
      <c r="C688" s="48" t="s">
        <v>1748</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30" spans="1:15">
      <c r="A689" s="49" t="s">
        <v>5389</v>
      </c>
      <c r="B689" s="47" t="s">
        <v>1747</v>
      </c>
      <c r="C689" s="48" t="s">
        <v>1748</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30" spans="1:15">
      <c r="A690" s="49" t="s">
        <v>5390</v>
      </c>
      <c r="B690" s="47" t="s">
        <v>1747</v>
      </c>
      <c r="C690" s="48" t="s">
        <v>1748</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30" spans="1:15">
      <c r="A691" s="49" t="s">
        <v>5391</v>
      </c>
      <c r="B691" s="47" t="s">
        <v>1747</v>
      </c>
      <c r="C691" s="48" t="s">
        <v>1748</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5" spans="1:15">
      <c r="A692" s="49" t="s">
        <v>5392</v>
      </c>
      <c r="B692" s="47" t="s">
        <v>1747</v>
      </c>
      <c r="C692" s="48" t="s">
        <v>1748</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5" spans="1:15">
      <c r="A693" s="49" t="s">
        <v>5393</v>
      </c>
      <c r="B693" s="47" t="s">
        <v>1747</v>
      </c>
      <c r="C693" s="48" t="s">
        <v>1748</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5" spans="1:15">
      <c r="A694" s="49" t="s">
        <v>5394</v>
      </c>
      <c r="B694" s="47" t="s">
        <v>1747</v>
      </c>
      <c r="C694" s="48" t="s">
        <v>1748</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5" spans="1:15">
      <c r="A695" s="49" t="s">
        <v>5395</v>
      </c>
      <c r="B695" s="47" t="s">
        <v>1747</v>
      </c>
      <c r="C695" s="48" t="s">
        <v>1748</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5" spans="1:15">
      <c r="A696" s="49" t="s">
        <v>3974</v>
      </c>
      <c r="B696" s="47" t="s">
        <v>1747</v>
      </c>
      <c r="C696" s="48" t="s">
        <v>1748</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5" spans="1:15">
      <c r="A697" s="49" t="s">
        <v>5396</v>
      </c>
      <c r="B697" s="47" t="s">
        <v>1747</v>
      </c>
      <c r="C697" s="48" t="s">
        <v>1748</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5" spans="1:15">
      <c r="A698" s="49" t="s">
        <v>4012</v>
      </c>
      <c r="B698" s="47" t="s">
        <v>1747</v>
      </c>
      <c r="C698" s="48" t="s">
        <v>1748</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4.5" spans="1:15">
      <c r="A699" s="20" t="s">
        <v>5397</v>
      </c>
      <c r="B699" s="50" t="s">
        <v>1714</v>
      </c>
      <c r="C699" s="51" t="s">
        <v>1715</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4.5" spans="1:15">
      <c r="A700" s="20" t="s">
        <v>5398</v>
      </c>
      <c r="B700" s="50" t="s">
        <v>1714</v>
      </c>
      <c r="C700" s="51" t="s">
        <v>1715</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4.5" spans="1:15">
      <c r="A701" s="20" t="s">
        <v>5399</v>
      </c>
      <c r="B701" s="50" t="s">
        <v>1714</v>
      </c>
      <c r="C701" s="51" t="s">
        <v>1715</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4.5" spans="1:15">
      <c r="A702" s="20" t="s">
        <v>5400</v>
      </c>
      <c r="B702" s="50" t="s">
        <v>1714</v>
      </c>
      <c r="C702" s="51" t="s">
        <v>1715</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4.5" spans="1:15">
      <c r="A703" s="20" t="s">
        <v>5401</v>
      </c>
      <c r="B703" s="50" t="s">
        <v>1714</v>
      </c>
      <c r="C703" s="51" t="s">
        <v>1715</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5" spans="1:15">
      <c r="A704" s="49" t="s">
        <v>5402</v>
      </c>
      <c r="B704" s="50" t="s">
        <v>1714</v>
      </c>
      <c r="C704" s="51" t="s">
        <v>1715</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4.5" spans="1:15">
      <c r="A705" s="20" t="s">
        <v>4203</v>
      </c>
      <c r="B705" s="50" t="s">
        <v>1714</v>
      </c>
      <c r="C705" s="51" t="s">
        <v>1715</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4.5" spans="1:15">
      <c r="A706" s="20" t="s">
        <v>5403</v>
      </c>
      <c r="B706" s="50" t="s">
        <v>1714</v>
      </c>
      <c r="C706" s="51" t="s">
        <v>1715</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4.5" spans="1:15">
      <c r="A707" s="20" t="s">
        <v>3428</v>
      </c>
      <c r="B707" s="50" t="s">
        <v>1714</v>
      </c>
      <c r="C707" s="51" t="s">
        <v>1715</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4.5" spans="1:15">
      <c r="A708" s="20" t="s">
        <v>5404</v>
      </c>
      <c r="B708" s="50" t="s">
        <v>1714</v>
      </c>
      <c r="C708" s="51" t="s">
        <v>1715</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4.5" spans="1:15">
      <c r="A709" s="20" t="s">
        <v>3194</v>
      </c>
      <c r="B709" s="50" t="s">
        <v>1714</v>
      </c>
      <c r="C709" s="51" t="s">
        <v>1715</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4.5" spans="1:15">
      <c r="A710" s="20" t="s">
        <v>5405</v>
      </c>
      <c r="B710" s="50" t="s">
        <v>1714</v>
      </c>
      <c r="C710" s="51" t="s">
        <v>1715</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30" spans="1:15">
      <c r="A711" s="49" t="s">
        <v>5406</v>
      </c>
      <c r="B711" s="50" t="s">
        <v>1714</v>
      </c>
      <c r="C711" s="51" t="s">
        <v>1715</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30" spans="1:15">
      <c r="A712" s="49" t="s">
        <v>3841</v>
      </c>
      <c r="B712" s="50" t="s">
        <v>1714</v>
      </c>
      <c r="C712" s="51" t="s">
        <v>1715</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30" spans="1:15">
      <c r="A713" s="49" t="s">
        <v>5407</v>
      </c>
      <c r="B713" s="50" t="s">
        <v>1714</v>
      </c>
      <c r="C713" s="51" t="s">
        <v>1715</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4.5" spans="1:15">
      <c r="A714" s="20" t="s">
        <v>5408</v>
      </c>
      <c r="B714" s="50" t="s">
        <v>1747</v>
      </c>
      <c r="C714" s="51" t="s">
        <v>1748</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4.5" spans="1:15">
      <c r="A715" s="20" t="s">
        <v>5409</v>
      </c>
      <c r="B715" s="50" t="s">
        <v>1747</v>
      </c>
      <c r="C715" s="51" t="s">
        <v>1748</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4.5" spans="1:15">
      <c r="A716" s="20" t="s">
        <v>5410</v>
      </c>
      <c r="B716" s="50" t="s">
        <v>1747</v>
      </c>
      <c r="C716" s="51" t="s">
        <v>1748</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5" spans="1:15">
      <c r="A717" s="49" t="s">
        <v>5411</v>
      </c>
      <c r="B717" s="50" t="s">
        <v>1747</v>
      </c>
      <c r="C717" s="51" t="s">
        <v>1748</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4.5" spans="1:15">
      <c r="A718" s="20" t="s">
        <v>5412</v>
      </c>
      <c r="B718" s="50" t="s">
        <v>1747</v>
      </c>
      <c r="C718" s="51" t="s">
        <v>1748</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4.5" spans="1:15">
      <c r="A719" s="20" t="s">
        <v>5413</v>
      </c>
      <c r="B719" s="50" t="s">
        <v>1747</v>
      </c>
      <c r="C719" s="51" t="s">
        <v>1748</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4.5" spans="1:15">
      <c r="A720" s="20" t="s">
        <v>5414</v>
      </c>
      <c r="B720" s="50" t="s">
        <v>1747</v>
      </c>
      <c r="C720" s="51" t="s">
        <v>1748</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4.5" spans="1:15">
      <c r="A721" s="20" t="s">
        <v>5415</v>
      </c>
      <c r="B721" s="50" t="s">
        <v>1747</v>
      </c>
      <c r="C721" s="51" t="s">
        <v>1748</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4.5" spans="1:15">
      <c r="A722" s="20" t="s">
        <v>5416</v>
      </c>
      <c r="B722" s="50" t="s">
        <v>1747</v>
      </c>
      <c r="C722" s="51" t="s">
        <v>1748</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4.5" spans="1:15">
      <c r="A723" s="20" t="s">
        <v>5417</v>
      </c>
      <c r="B723" s="50" t="s">
        <v>1747</v>
      </c>
      <c r="C723" s="51" t="s">
        <v>1748</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30" spans="1:15">
      <c r="A724" s="49" t="s">
        <v>5418</v>
      </c>
      <c r="B724" s="50" t="s">
        <v>1747</v>
      </c>
      <c r="C724" s="51" t="s">
        <v>1748</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30" spans="1:15">
      <c r="A725" s="49" t="s">
        <v>4142</v>
      </c>
      <c r="B725" s="50" t="s">
        <v>1747</v>
      </c>
      <c r="C725" s="51" t="s">
        <v>1748</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30" spans="1:15">
      <c r="A726" s="49" t="s">
        <v>3785</v>
      </c>
      <c r="B726" s="50" t="s">
        <v>1747</v>
      </c>
      <c r="C726" s="51" t="s">
        <v>1748</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30" spans="1:15">
      <c r="A727" s="49" t="s">
        <v>5419</v>
      </c>
      <c r="B727" s="50" t="s">
        <v>1747</v>
      </c>
      <c r="C727" s="51" t="s">
        <v>1748</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30" spans="1:15">
      <c r="A728" s="49" t="s">
        <v>5420</v>
      </c>
      <c r="B728" s="50" t="s">
        <v>1747</v>
      </c>
      <c r="C728" s="51" t="s">
        <v>1748</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30" spans="1:15">
      <c r="A729" s="49" t="s">
        <v>5421</v>
      </c>
      <c r="B729" s="50" t="s">
        <v>1747</v>
      </c>
      <c r="C729" s="51" t="s">
        <v>1748</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30" spans="1:15">
      <c r="A730" s="49" t="s">
        <v>5422</v>
      </c>
      <c r="B730" s="50" t="s">
        <v>1747</v>
      </c>
      <c r="C730" s="51" t="s">
        <v>1748</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30" spans="1:15">
      <c r="A731" s="49" t="s">
        <v>5423</v>
      </c>
      <c r="B731" s="50" t="s">
        <v>1747</v>
      </c>
      <c r="C731" s="51" t="s">
        <v>1748</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30" spans="1:15">
      <c r="A732" s="49" t="s">
        <v>5424</v>
      </c>
      <c r="B732" s="50" t="s">
        <v>1747</v>
      </c>
      <c r="C732" s="51" t="s">
        <v>1748</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30" spans="1:15">
      <c r="A733" s="49" t="s">
        <v>5425</v>
      </c>
      <c r="B733" s="50" t="s">
        <v>1747</v>
      </c>
      <c r="C733" s="51" t="s">
        <v>1748</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30" spans="1:15">
      <c r="A734" s="49" t="s">
        <v>5426</v>
      </c>
      <c r="B734" s="50" t="s">
        <v>1747</v>
      </c>
      <c r="C734" s="51" t="s">
        <v>1748</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30" spans="1:15">
      <c r="A735" s="49" t="s">
        <v>5427</v>
      </c>
      <c r="B735" s="50" t="s">
        <v>1747</v>
      </c>
      <c r="C735" s="51" t="s">
        <v>1748</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30" spans="1:15">
      <c r="A736" s="49" t="s">
        <v>5428</v>
      </c>
      <c r="B736" s="50" t="s">
        <v>1747</v>
      </c>
      <c r="C736" s="51" t="s">
        <v>1748</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30" spans="1:15">
      <c r="A737" s="49" t="s">
        <v>5429</v>
      </c>
      <c r="B737" s="50" t="s">
        <v>1747</v>
      </c>
      <c r="C737" s="51" t="s">
        <v>1748</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30" spans="1:15">
      <c r="A738" s="49" t="s">
        <v>5430</v>
      </c>
      <c r="B738" s="50" t="s">
        <v>1747</v>
      </c>
      <c r="C738" s="51" t="s">
        <v>1748</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30" spans="1:15">
      <c r="A739" s="49" t="s">
        <v>5431</v>
      </c>
      <c r="B739" s="50" t="s">
        <v>1747</v>
      </c>
      <c r="C739" s="51" t="s">
        <v>1748</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30" spans="1:15">
      <c r="A740" s="49" t="s">
        <v>5432</v>
      </c>
      <c r="B740" s="50" t="s">
        <v>1747</v>
      </c>
      <c r="C740" s="51" t="s">
        <v>1748</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30" spans="1:15">
      <c r="A741" s="49" t="s">
        <v>5433</v>
      </c>
      <c r="B741" s="50" t="s">
        <v>1747</v>
      </c>
      <c r="C741" s="51" t="s">
        <v>1748</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30" spans="1:15">
      <c r="A742" s="49" t="s">
        <v>5434</v>
      </c>
      <c r="B742" s="50" t="s">
        <v>1747</v>
      </c>
      <c r="C742" s="51" t="s">
        <v>1748</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30" spans="1:15">
      <c r="A743" s="49" t="s">
        <v>5435</v>
      </c>
      <c r="B743" s="50" t="s">
        <v>1747</v>
      </c>
      <c r="C743" s="51" t="s">
        <v>1748</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30" spans="1:15">
      <c r="A744" s="49" t="s">
        <v>5436</v>
      </c>
      <c r="B744" s="50" t="s">
        <v>1747</v>
      </c>
      <c r="C744" s="51" t="s">
        <v>1748</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30" spans="1:15">
      <c r="A745" s="49" t="s">
        <v>3233</v>
      </c>
      <c r="B745" s="50" t="s">
        <v>1747</v>
      </c>
      <c r="C745" s="51" t="s">
        <v>1748</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30" spans="1:15">
      <c r="A746" s="49" t="s">
        <v>5437</v>
      </c>
      <c r="B746" s="50" t="s">
        <v>1747</v>
      </c>
      <c r="C746" s="51" t="s">
        <v>1748</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30" spans="1:15">
      <c r="A747" s="49" t="s">
        <v>5438</v>
      </c>
      <c r="B747" s="50" t="s">
        <v>1747</v>
      </c>
      <c r="C747" s="51" t="s">
        <v>1748</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30" spans="1:15">
      <c r="A748" s="49" t="s">
        <v>3813</v>
      </c>
      <c r="B748" s="50" t="s">
        <v>1747</v>
      </c>
      <c r="C748" s="51" t="s">
        <v>1748</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30" spans="1:15">
      <c r="A749" s="49" t="s">
        <v>3164</v>
      </c>
      <c r="B749" s="50" t="s">
        <v>1747</v>
      </c>
      <c r="C749" s="51" t="s">
        <v>1748</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4.5" spans="1:15">
      <c r="A750" s="20" t="s">
        <v>5439</v>
      </c>
      <c r="B750" s="47" t="s">
        <v>1909</v>
      </c>
      <c r="C750" s="48" t="s">
        <v>1910</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4.5" spans="1:15">
      <c r="A751" s="20" t="s">
        <v>5440</v>
      </c>
      <c r="B751" s="47" t="s">
        <v>1909</v>
      </c>
      <c r="C751" s="48" t="s">
        <v>1910</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4.5" spans="1:15">
      <c r="A752" s="20" t="s">
        <v>5441</v>
      </c>
      <c r="B752" s="47" t="s">
        <v>1909</v>
      </c>
      <c r="C752" s="48" t="s">
        <v>1910</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4.5" spans="1:15">
      <c r="A753" s="20" t="s">
        <v>5442</v>
      </c>
      <c r="B753" s="47" t="s">
        <v>1909</v>
      </c>
      <c r="C753" s="48" t="s">
        <v>1910</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4.5" spans="1:15">
      <c r="A754" s="20" t="s">
        <v>5443</v>
      </c>
      <c r="B754" s="47" t="s">
        <v>1909</v>
      </c>
      <c r="C754" s="48" t="s">
        <v>1910</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4.5" spans="1:15">
      <c r="A755" s="20" t="s">
        <v>5444</v>
      </c>
      <c r="B755" s="47" t="s">
        <v>1909</v>
      </c>
      <c r="C755" s="48" t="s">
        <v>1910</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4.5" spans="1:15">
      <c r="A756" s="20" t="s">
        <v>5445</v>
      </c>
      <c r="B756" s="47" t="s">
        <v>1909</v>
      </c>
      <c r="C756" s="48" t="s">
        <v>1910</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4.5" spans="1:15">
      <c r="A757" s="20" t="s">
        <v>4105</v>
      </c>
      <c r="B757" s="47" t="s">
        <v>1909</v>
      </c>
      <c r="C757" s="48" t="s">
        <v>1910</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4.5" spans="1:15">
      <c r="A758" s="20" t="s">
        <v>5446</v>
      </c>
      <c r="B758" s="47" t="s">
        <v>1909</v>
      </c>
      <c r="C758" s="48" t="s">
        <v>1910</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4.5" spans="1:15">
      <c r="A759" s="20" t="s">
        <v>5447</v>
      </c>
      <c r="B759" s="47" t="s">
        <v>1909</v>
      </c>
      <c r="C759" s="48" t="s">
        <v>1910</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4.5" spans="1:15">
      <c r="A760" s="20" t="s">
        <v>5448</v>
      </c>
      <c r="B760" s="47" t="s">
        <v>1909</v>
      </c>
      <c r="C760" s="48" t="s">
        <v>1910</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4.5" spans="1:15">
      <c r="A761" s="20" t="s">
        <v>5449</v>
      </c>
      <c r="B761" s="50" t="s">
        <v>1909</v>
      </c>
      <c r="C761" s="51" t="s">
        <v>1910</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4.5" spans="1:15">
      <c r="A762" s="20" t="s">
        <v>5450</v>
      </c>
      <c r="B762" s="50" t="s">
        <v>1909</v>
      </c>
      <c r="C762" s="51" t="s">
        <v>1910</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4.5" spans="1:15">
      <c r="A763" s="20" t="s">
        <v>5451</v>
      </c>
      <c r="B763" s="50" t="s">
        <v>1909</v>
      </c>
      <c r="C763" s="51" t="s">
        <v>1910</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4.5" spans="1:15">
      <c r="A764" s="33" t="s">
        <v>5452</v>
      </c>
      <c r="B764" s="50" t="s">
        <v>1909</v>
      </c>
      <c r="C764" s="51" t="s">
        <v>1910</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4.5" spans="1:15">
      <c r="A765" s="33" t="s">
        <v>5453</v>
      </c>
      <c r="B765" s="50" t="s">
        <v>1935</v>
      </c>
      <c r="C765" s="51" t="s">
        <v>1936</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4.5" spans="1:15">
      <c r="A766" s="33" t="s">
        <v>5454</v>
      </c>
      <c r="B766" s="50" t="s">
        <v>1935</v>
      </c>
      <c r="C766" s="51" t="s">
        <v>1936</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4.5" spans="1:15">
      <c r="A767" s="33" t="s">
        <v>5455</v>
      </c>
      <c r="B767" s="50" t="s">
        <v>1935</v>
      </c>
      <c r="C767" s="51" t="s">
        <v>1936</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4.5" spans="1:15">
      <c r="A768" s="33" t="s">
        <v>5456</v>
      </c>
      <c r="B768" s="50" t="s">
        <v>1935</v>
      </c>
      <c r="C768" s="51" t="s">
        <v>1936</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4.5" spans="1:15">
      <c r="A769" s="33" t="s">
        <v>5457</v>
      </c>
      <c r="B769" s="50" t="s">
        <v>1935</v>
      </c>
      <c r="C769" s="51" t="s">
        <v>1936</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4.5" spans="1:15">
      <c r="A770" s="33" t="s">
        <v>5458</v>
      </c>
      <c r="B770" s="50" t="s">
        <v>1935</v>
      </c>
      <c r="C770" s="51" t="s">
        <v>1936</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4.5" spans="1:15">
      <c r="A771" s="33" t="s">
        <v>5459</v>
      </c>
      <c r="B771" s="50" t="s">
        <v>1935</v>
      </c>
      <c r="C771" s="51" t="s">
        <v>1936</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4.5" spans="1:15">
      <c r="A772" s="33" t="s">
        <v>3033</v>
      </c>
      <c r="B772" s="50" t="s">
        <v>1935</v>
      </c>
      <c r="C772" s="51" t="s">
        <v>1936</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5" spans="1:15">
      <c r="A773" s="52" t="s">
        <v>3088</v>
      </c>
      <c r="B773" s="50" t="s">
        <v>1935</v>
      </c>
      <c r="C773" s="51" t="s">
        <v>1936</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4.5" spans="1:15">
      <c r="A774" s="33" t="s">
        <v>5460</v>
      </c>
      <c r="B774" s="50" t="s">
        <v>1935</v>
      </c>
      <c r="C774" s="51" t="s">
        <v>1936</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4.5" spans="1:15">
      <c r="A775" s="33" t="s">
        <v>5461</v>
      </c>
      <c r="B775" s="50" t="s">
        <v>1935</v>
      </c>
      <c r="C775" s="51" t="s">
        <v>1936</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4.5" spans="1:15">
      <c r="A776" s="33" t="s">
        <v>5462</v>
      </c>
      <c r="B776" s="50" t="s">
        <v>1935</v>
      </c>
      <c r="C776" s="51" t="s">
        <v>1936</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4.5" spans="1:15">
      <c r="A777" s="33" t="s">
        <v>5463</v>
      </c>
      <c r="B777" s="50" t="s">
        <v>1935</v>
      </c>
      <c r="C777" s="51" t="s">
        <v>1936</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4.5" spans="1:15">
      <c r="A778" s="33" t="s">
        <v>5464</v>
      </c>
      <c r="B778" s="50" t="s">
        <v>1935</v>
      </c>
      <c r="C778" s="51" t="s">
        <v>1936</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30" spans="1:15">
      <c r="A779" s="52" t="s">
        <v>5465</v>
      </c>
      <c r="B779" s="50" t="s">
        <v>1935</v>
      </c>
      <c r="C779" s="51" t="s">
        <v>1936</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30" spans="1:15">
      <c r="A780" s="52" t="s">
        <v>5466</v>
      </c>
      <c r="B780" s="50" t="s">
        <v>1935</v>
      </c>
      <c r="C780" s="51" t="s">
        <v>1936</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30" spans="1:15">
      <c r="A781" s="52" t="s">
        <v>5467</v>
      </c>
      <c r="B781" s="50" t="s">
        <v>1935</v>
      </c>
      <c r="C781" s="51" t="s">
        <v>1936</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30" spans="1:15">
      <c r="A782" s="52" t="s">
        <v>2852</v>
      </c>
      <c r="B782" s="50" t="s">
        <v>1935</v>
      </c>
      <c r="C782" s="51" t="s">
        <v>1936</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30" spans="1:15">
      <c r="A783" s="52" t="s">
        <v>4098</v>
      </c>
      <c r="B783" s="50" t="s">
        <v>1935</v>
      </c>
      <c r="C783" s="51" t="s">
        <v>1936</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30" spans="1:15">
      <c r="A784" s="52" t="s">
        <v>5468</v>
      </c>
      <c r="B784" s="50" t="s">
        <v>1935</v>
      </c>
      <c r="C784" s="51" t="s">
        <v>1936</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30" spans="1:15">
      <c r="A785" s="52" t="s">
        <v>5469</v>
      </c>
      <c r="B785" s="50" t="s">
        <v>1935</v>
      </c>
      <c r="C785" s="51" t="s">
        <v>1936</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30" spans="1:15">
      <c r="A786" s="52" t="s">
        <v>5470</v>
      </c>
      <c r="B786" s="50" t="s">
        <v>1935</v>
      </c>
      <c r="C786" s="51" t="s">
        <v>1936</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30" spans="1:15">
      <c r="A787" s="52" t="s">
        <v>5471</v>
      </c>
      <c r="B787" s="50" t="s">
        <v>1935</v>
      </c>
      <c r="C787" s="51" t="s">
        <v>1936</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4.5" spans="1:15">
      <c r="A788" s="33" t="s">
        <v>5472</v>
      </c>
      <c r="B788" s="50" t="s">
        <v>1961</v>
      </c>
      <c r="C788" s="51" t="s">
        <v>1962</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4.5" spans="1:15">
      <c r="A789" s="33" t="s">
        <v>5473</v>
      </c>
      <c r="B789" s="50" t="s">
        <v>1961</v>
      </c>
      <c r="C789" s="51" t="s">
        <v>1962</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4.5" spans="1:15">
      <c r="A790" s="33" t="s">
        <v>5474</v>
      </c>
      <c r="B790" s="50" t="s">
        <v>1961</v>
      </c>
      <c r="C790" s="51" t="s">
        <v>1962</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4.5" spans="1:15">
      <c r="A791" s="33" t="s">
        <v>5475</v>
      </c>
      <c r="B791" s="50" t="s">
        <v>1961</v>
      </c>
      <c r="C791" s="51" t="s">
        <v>1962</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4.5" spans="1:15">
      <c r="A792" s="33" t="s">
        <v>5476</v>
      </c>
      <c r="B792" s="50" t="s">
        <v>1961</v>
      </c>
      <c r="C792" s="51" t="s">
        <v>1962</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4.5" spans="1:15">
      <c r="A793" s="33" t="s">
        <v>5477</v>
      </c>
      <c r="B793" s="50" t="s">
        <v>1961</v>
      </c>
      <c r="C793" s="51" t="s">
        <v>1962</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4.5" spans="1:15">
      <c r="A794" s="33" t="s">
        <v>5478</v>
      </c>
      <c r="B794" s="50" t="s">
        <v>1961</v>
      </c>
      <c r="C794" s="51" t="s">
        <v>1962</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4.5" spans="1:15">
      <c r="A795" s="33" t="s">
        <v>5479</v>
      </c>
      <c r="B795" s="50" t="s">
        <v>1961</v>
      </c>
      <c r="C795" s="51" t="s">
        <v>1962</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4.5" spans="1:15">
      <c r="A796" s="33" t="s">
        <v>5480</v>
      </c>
      <c r="B796" s="50" t="s">
        <v>1961</v>
      </c>
      <c r="C796" s="51" t="s">
        <v>1962</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4.5" spans="1:15">
      <c r="A797" s="33" t="s">
        <v>5481</v>
      </c>
      <c r="B797" s="50" t="s">
        <v>1961</v>
      </c>
      <c r="C797" s="51" t="s">
        <v>1962</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4.5" spans="1:15">
      <c r="A798" s="33" t="s">
        <v>5482</v>
      </c>
      <c r="B798" s="50" t="s">
        <v>1961</v>
      </c>
      <c r="C798" s="51" t="s">
        <v>1962</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4.5" spans="1:15">
      <c r="A799" s="33" t="s">
        <v>5483</v>
      </c>
      <c r="B799" s="50" t="s">
        <v>1961</v>
      </c>
      <c r="C799" s="51" t="s">
        <v>1962</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4.5" spans="1:15">
      <c r="A800" s="33" t="s">
        <v>5484</v>
      </c>
      <c r="B800" s="50" t="s">
        <v>1961</v>
      </c>
      <c r="C800" s="51" t="s">
        <v>1962</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4.5" spans="1:15">
      <c r="A801" s="33" t="s">
        <v>5485</v>
      </c>
      <c r="B801" s="50" t="s">
        <v>1961</v>
      </c>
      <c r="C801" s="51" t="s">
        <v>1962</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4.5" spans="1:15">
      <c r="A802" s="33" t="s">
        <v>5486</v>
      </c>
      <c r="B802" s="50" t="s">
        <v>1961</v>
      </c>
      <c r="C802" s="51" t="s">
        <v>1962</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4.5" spans="1:15">
      <c r="A803" s="33" t="s">
        <v>5487</v>
      </c>
      <c r="B803" s="50" t="s">
        <v>1961</v>
      </c>
      <c r="C803" s="51" t="s">
        <v>1962</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4.5" spans="1:15">
      <c r="A804" s="33" t="s">
        <v>5488</v>
      </c>
      <c r="B804" s="50" t="s">
        <v>1961</v>
      </c>
      <c r="C804" s="51" t="s">
        <v>1962</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4.5" spans="1:15">
      <c r="A805" s="33" t="s">
        <v>5489</v>
      </c>
      <c r="B805" s="50" t="s">
        <v>1961</v>
      </c>
      <c r="C805" s="51" t="s">
        <v>1962</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4.5" spans="1:15">
      <c r="A806" s="33" t="s">
        <v>5490</v>
      </c>
      <c r="B806" s="50" t="s">
        <v>1961</v>
      </c>
      <c r="C806" s="51" t="s">
        <v>1962</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4.5" spans="1:15">
      <c r="A807" s="33" t="s">
        <v>5491</v>
      </c>
      <c r="B807" s="50" t="s">
        <v>1961</v>
      </c>
      <c r="C807" s="51" t="s">
        <v>1962</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4.5" spans="1:15">
      <c r="A808" s="33" t="s">
        <v>5492</v>
      </c>
      <c r="B808" s="50" t="s">
        <v>1884</v>
      </c>
      <c r="C808" s="51" t="s">
        <v>1885</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4.5" spans="1:15">
      <c r="A809" s="33" t="s">
        <v>5493</v>
      </c>
      <c r="B809" s="50" t="s">
        <v>1884</v>
      </c>
      <c r="C809" s="51" t="s">
        <v>1885</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4.5" spans="1:15">
      <c r="A810" s="33" t="s">
        <v>5494</v>
      </c>
      <c r="B810" s="50" t="s">
        <v>1884</v>
      </c>
      <c r="C810" s="51" t="s">
        <v>1885</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4.5" spans="1:15">
      <c r="A811" s="33" t="s">
        <v>5495</v>
      </c>
      <c r="B811" s="50" t="s">
        <v>1884</v>
      </c>
      <c r="C811" s="51" t="s">
        <v>1885</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4.5" spans="1:15">
      <c r="A812" s="33" t="s">
        <v>5496</v>
      </c>
      <c r="B812" s="50" t="s">
        <v>1884</v>
      </c>
      <c r="C812" s="51" t="s">
        <v>1885</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4.5" spans="1:15">
      <c r="A813" s="33" t="s">
        <v>5497</v>
      </c>
      <c r="B813" s="50" t="s">
        <v>1884</v>
      </c>
      <c r="C813" s="51" t="s">
        <v>1885</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4.5" spans="1:15">
      <c r="A814" s="33" t="s">
        <v>5498</v>
      </c>
      <c r="B814" s="50" t="s">
        <v>1884</v>
      </c>
      <c r="C814" s="51" t="s">
        <v>1885</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4.5" spans="1:15">
      <c r="A815" s="33" t="s">
        <v>5499</v>
      </c>
      <c r="B815" s="50" t="s">
        <v>1884</v>
      </c>
      <c r="C815" s="51" t="s">
        <v>1885</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4.5" spans="1:15">
      <c r="A816" s="33" t="s">
        <v>5500</v>
      </c>
      <c r="B816" s="50" t="s">
        <v>1884</v>
      </c>
      <c r="C816" s="51" t="s">
        <v>1885</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4.5" spans="1:15">
      <c r="A817" s="33" t="s">
        <v>5501</v>
      </c>
      <c r="B817" s="50" t="s">
        <v>1884</v>
      </c>
      <c r="C817" s="51" t="s">
        <v>1885</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4.5" spans="1:15">
      <c r="A818" s="33" t="s">
        <v>5502</v>
      </c>
      <c r="B818" s="50" t="s">
        <v>1884</v>
      </c>
      <c r="C818" s="51" t="s">
        <v>1885</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5" spans="1:15">
      <c r="A819" s="52" t="s">
        <v>5503</v>
      </c>
      <c r="B819" s="50" t="s">
        <v>1884</v>
      </c>
      <c r="C819" s="51" t="s">
        <v>1885</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4.5" spans="1:15">
      <c r="A820" s="33" t="s">
        <v>5504</v>
      </c>
      <c r="B820" s="50" t="s">
        <v>1884</v>
      </c>
      <c r="C820" s="51" t="s">
        <v>1885</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4.5" spans="1:15">
      <c r="A821" s="33" t="s">
        <v>5505</v>
      </c>
      <c r="B821" s="50" t="s">
        <v>1884</v>
      </c>
      <c r="C821" s="51" t="s">
        <v>1885</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4.5" spans="1:15">
      <c r="A822" s="33" t="s">
        <v>5506</v>
      </c>
      <c r="B822" s="50" t="s">
        <v>1884</v>
      </c>
      <c r="C822" s="51" t="s">
        <v>1885</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4.5" spans="1:15">
      <c r="A823" s="33" t="s">
        <v>5507</v>
      </c>
      <c r="B823" s="50" t="s">
        <v>1884</v>
      </c>
      <c r="C823" s="51" t="s">
        <v>1885</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4.5" spans="1:15">
      <c r="A824" s="33" t="s">
        <v>5508</v>
      </c>
      <c r="B824" s="50" t="s">
        <v>1884</v>
      </c>
      <c r="C824" s="51" t="s">
        <v>1885</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4.5" spans="1:15">
      <c r="A825" s="33" t="s">
        <v>5509</v>
      </c>
      <c r="B825" s="50" t="s">
        <v>1884</v>
      </c>
      <c r="C825" s="51" t="s">
        <v>1885</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4.5" spans="1:15">
      <c r="A826" s="33" t="s">
        <v>5510</v>
      </c>
      <c r="B826" s="50" t="s">
        <v>1884</v>
      </c>
      <c r="C826" s="51" t="s">
        <v>1885</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4.5" spans="1:15">
      <c r="A827" s="33" t="s">
        <v>5511</v>
      </c>
      <c r="B827" s="50" t="s">
        <v>1884</v>
      </c>
      <c r="C827" s="51" t="s">
        <v>1885</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4.5" spans="1:15">
      <c r="A828" s="33" t="s">
        <v>5512</v>
      </c>
      <c r="B828" s="50" t="s">
        <v>1884</v>
      </c>
      <c r="C828" s="51" t="s">
        <v>1885</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4.5" spans="1:15">
      <c r="A829" s="33" t="s">
        <v>5513</v>
      </c>
      <c r="B829" s="50" t="s">
        <v>1884</v>
      </c>
      <c r="C829" s="51" t="s">
        <v>1885</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4.5" spans="1:15">
      <c r="A830" s="33" t="s">
        <v>5514</v>
      </c>
      <c r="B830" s="50" t="s">
        <v>1884</v>
      </c>
      <c r="C830" s="51" t="s">
        <v>1885</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4.5" spans="1:15">
      <c r="A831" s="33" t="s">
        <v>5515</v>
      </c>
      <c r="B831" s="50" t="s">
        <v>1884</v>
      </c>
      <c r="C831" s="51" t="s">
        <v>1885</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4.5" spans="1:15">
      <c r="A832" s="33" t="s">
        <v>5516</v>
      </c>
      <c r="B832" s="50" t="s">
        <v>1884</v>
      </c>
      <c r="C832" s="51" t="s">
        <v>1885</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4.5" spans="1:15">
      <c r="A833" s="33" t="s">
        <v>5517</v>
      </c>
      <c r="B833" s="50" t="s">
        <v>1884</v>
      </c>
      <c r="C833" s="51" t="s">
        <v>1885</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4.5" spans="1:15">
      <c r="A834" s="33" t="s">
        <v>5518</v>
      </c>
      <c r="B834" s="50" t="s">
        <v>1884</v>
      </c>
      <c r="C834" s="51" t="s">
        <v>1885</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4.5" spans="1:15">
      <c r="A835" s="33" t="s">
        <v>5519</v>
      </c>
      <c r="B835" s="50" t="s">
        <v>1884</v>
      </c>
      <c r="C835" s="51" t="s">
        <v>1885</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4.5" spans="1:15">
      <c r="A836" s="33" t="s">
        <v>3817</v>
      </c>
      <c r="B836" s="50" t="s">
        <v>1884</v>
      </c>
      <c r="C836" s="51" t="s">
        <v>1885</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4.5" spans="1:15">
      <c r="A837" s="33" t="s">
        <v>5520</v>
      </c>
      <c r="B837" s="50" t="s">
        <v>1884</v>
      </c>
      <c r="C837" s="51" t="s">
        <v>1885</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4.5" spans="1:15">
      <c r="A838" s="33" t="s">
        <v>5521</v>
      </c>
      <c r="B838" s="50" t="s">
        <v>1884</v>
      </c>
      <c r="C838" s="51" t="s">
        <v>1885</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5" spans="1:15">
      <c r="A839" s="52" t="s">
        <v>5522</v>
      </c>
      <c r="B839" s="50" t="s">
        <v>1884</v>
      </c>
      <c r="C839" s="51" t="s">
        <v>1885</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4.5" spans="1:15">
      <c r="A840" s="33" t="s">
        <v>5523</v>
      </c>
      <c r="B840" s="50" t="s">
        <v>1868</v>
      </c>
      <c r="C840" s="51" t="s">
        <v>1869</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4.5" spans="1:15">
      <c r="A841" s="33" t="s">
        <v>5524</v>
      </c>
      <c r="B841" s="50" t="s">
        <v>1868</v>
      </c>
      <c r="C841" s="51" t="s">
        <v>1869</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5" spans="1:15">
      <c r="A842" s="52" t="s">
        <v>5525</v>
      </c>
      <c r="B842" s="50" t="s">
        <v>1868</v>
      </c>
      <c r="C842" s="51" t="s">
        <v>1869</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4.5" spans="1:15">
      <c r="A843" s="33" t="s">
        <v>5526</v>
      </c>
      <c r="B843" s="50" t="s">
        <v>1868</v>
      </c>
      <c r="C843" s="51" t="s">
        <v>1869</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4.5" spans="1:15">
      <c r="A844" s="33" t="s">
        <v>5527</v>
      </c>
      <c r="B844" s="50" t="s">
        <v>1868</v>
      </c>
      <c r="C844" s="51" t="s">
        <v>1869</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4.5" spans="1:15">
      <c r="A845" s="33" t="s">
        <v>5528</v>
      </c>
      <c r="B845" s="50" t="s">
        <v>1868</v>
      </c>
      <c r="C845" s="51" t="s">
        <v>1869</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4.5" spans="1:15">
      <c r="A846" s="33" t="s">
        <v>5529</v>
      </c>
      <c r="B846" s="50" t="s">
        <v>1868</v>
      </c>
      <c r="C846" s="51" t="s">
        <v>1869</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4.5" spans="1:15">
      <c r="A847" s="33" t="s">
        <v>5530</v>
      </c>
      <c r="B847" s="50" t="s">
        <v>1868</v>
      </c>
      <c r="C847" s="51" t="s">
        <v>1869</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4.5" spans="1:15">
      <c r="A848" s="33" t="s">
        <v>5531</v>
      </c>
      <c r="B848" s="50" t="s">
        <v>1868</v>
      </c>
      <c r="C848" s="51" t="s">
        <v>1869</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4.5" spans="1:15">
      <c r="A849" s="33" t="s">
        <v>5532</v>
      </c>
      <c r="B849" s="50" t="s">
        <v>1868</v>
      </c>
      <c r="C849" s="51" t="s">
        <v>1869</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4.5" spans="1:15">
      <c r="A850" s="33" t="s">
        <v>4044</v>
      </c>
      <c r="B850" s="50" t="s">
        <v>1868</v>
      </c>
      <c r="C850" s="51" t="s">
        <v>1869</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4.5" spans="1:15">
      <c r="A851" s="33" t="s">
        <v>5533</v>
      </c>
      <c r="B851" s="50" t="s">
        <v>1868</v>
      </c>
      <c r="C851" s="51" t="s">
        <v>1869</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4.5" spans="1:15">
      <c r="A852" s="33" t="s">
        <v>5534</v>
      </c>
      <c r="B852" s="50" t="s">
        <v>1575</v>
      </c>
      <c r="C852" s="51" t="s">
        <v>1576</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4.5" spans="1:15">
      <c r="A853" s="33" t="s">
        <v>5535</v>
      </c>
      <c r="B853" s="50" t="s">
        <v>1575</v>
      </c>
      <c r="C853" s="51" t="s">
        <v>1576</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4.5" spans="1:15">
      <c r="A854" s="33" t="s">
        <v>5536</v>
      </c>
      <c r="B854" s="50" t="s">
        <v>1618</v>
      </c>
      <c r="C854" s="51" t="s">
        <v>1619</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4.5" spans="1:15">
      <c r="A855" s="33" t="s">
        <v>5537</v>
      </c>
      <c r="B855" s="50" t="s">
        <v>1618</v>
      </c>
      <c r="C855" s="51" t="s">
        <v>1619</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4.5" spans="1:15">
      <c r="A856" s="33" t="s">
        <v>5538</v>
      </c>
      <c r="B856" s="50" t="s">
        <v>1618</v>
      </c>
      <c r="C856" s="51" t="s">
        <v>1619</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4.5" spans="1:15">
      <c r="A857" s="33" t="s">
        <v>5539</v>
      </c>
      <c r="B857" s="50" t="s">
        <v>1618</v>
      </c>
      <c r="C857" s="51" t="s">
        <v>1619</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4.5" spans="1:15">
      <c r="A858" s="33" t="s">
        <v>5540</v>
      </c>
      <c r="B858" s="50" t="s">
        <v>1618</v>
      </c>
      <c r="C858" s="51" t="s">
        <v>1619</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4.5" spans="1:15">
      <c r="A859" s="33" t="s">
        <v>5541</v>
      </c>
      <c r="B859" s="50" t="s">
        <v>1618</v>
      </c>
      <c r="C859" s="51" t="s">
        <v>1619</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4.5" spans="1:15">
      <c r="A860" s="33" t="s">
        <v>5542</v>
      </c>
      <c r="B860" s="50" t="s">
        <v>1618</v>
      </c>
      <c r="C860" s="51" t="s">
        <v>1619</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4.5" spans="1:15">
      <c r="A861" s="33" t="s">
        <v>5543</v>
      </c>
      <c r="B861" s="50" t="s">
        <v>1618</v>
      </c>
      <c r="C861" s="51" t="s">
        <v>1619</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4.5" spans="1:15">
      <c r="A862" s="33" t="s">
        <v>3743</v>
      </c>
      <c r="B862" s="50" t="s">
        <v>1618</v>
      </c>
      <c r="C862" s="51" t="s">
        <v>1619</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4.5" spans="1:15">
      <c r="A863" s="33" t="s">
        <v>5544</v>
      </c>
      <c r="B863" s="50" t="s">
        <v>1651</v>
      </c>
      <c r="C863" s="51" t="s">
        <v>1652</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4.5" spans="1:15">
      <c r="A864" s="33" t="s">
        <v>5545</v>
      </c>
      <c r="B864" s="50" t="s">
        <v>1651</v>
      </c>
      <c r="C864" s="51" t="s">
        <v>1652</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4.5" spans="1:15">
      <c r="A865" s="33" t="s">
        <v>5546</v>
      </c>
      <c r="B865" s="50" t="s">
        <v>1651</v>
      </c>
      <c r="C865" s="51" t="s">
        <v>1652</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4.5" spans="1:15">
      <c r="A866" s="33" t="s">
        <v>5547</v>
      </c>
      <c r="B866" s="50" t="s">
        <v>1651</v>
      </c>
      <c r="C866" s="51" t="s">
        <v>1652</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4.5" spans="1:15">
      <c r="A867" s="33" t="s">
        <v>5548</v>
      </c>
      <c r="B867" s="50" t="s">
        <v>1651</v>
      </c>
      <c r="C867" s="51" t="s">
        <v>1652</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4.5" spans="1:15">
      <c r="A868" s="33" t="s">
        <v>5549</v>
      </c>
      <c r="B868" s="50" t="s">
        <v>1651</v>
      </c>
      <c r="C868" s="51" t="s">
        <v>1652</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4.5" spans="1:15">
      <c r="A869" s="33" t="s">
        <v>5550</v>
      </c>
      <c r="B869" s="50" t="s">
        <v>1651</v>
      </c>
      <c r="C869" s="51" t="s">
        <v>1652</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4.5" spans="1:15">
      <c r="A870" s="33" t="s">
        <v>5551</v>
      </c>
      <c r="B870" s="50" t="s">
        <v>1575</v>
      </c>
      <c r="C870" s="51" t="s">
        <v>1576</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4.5" spans="1:15">
      <c r="A871" s="33" t="s">
        <v>5552</v>
      </c>
      <c r="B871" s="50" t="s">
        <v>1575</v>
      </c>
      <c r="C871" s="51" t="s">
        <v>1576</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4.5" spans="1:15">
      <c r="A872" s="33" t="s">
        <v>5553</v>
      </c>
      <c r="B872" s="50" t="s">
        <v>1575</v>
      </c>
      <c r="C872" s="51" t="s">
        <v>1576</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4.5" spans="1:15">
      <c r="A873" s="33" t="s">
        <v>5554</v>
      </c>
      <c r="B873" s="50" t="s">
        <v>1575</v>
      </c>
      <c r="C873" s="51" t="s">
        <v>1576</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4.5" spans="1:15">
      <c r="A874" s="33" t="s">
        <v>5555</v>
      </c>
      <c r="B874" s="50" t="s">
        <v>1651</v>
      </c>
      <c r="C874" s="51" t="s">
        <v>1652</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4.5" spans="1:15">
      <c r="A875" s="33" t="s">
        <v>3757</v>
      </c>
      <c r="B875" s="50" t="s">
        <v>1651</v>
      </c>
      <c r="C875" s="51" t="s">
        <v>1652</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4.5" spans="1:15">
      <c r="A876" s="33" t="s">
        <v>5556</v>
      </c>
      <c r="B876" s="50" t="s">
        <v>1651</v>
      </c>
      <c r="C876" s="51" t="s">
        <v>1652</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4.5" spans="1:15">
      <c r="A877" s="33" t="s">
        <v>5557</v>
      </c>
      <c r="B877" s="50" t="s">
        <v>1651</v>
      </c>
      <c r="C877" s="51" t="s">
        <v>1652</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4.5" spans="1:15">
      <c r="A878" s="33" t="s">
        <v>5558</v>
      </c>
      <c r="B878" s="50" t="s">
        <v>1651</v>
      </c>
      <c r="C878" s="51" t="s">
        <v>1652</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5" spans="1:15">
      <c r="A879" s="52" t="s">
        <v>5559</v>
      </c>
      <c r="B879" s="50" t="s">
        <v>1651</v>
      </c>
      <c r="C879" s="51" t="s">
        <v>1652</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4.5" spans="1:15">
      <c r="A880" s="33" t="s">
        <v>5560</v>
      </c>
      <c r="B880" s="50" t="s">
        <v>1651</v>
      </c>
      <c r="C880" s="51" t="s">
        <v>1652</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4.5" spans="1:15">
      <c r="A881" s="33" t="s">
        <v>5561</v>
      </c>
      <c r="B881" s="50" t="s">
        <v>1651</v>
      </c>
      <c r="C881" s="51" t="s">
        <v>1652</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4.5" spans="1:15">
      <c r="A882" s="33" t="s">
        <v>5562</v>
      </c>
      <c r="B882" s="50" t="s">
        <v>1651</v>
      </c>
      <c r="C882" s="51" t="s">
        <v>1652</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4.5" spans="1:15">
      <c r="A883" s="33" t="s">
        <v>5563</v>
      </c>
      <c r="B883" s="50" t="s">
        <v>1651</v>
      </c>
      <c r="C883" s="51" t="s">
        <v>1652</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4.5" spans="1:15">
      <c r="A884" s="33" t="s">
        <v>5564</v>
      </c>
      <c r="B884" s="50" t="s">
        <v>1575</v>
      </c>
      <c r="C884" s="51" t="s">
        <v>1576</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4.5" spans="1:15">
      <c r="A885" s="33" t="s">
        <v>5565</v>
      </c>
      <c r="B885" s="50" t="s">
        <v>1575</v>
      </c>
      <c r="C885" s="51" t="s">
        <v>1576</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4.5" spans="1:15">
      <c r="A886" s="33" t="s">
        <v>5566</v>
      </c>
      <c r="B886" s="50" t="s">
        <v>1575</v>
      </c>
      <c r="C886" s="51" t="s">
        <v>1576</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4.5" spans="1:15">
      <c r="A887" s="33" t="s">
        <v>5567</v>
      </c>
      <c r="B887" s="50" t="s">
        <v>1575</v>
      </c>
      <c r="C887" s="51" t="s">
        <v>1576</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4.5" spans="1:15">
      <c r="A888" s="33" t="s">
        <v>5568</v>
      </c>
      <c r="B888" s="50" t="s">
        <v>1575</v>
      </c>
      <c r="C888" s="51" t="s">
        <v>1576</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4.5" spans="1:15">
      <c r="A889" s="33" t="s">
        <v>5569</v>
      </c>
      <c r="B889" s="50" t="s">
        <v>1575</v>
      </c>
      <c r="C889" s="51" t="s">
        <v>1576</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4.5" spans="1:15">
      <c r="A890" s="33" t="s">
        <v>3459</v>
      </c>
      <c r="B890" s="50" t="s">
        <v>1575</v>
      </c>
      <c r="C890" s="51" t="s">
        <v>1576</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4.5" spans="1:15">
      <c r="A891" s="33" t="s">
        <v>5570</v>
      </c>
      <c r="B891" s="50" t="s">
        <v>1575</v>
      </c>
      <c r="C891" s="51" t="s">
        <v>1576</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4.5" spans="1:15">
      <c r="A892" s="33" t="s">
        <v>5571</v>
      </c>
      <c r="B892" s="50" t="s">
        <v>1575</v>
      </c>
      <c r="C892" s="51" t="s">
        <v>1576</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4.5" spans="1:15">
      <c r="A893" s="33" t="s">
        <v>5572</v>
      </c>
      <c r="B893" s="50" t="s">
        <v>1575</v>
      </c>
      <c r="C893" s="51" t="s">
        <v>1576</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4.5" spans="1:15">
      <c r="A894" s="33" t="s">
        <v>5573</v>
      </c>
      <c r="B894" s="50" t="s">
        <v>1575</v>
      </c>
      <c r="C894" s="51" t="s">
        <v>1576</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4.5" spans="1:15">
      <c r="A895" s="33" t="s">
        <v>5574</v>
      </c>
      <c r="B895" s="50" t="s">
        <v>1575</v>
      </c>
      <c r="C895" s="51" t="s">
        <v>1576</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4.5" spans="1:15">
      <c r="A896" s="33" t="s">
        <v>5575</v>
      </c>
      <c r="B896" s="50" t="s">
        <v>1575</v>
      </c>
      <c r="C896" s="51" t="s">
        <v>1576</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4.5" spans="1:15">
      <c r="A897" s="33" t="s">
        <v>5576</v>
      </c>
      <c r="B897" s="50" t="s">
        <v>1674</v>
      </c>
      <c r="C897" s="51" t="s">
        <v>5272</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4.5" spans="1:15">
      <c r="A898" s="33" t="s">
        <v>5577</v>
      </c>
      <c r="B898" s="50" t="s">
        <v>1674</v>
      </c>
      <c r="C898" s="51" t="s">
        <v>5272</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4.5" spans="1:15">
      <c r="A899" s="33" t="s">
        <v>5578</v>
      </c>
      <c r="B899" s="50" t="s">
        <v>1674</v>
      </c>
      <c r="C899" s="51" t="s">
        <v>5272</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4.5" spans="1:15">
      <c r="A900" s="33" t="s">
        <v>5579</v>
      </c>
      <c r="B900" s="50" t="s">
        <v>1674</v>
      </c>
      <c r="C900" s="51" t="s">
        <v>5272</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4.5" spans="1:15">
      <c r="A901" s="33" t="s">
        <v>5580</v>
      </c>
      <c r="B901" s="50" t="s">
        <v>1674</v>
      </c>
      <c r="C901" s="51" t="s">
        <v>5272</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4.5" spans="1:15">
      <c r="A902" s="33" t="s">
        <v>5581</v>
      </c>
      <c r="B902" s="50" t="s">
        <v>1674</v>
      </c>
      <c r="C902" s="51" t="s">
        <v>5272</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4.5" spans="1:15">
      <c r="A903" s="33" t="s">
        <v>5582</v>
      </c>
      <c r="B903" s="50" t="s">
        <v>1674</v>
      </c>
      <c r="C903" s="51" t="s">
        <v>5272</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4.5" spans="1:15">
      <c r="A904" s="33" t="s">
        <v>5583</v>
      </c>
      <c r="B904" s="50" t="s">
        <v>1674</v>
      </c>
      <c r="C904" s="51" t="s">
        <v>5272</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4.5" spans="1:15">
      <c r="A905" s="33" t="s">
        <v>5584</v>
      </c>
      <c r="B905" s="50" t="s">
        <v>1674</v>
      </c>
      <c r="C905" s="51" t="s">
        <v>5272</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4.5" spans="1:15">
      <c r="A906" s="33" t="s">
        <v>5585</v>
      </c>
      <c r="B906" s="50" t="s">
        <v>1674</v>
      </c>
      <c r="C906" s="51" t="s">
        <v>5272</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4.5" spans="1:15">
      <c r="A907" s="33" t="s">
        <v>5586</v>
      </c>
      <c r="B907" s="50" t="s">
        <v>1674</v>
      </c>
      <c r="C907" s="51" t="s">
        <v>5272</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4.5" spans="1:15">
      <c r="A908" s="33" t="s">
        <v>5587</v>
      </c>
      <c r="B908" s="50" t="s">
        <v>1674</v>
      </c>
      <c r="C908" s="51" t="s">
        <v>5272</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4.5" spans="1:15">
      <c r="A909" s="33" t="s">
        <v>5588</v>
      </c>
      <c r="B909" s="50" t="s">
        <v>1674</v>
      </c>
      <c r="C909" s="51" t="s">
        <v>5272</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4.5" spans="1:15">
      <c r="A910" s="33" t="s">
        <v>5589</v>
      </c>
      <c r="B910" s="50" t="s">
        <v>1674</v>
      </c>
      <c r="C910" s="51" t="s">
        <v>5272</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4.5" spans="1:15">
      <c r="A911" s="33" t="s">
        <v>5590</v>
      </c>
      <c r="B911" s="50" t="s">
        <v>1674</v>
      </c>
      <c r="C911" s="51" t="s">
        <v>5272</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4.5" spans="1:15">
      <c r="A912" s="33" t="s">
        <v>5591</v>
      </c>
      <c r="B912" s="50" t="s">
        <v>1674</v>
      </c>
      <c r="C912" s="51" t="s">
        <v>5272</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5" spans="1:15">
      <c r="A913" s="52" t="s">
        <v>5592</v>
      </c>
      <c r="B913" s="50" t="s">
        <v>1674</v>
      </c>
      <c r="C913" s="51" t="s">
        <v>5272</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4.5" spans="1:15">
      <c r="A914" s="33" t="s">
        <v>5593</v>
      </c>
      <c r="B914" s="50" t="s">
        <v>1674</v>
      </c>
      <c r="C914" s="51" t="s">
        <v>5272</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4.5" spans="1:15">
      <c r="A915" s="33" t="s">
        <v>5594</v>
      </c>
      <c r="B915" s="50" t="s">
        <v>1575</v>
      </c>
      <c r="C915" s="51" t="s">
        <v>1576</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4.5" spans="1:15">
      <c r="A916" s="33" t="s">
        <v>5595</v>
      </c>
      <c r="B916" s="50" t="s">
        <v>1575</v>
      </c>
      <c r="C916" s="51" t="s">
        <v>1576</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4.5" spans="1:15">
      <c r="A917" s="33" t="s">
        <v>5596</v>
      </c>
      <c r="B917" s="50" t="s">
        <v>1575</v>
      </c>
      <c r="C917" s="51" t="s">
        <v>1576</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4.5" spans="1:15">
      <c r="A918" s="33" t="s">
        <v>5597</v>
      </c>
      <c r="B918" s="50" t="s">
        <v>1575</v>
      </c>
      <c r="C918" s="51" t="s">
        <v>1576</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4.5" spans="1:15">
      <c r="A919" s="33" t="s">
        <v>5598</v>
      </c>
      <c r="B919" s="50" t="s">
        <v>1575</v>
      </c>
      <c r="C919" s="51" t="s">
        <v>1576</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4.5" spans="1:15">
      <c r="A920" s="33" t="s">
        <v>5599</v>
      </c>
      <c r="B920" s="50" t="s">
        <v>1575</v>
      </c>
      <c r="C920" s="51" t="s">
        <v>1576</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4.5" spans="1:15">
      <c r="A921" s="33" t="s">
        <v>5600</v>
      </c>
      <c r="B921" s="50" t="s">
        <v>1575</v>
      </c>
      <c r="C921" s="51" t="s">
        <v>1576</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4.5" spans="1:15">
      <c r="A922" s="33" t="s">
        <v>5601</v>
      </c>
      <c r="B922" s="50" t="s">
        <v>1575</v>
      </c>
      <c r="C922" s="51" t="s">
        <v>1576</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4.5" spans="1:15">
      <c r="A923" s="33" t="s">
        <v>5602</v>
      </c>
      <c r="B923" s="50" t="s">
        <v>1575</v>
      </c>
      <c r="C923" s="51" t="s">
        <v>1576</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4.5" spans="1:15">
      <c r="A924" s="33" t="s">
        <v>5603</v>
      </c>
      <c r="B924" s="50" t="s">
        <v>1575</v>
      </c>
      <c r="C924" s="51" t="s">
        <v>1576</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4.5" spans="1:15">
      <c r="A925" s="33" t="s">
        <v>5604</v>
      </c>
      <c r="B925" s="50" t="s">
        <v>1575</v>
      </c>
      <c r="C925" s="51" t="s">
        <v>1576</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4.5" spans="1:15">
      <c r="A926" s="33" t="s">
        <v>5605</v>
      </c>
      <c r="B926" s="50" t="s">
        <v>1575</v>
      </c>
      <c r="C926" s="51" t="s">
        <v>1576</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4.5" spans="1:15">
      <c r="A927" s="33" t="s">
        <v>3649</v>
      </c>
      <c r="B927" s="50" t="s">
        <v>1575</v>
      </c>
      <c r="C927" s="51" t="s">
        <v>1576</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4.5" spans="1:15">
      <c r="A928" s="33" t="s">
        <v>3274</v>
      </c>
      <c r="B928" s="50" t="s">
        <v>1575</v>
      </c>
      <c r="C928" s="51" t="s">
        <v>1576</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4.5" spans="1:15">
      <c r="A929" s="33" t="s">
        <v>5606</v>
      </c>
      <c r="B929" s="50" t="s">
        <v>1575</v>
      </c>
      <c r="C929" s="51" t="s">
        <v>1576</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4.5" spans="1:15">
      <c r="A930" s="33" t="s">
        <v>5607</v>
      </c>
      <c r="B930" s="50" t="s">
        <v>1575</v>
      </c>
      <c r="C930" s="51" t="s">
        <v>1576</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4.5" spans="1:15">
      <c r="A931" s="33" t="s">
        <v>5608</v>
      </c>
      <c r="B931" s="50" t="s">
        <v>1575</v>
      </c>
      <c r="C931" s="51" t="s">
        <v>1576</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4.5" spans="1:15">
      <c r="A932" s="33" t="s">
        <v>5609</v>
      </c>
      <c r="B932" s="50" t="s">
        <v>1575</v>
      </c>
      <c r="C932" s="51" t="s">
        <v>1576</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5" spans="1:15">
      <c r="A933" s="35" t="s">
        <v>2822</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3" t="s">
        <v>5610</v>
      </c>
      <c r="C934" s="36" t="s">
        <v>4813</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5" spans="1:15">
      <c r="A935" s="35" t="s">
        <v>5611</v>
      </c>
      <c r="B935" s="47" t="s">
        <v>2083</v>
      </c>
      <c r="C935" s="48" t="s">
        <v>2084</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5" spans="1:15">
      <c r="A936" s="35" t="s">
        <v>5612</v>
      </c>
      <c r="B936" s="47" t="s">
        <v>2083</v>
      </c>
      <c r="C936" s="48" t="s">
        <v>2084</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5" spans="1:15">
      <c r="A937" s="35" t="s">
        <v>5613</v>
      </c>
      <c r="B937" s="47" t="s">
        <v>2083</v>
      </c>
      <c r="C937" s="48" t="s">
        <v>2084</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5" spans="1:15">
      <c r="A938" s="35" t="s">
        <v>5614</v>
      </c>
      <c r="B938" s="47" t="s">
        <v>2083</v>
      </c>
      <c r="C938" s="48" t="s">
        <v>2084</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5" spans="1:15">
      <c r="A939" s="35" t="s">
        <v>5615</v>
      </c>
      <c r="B939" s="47" t="s">
        <v>2083</v>
      </c>
      <c r="C939" s="48" t="s">
        <v>2084</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5" spans="1:15">
      <c r="A940" s="35" t="s">
        <v>5616</v>
      </c>
      <c r="B940" s="47" t="s">
        <v>2083</v>
      </c>
      <c r="C940" s="48" t="s">
        <v>2084</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5" spans="1:15">
      <c r="A941" s="35" t="s">
        <v>5617</v>
      </c>
      <c r="B941" s="47" t="s">
        <v>2083</v>
      </c>
      <c r="C941" s="48" t="s">
        <v>2084</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5" spans="1:15">
      <c r="A942" s="35" t="s">
        <v>5618</v>
      </c>
      <c r="B942" s="47" t="s">
        <v>2083</v>
      </c>
      <c r="C942" s="48" t="s">
        <v>2084</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5" spans="1:15">
      <c r="A943" s="35" t="s">
        <v>5619</v>
      </c>
      <c r="B943" s="47" t="s">
        <v>2083</v>
      </c>
      <c r="C943" s="48" t="s">
        <v>2084</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5" spans="1:15">
      <c r="A944" s="35" t="s">
        <v>5620</v>
      </c>
      <c r="B944" s="47" t="s">
        <v>2083</v>
      </c>
      <c r="C944" s="48" t="s">
        <v>2084</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5" spans="1:15">
      <c r="A945" s="35" t="s">
        <v>5621</v>
      </c>
      <c r="B945" s="47" t="s">
        <v>2083</v>
      </c>
      <c r="C945" s="48" t="s">
        <v>2084</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5" spans="1:15">
      <c r="A946" s="35" t="s">
        <v>5622</v>
      </c>
      <c r="B946" s="47" t="s">
        <v>2083</v>
      </c>
      <c r="C946" s="48" t="s">
        <v>2084</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5" spans="1:15">
      <c r="A947" s="35" t="s">
        <v>5623</v>
      </c>
      <c r="B947" s="47" t="s">
        <v>2083</v>
      </c>
      <c r="C947" s="48" t="s">
        <v>2084</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5" spans="1:15">
      <c r="A948" s="35" t="s">
        <v>5624</v>
      </c>
      <c r="B948" s="47" t="s">
        <v>2083</v>
      </c>
      <c r="C948" s="48" t="s">
        <v>2084</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5" spans="1:15">
      <c r="A949" s="35" t="s">
        <v>5625</v>
      </c>
      <c r="B949" s="47" t="s">
        <v>2083</v>
      </c>
      <c r="C949" s="48" t="s">
        <v>2084</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5" spans="1:15">
      <c r="A950" s="35" t="s">
        <v>5626</v>
      </c>
      <c r="B950" s="47" t="s">
        <v>2083</v>
      </c>
      <c r="C950" s="48" t="s">
        <v>2084</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5" spans="1:15">
      <c r="A951" s="35" t="s">
        <v>5627</v>
      </c>
      <c r="B951" s="47" t="s">
        <v>2083</v>
      </c>
      <c r="C951" s="48" t="s">
        <v>2084</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5" spans="1:15">
      <c r="A952" s="35" t="s">
        <v>5628</v>
      </c>
      <c r="B952" s="47" t="s">
        <v>2083</v>
      </c>
      <c r="C952" s="48" t="s">
        <v>2084</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3" t="s">
        <v>5629</v>
      </c>
      <c r="B1" s="43" t="s">
        <v>5630</v>
      </c>
      <c r="C1" s="44" t="s">
        <v>5631</v>
      </c>
      <c r="D1" s="44" t="s">
        <v>5632</v>
      </c>
      <c r="E1" s="44" t="s">
        <v>5633</v>
      </c>
      <c r="F1" s="44" t="s">
        <v>5634</v>
      </c>
      <c r="G1" s="43" t="s">
        <v>5635</v>
      </c>
      <c r="H1" s="43" t="s">
        <v>5636</v>
      </c>
      <c r="I1" s="1"/>
      <c r="J1" s="1"/>
      <c r="K1" s="1"/>
      <c r="L1" s="1"/>
      <c r="M1" s="1"/>
    </row>
    <row r="2" spans="1:8">
      <c r="A2" s="38" t="str">
        <f>'2 过程管理表单'!$BE$1</f>
        <v>2025年</v>
      </c>
      <c r="B2" s="43" t="s">
        <v>714</v>
      </c>
      <c r="C2" s="44">
        <f>'2 过程管理表单'!Z4</f>
        <v>11221.8805109489</v>
      </c>
      <c r="D2" s="44">
        <f>C2</f>
        <v>11221.8805109489</v>
      </c>
      <c r="E2" s="45">
        <f>'2 过程管理表单'!X4</f>
        <v>319874.191658</v>
      </c>
      <c r="F2" s="45">
        <f>E2</f>
        <v>319874.191658</v>
      </c>
      <c r="G2" s="46">
        <f>表1[[#This Row],[发生费用]]/表1[[#This Row],[预算费用]]</f>
        <v>0.035082169189026</v>
      </c>
      <c r="H2" s="46">
        <f>表1[[#This Row],[累计发生费用]]/表1[[#This Row],[累计预算费用]]</f>
        <v>0.035082169189026</v>
      </c>
    </row>
    <row r="3" spans="1:8">
      <c r="A3" s="38" t="str">
        <f>'2 过程管理表单'!$BE$1</f>
        <v>2025年</v>
      </c>
      <c r="B3" s="43" t="s">
        <v>715</v>
      </c>
      <c r="C3" s="44">
        <f>'2 过程管理表单'!AC4</f>
        <v>8412.96175182482</v>
      </c>
      <c r="D3" s="44">
        <f>D2+C3</f>
        <v>19634.8422627737</v>
      </c>
      <c r="E3" s="45">
        <f>'2 过程管理表单'!AA4</f>
        <v>230493.591658</v>
      </c>
      <c r="F3" s="45">
        <f>F2+E3</f>
        <v>550367.783316</v>
      </c>
      <c r="G3" s="46">
        <f>表1[[#This Row],[发生费用]]/表1[[#This Row],[预算费用]]</f>
        <v>0.0364997642290539</v>
      </c>
      <c r="H3" s="46">
        <f>表1[[#This Row],[累计发生费用]]/表1[[#This Row],[累计预算费用]]</f>
        <v>0.0356758568687879</v>
      </c>
    </row>
    <row r="4" spans="1:8">
      <c r="A4" s="38" t="str">
        <f>'2 过程管理表单'!$BE$1</f>
        <v>2025年</v>
      </c>
      <c r="B4" s="43" t="s">
        <v>716</v>
      </c>
      <c r="C4" s="44">
        <f>'2 过程管理表单'!AF4</f>
        <v>15404.4905109489</v>
      </c>
      <c r="D4" s="44">
        <f t="shared" ref="D4:D13" si="0">D3+C4</f>
        <v>35039.3327737226</v>
      </c>
      <c r="E4" s="45">
        <f>'2 过程管理表单'!AD4</f>
        <v>233343.591658</v>
      </c>
      <c r="F4" s="45">
        <f t="shared" ref="F4:F13" si="1">F3+E4</f>
        <v>783711.374974</v>
      </c>
      <c r="G4" s="46">
        <f>表1[[#This Row],[发生费用]]/表1[[#This Row],[预算费用]]</f>
        <v>0.0660163426880241</v>
      </c>
      <c r="H4" s="46">
        <f>表1[[#This Row],[累计发生费用]]/表1[[#This Row],[累计预算费用]]</f>
        <v>0.044709486033535</v>
      </c>
    </row>
    <row r="5" spans="1:8">
      <c r="A5" s="38" t="str">
        <f>'2 过程管理表单'!$BE$1</f>
        <v>2025年</v>
      </c>
      <c r="B5" s="43" t="s">
        <v>717</v>
      </c>
      <c r="C5" s="44">
        <f>'2 过程管理表单'!AI4</f>
        <v>10502.1975912409</v>
      </c>
      <c r="D5" s="44">
        <f t="shared" si="0"/>
        <v>45541.5303649635</v>
      </c>
      <c r="E5" s="45">
        <f>'2 过程管理表单'!AG4</f>
        <v>230493.591658</v>
      </c>
      <c r="F5" s="45">
        <f t="shared" si="1"/>
        <v>1014204.966632</v>
      </c>
      <c r="G5" s="46">
        <f>表1[[#This Row],[发生费用]]/表1[[#This Row],[预算费用]]</f>
        <v>0.0455639461196985</v>
      </c>
      <c r="H5" s="46">
        <f>表1[[#This Row],[累计发生费用]]/表1[[#This Row],[累计预算费用]]</f>
        <v>0.0449036751576943</v>
      </c>
    </row>
    <row r="6" spans="1:8">
      <c r="A6" s="38" t="str">
        <f>'2 过程管理表单'!$BE$1</f>
        <v>2025年</v>
      </c>
      <c r="B6" s="43" t="s">
        <v>718</v>
      </c>
      <c r="C6" s="44">
        <f>'2 过程管理表单'!AL4</f>
        <v>10290.3505109489</v>
      </c>
      <c r="D6" s="44">
        <f t="shared" si="0"/>
        <v>55831.8808759124</v>
      </c>
      <c r="E6" s="45">
        <f>'2 过程管理表单'!AJ4</f>
        <v>236843.591658</v>
      </c>
      <c r="F6" s="45">
        <f t="shared" si="1"/>
        <v>1251048.55829</v>
      </c>
      <c r="G6" s="46">
        <f>表1[[#This Row],[发生费用]]/表1[[#This Row],[预算费用]]</f>
        <v>0.0434478739277357</v>
      </c>
      <c r="H6" s="46">
        <f>表1[[#This Row],[累计发生费用]]/表1[[#This Row],[累计预算费用]]</f>
        <v>0.0446280685956958</v>
      </c>
    </row>
    <row r="7" spans="1:8">
      <c r="A7" s="38" t="str">
        <f>'2 过程管理表单'!$BE$1</f>
        <v>2025年</v>
      </c>
      <c r="B7" s="43" t="s">
        <v>719</v>
      </c>
      <c r="C7" s="44">
        <f>'2 过程管理表单'!AO4</f>
        <v>15191.7697830217</v>
      </c>
      <c r="D7" s="44">
        <f t="shared" si="0"/>
        <v>71023.6506589341</v>
      </c>
      <c r="E7" s="45">
        <f>'2 过程管理表单'!AM4</f>
        <v>229893.591658</v>
      </c>
      <c r="F7" s="45">
        <f t="shared" si="1"/>
        <v>1480942.149948</v>
      </c>
      <c r="G7" s="46">
        <f>表1[[#This Row],[发生费用]]/表1[[#This Row],[预算费用]]</f>
        <v>0.0660817453564415</v>
      </c>
      <c r="H7" s="46">
        <f>表1[[#This Row],[累计发生费用]]/表1[[#This Row],[累计预算费用]]</f>
        <v>0.0479584234005548</v>
      </c>
    </row>
    <row r="8" spans="1:8">
      <c r="A8" s="38" t="str">
        <f>'2 过程管理表单'!$BE$1</f>
        <v>2025年</v>
      </c>
      <c r="B8" s="43" t="s">
        <v>720</v>
      </c>
      <c r="C8" s="44">
        <f>'2 过程管理表单'!AR4</f>
        <v>9314.43544245576</v>
      </c>
      <c r="D8" s="44">
        <f t="shared" si="0"/>
        <v>80338.0861013899</v>
      </c>
      <c r="E8" s="45">
        <f>'2 过程管理表单'!AP4</f>
        <v>229193.591658</v>
      </c>
      <c r="F8" s="45">
        <f t="shared" si="1"/>
        <v>1710135.741606</v>
      </c>
      <c r="G8" s="46">
        <f>表1[[#This Row],[发生费用]]/表1[[#This Row],[预算费用]]</f>
        <v>0.0406400343703966</v>
      </c>
      <c r="H8" s="46">
        <f>表1[[#This Row],[累计发生费用]]/表1[[#This Row],[累计预算费用]]</f>
        <v>0.0469776077692779</v>
      </c>
    </row>
    <row r="9" spans="1:8">
      <c r="A9" s="38" t="str">
        <f>'2 过程管理表单'!$BE$1</f>
        <v>2025年</v>
      </c>
      <c r="B9" s="43" t="s">
        <v>721</v>
      </c>
      <c r="C9" s="44">
        <f>'2 过程管理表单'!AU4</f>
        <v>3667.47544245576</v>
      </c>
      <c r="D9" s="44">
        <f t="shared" si="0"/>
        <v>84005.5615438457</v>
      </c>
      <c r="E9" s="45">
        <f>'2 过程管理表单'!AS4</f>
        <v>233343.591658</v>
      </c>
      <c r="F9" s="45">
        <f t="shared" si="1"/>
        <v>1943479.333264</v>
      </c>
      <c r="G9" s="46">
        <f>表1[[#This Row],[发生费用]]/表1[[#This Row],[预算费用]]</f>
        <v>0.0157170609074664</v>
      </c>
      <c r="H9" s="46">
        <f>表1[[#This Row],[累计发生费用]]/表1[[#This Row],[累计预算费用]]</f>
        <v>0.04322431430375</v>
      </c>
    </row>
    <row r="10" spans="1:8">
      <c r="A10" s="38" t="str">
        <f>'2 过程管理表单'!$BE$1</f>
        <v>2025年</v>
      </c>
      <c r="B10" s="43" t="s">
        <v>722</v>
      </c>
      <c r="C10" s="44">
        <f>'2 过程管理表单'!AX4</f>
        <v>3549.1697830217</v>
      </c>
      <c r="D10" s="44">
        <f t="shared" si="0"/>
        <v>87554.7313268674</v>
      </c>
      <c r="E10" s="45">
        <f>'2 过程管理表单'!AV4</f>
        <v>234993.591658</v>
      </c>
      <c r="F10" s="45">
        <f t="shared" si="1"/>
        <v>2178472.924922</v>
      </c>
      <c r="G10" s="46">
        <f>表1[[#This Row],[发生费用]]/表1[[#This Row],[预算费用]]</f>
        <v>0.0151032619995315</v>
      </c>
      <c r="H10" s="46">
        <f>表1[[#This Row],[累计发生费用]]/表1[[#This Row],[累计预算费用]]</f>
        <v>0.0401908742244305</v>
      </c>
    </row>
    <row r="11" spans="1:8">
      <c r="A11" s="38" t="str">
        <f>'2 过程管理表单'!$BE$1</f>
        <v>2025年</v>
      </c>
      <c r="B11" s="43" t="s">
        <v>723</v>
      </c>
      <c r="C11" s="44">
        <f>'2 过程管理表单'!BA4</f>
        <v>3667.47544245576</v>
      </c>
      <c r="D11" s="44">
        <f t="shared" si="0"/>
        <v>91222.2067693231</v>
      </c>
      <c r="E11" s="45">
        <f>'2 过程管理表单'!AY4</f>
        <v>233343.591658</v>
      </c>
      <c r="F11" s="45">
        <f t="shared" si="1"/>
        <v>2411816.51658</v>
      </c>
      <c r="G11" s="46">
        <f>表1[[#This Row],[发生费用]]/表1[[#This Row],[预算费用]]</f>
        <v>0.0157170609074664</v>
      </c>
      <c r="H11" s="46">
        <f>表1[[#This Row],[累计发生费用]]/表1[[#This Row],[累计预算费用]]</f>
        <v>0.0378230292985463</v>
      </c>
    </row>
    <row r="12" spans="1:8">
      <c r="A12" s="38" t="str">
        <f>'2 过程管理表单'!$BE$1</f>
        <v>2025年</v>
      </c>
      <c r="B12" s="43" t="s">
        <v>724</v>
      </c>
      <c r="C12" s="44">
        <f>'2 过程管理表单'!BD4</f>
        <v>3549.1697830217</v>
      </c>
      <c r="D12" s="44">
        <f t="shared" si="0"/>
        <v>94771.3765523448</v>
      </c>
      <c r="E12" s="45">
        <f>'2 过程管理表单'!BB4</f>
        <v>229193.591658</v>
      </c>
      <c r="F12" s="45">
        <f t="shared" si="1"/>
        <v>2641010.108238</v>
      </c>
      <c r="G12" s="46">
        <f>表1[[#This Row],[发生费用]]/表1[[#This Row],[预算费用]]</f>
        <v>0.0154854669249118</v>
      </c>
      <c r="H12" s="46">
        <f>表1[[#This Row],[累计发生费用]]/表1[[#This Row],[累计预算费用]]</f>
        <v>0.0358845186759142</v>
      </c>
    </row>
    <row r="13" spans="1:8">
      <c r="A13" s="38" t="str">
        <f>'2 过程管理表单'!$BE$1</f>
        <v>2025年</v>
      </c>
      <c r="B13" s="43" t="s">
        <v>725</v>
      </c>
      <c r="C13" s="44">
        <f>'2 过程管理表单'!BG4</f>
        <v>3667.47544245576</v>
      </c>
      <c r="D13" s="44">
        <f t="shared" si="0"/>
        <v>98438.8519948006</v>
      </c>
      <c r="E13" s="45">
        <f>'2 过程管理表单'!BE4</f>
        <v>229193.591658</v>
      </c>
      <c r="F13" s="45">
        <f t="shared" si="1"/>
        <v>2870203.699896</v>
      </c>
      <c r="G13" s="46">
        <f>表1[[#This Row],[发生费用]]/表1[[#This Row],[预算费用]]</f>
        <v>0.0160016491557422</v>
      </c>
      <c r="H13" s="46">
        <f>表1[[#This Row],[累计发生费用]]/表1[[#This Row],[累计预算费用]]</f>
        <v>0.0342968173298527</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M34" sqref="M34"/>
    </sheetView>
  </sheetViews>
  <sheetFormatPr defaultColWidth="9" defaultRowHeight="14"/>
  <cols>
    <col min="1" max="1" width="14.3727272727273" customWidth="1"/>
    <col min="2" max="2" width="23.5" customWidth="1"/>
    <col min="3" max="14" width="12.6272727272727"/>
  </cols>
  <sheetData>
    <row r="1" spans="1:14">
      <c r="A1" s="11" t="s">
        <v>5637</v>
      </c>
      <c r="B1" s="20" t="s">
        <v>5638</v>
      </c>
      <c r="C1" s="1" t="s">
        <v>714</v>
      </c>
      <c r="D1" s="1" t="s">
        <v>715</v>
      </c>
      <c r="E1" s="1" t="s">
        <v>716</v>
      </c>
      <c r="F1" s="1" t="s">
        <v>717</v>
      </c>
      <c r="G1" s="1" t="s">
        <v>718</v>
      </c>
      <c r="H1" s="1" t="s">
        <v>719</v>
      </c>
      <c r="I1" s="1" t="s">
        <v>720</v>
      </c>
      <c r="J1" s="1" t="s">
        <v>721</v>
      </c>
      <c r="K1" s="1" t="s">
        <v>722</v>
      </c>
      <c r="L1" s="1" t="s">
        <v>723</v>
      </c>
      <c r="M1" s="1" t="s">
        <v>724</v>
      </c>
      <c r="N1" s="1" t="s">
        <v>725</v>
      </c>
    </row>
    <row r="2" hidden="1" spans="1:14">
      <c r="A2" s="6" t="s">
        <v>214</v>
      </c>
      <c r="B2" s="20" t="s">
        <v>5639</v>
      </c>
      <c r="C2">
        <f>'2 过程管理表单'!Z5</f>
        <v>9314.35051094891</v>
      </c>
      <c r="D2">
        <f>'2 过程管理表单'!AC5</f>
        <v>8412.96175182482</v>
      </c>
      <c r="E2">
        <f>'2 过程管理表单'!AF5</f>
        <v>9314.35051094891</v>
      </c>
      <c r="F2">
        <f>'2 过程管理表单'!AI5</f>
        <v>9013.88759124088</v>
      </c>
      <c r="G2">
        <f>'2 过程管理表单'!AL5</f>
        <v>9314.35051094891</v>
      </c>
      <c r="H2">
        <f>'2 过程管理表单'!AO5</f>
        <v>9013.9697830217</v>
      </c>
      <c r="I2">
        <f>'2 过程管理表单'!AR5</f>
        <v>9314.43544245576</v>
      </c>
      <c r="J2">
        <f>'2 过程管理表单'!AU5</f>
        <v>3667.47544245576</v>
      </c>
      <c r="K2">
        <f>'2 过程管理表单'!AX5</f>
        <v>3549.1697830217</v>
      </c>
      <c r="L2">
        <f>'2 过程管理表单'!BA5</f>
        <v>3667.47544245576</v>
      </c>
      <c r="M2">
        <f>'2 过程管理表单'!BD5</f>
        <v>3549.1697830217</v>
      </c>
      <c r="N2">
        <f>'2 过程管理表单'!BG4</f>
        <v>3667.47544245576</v>
      </c>
    </row>
    <row r="3" hidden="1" spans="1:14">
      <c r="A3" s="6" t="s">
        <v>214</v>
      </c>
      <c r="B3" s="20" t="s">
        <v>5640</v>
      </c>
      <c r="C3">
        <f t="shared" ref="C3:C7" si="0">C2</f>
        <v>9314.35051094891</v>
      </c>
      <c r="D3">
        <f t="shared" ref="D3:N3" si="1">C3+D2</f>
        <v>17727.3122627737</v>
      </c>
      <c r="E3">
        <f t="shared" si="1"/>
        <v>27041.6627737226</v>
      </c>
      <c r="F3">
        <f t="shared" si="1"/>
        <v>36055.5503649635</v>
      </c>
      <c r="G3">
        <f t="shared" si="1"/>
        <v>45369.9008759124</v>
      </c>
      <c r="H3">
        <f t="shared" si="1"/>
        <v>54383.8706589341</v>
      </c>
      <c r="I3">
        <f t="shared" si="1"/>
        <v>63698.3061013899</v>
      </c>
      <c r="J3">
        <f t="shared" si="1"/>
        <v>67365.7815438456</v>
      </c>
      <c r="K3">
        <f t="shared" si="1"/>
        <v>70914.9513268673</v>
      </c>
      <c r="L3">
        <f t="shared" si="1"/>
        <v>74582.4267693231</v>
      </c>
      <c r="M3">
        <f t="shared" si="1"/>
        <v>78131.5965523448</v>
      </c>
      <c r="N3">
        <f t="shared" si="1"/>
        <v>81799.0719948006</v>
      </c>
    </row>
    <row r="4" hidden="1" spans="1:14">
      <c r="A4" s="6" t="s">
        <v>214</v>
      </c>
      <c r="B4" s="20" t="s">
        <v>5641</v>
      </c>
      <c r="C4">
        <f>'2 过程管理表单'!X5-'2 过程管理表单'!X8-'2 过程管理表单'!X27-'2 过程管理表单'!X46-'2 过程管理表单'!X71-'2 过程管理表单'!X96-'2 过程管理表单'!X115-'2 过程管理表单'!X140-'2 过程管理表单'!X159</f>
        <v>18867.92416</v>
      </c>
      <c r="D4">
        <f>'2 过程管理表单'!AA5-'2 过程管理表单'!AA8-'2 过程管理表单'!AA27-'2 过程管理表单'!AA46-'2 过程管理表单'!AA71-'2 过程管理表单'!AA96-'2 过程管理表单'!AA115-'2 过程管理表单'!AA140-'2 过程管理表单'!AA159</f>
        <v>18867.92416</v>
      </c>
      <c r="E4">
        <f>'2 过程管理表单'!AD5-'2 过程管理表单'!AD8-'2 过程管理表单'!AD27-'2 过程管理表单'!AD46-'2 过程管理表单'!AD71-'2 过程管理表单'!AD96-'2 过程管理表单'!AD115-'2 过程管理表单'!AD140-'2 过程管理表单'!AD159</f>
        <v>18867.92416</v>
      </c>
      <c r="F4">
        <f>'2 过程管理表单'!AG5-'2 过程管理表单'!AG8-'2 过程管理表单'!AG27-'2 过程管理表单'!AG46-'2 过程管理表单'!AG71-'2 过程管理表单'!AG96-'2 过程管理表单'!AG115-'2 过程管理表单'!AG140-'2 过程管理表单'!AG159</f>
        <v>18867.92416</v>
      </c>
      <c r="G4">
        <f>'2 过程管理表单'!AJ5-'2 过程管理表单'!AJ8-'2 过程管理表单'!AJ27-'2 过程管理表单'!AJ46-'2 过程管理表单'!AJ71-'2 过程管理表单'!AJ96-'2 过程管理表单'!AJ115-'2 过程管理表单'!AJ140-'2 过程管理表单'!AJ159</f>
        <v>18867.92416</v>
      </c>
      <c r="H4">
        <f>'2 过程管理表单'!AM5-'2 过程管理表单'!AM8-'2 过程管理表单'!AM27-'2 过程管理表单'!AM46-'2 过程管理表单'!AM71-'2 过程管理表单'!AM96-'2 过程管理表单'!AM115-'2 过程管理表单'!AM140-'2 过程管理表单'!AM159</f>
        <v>18867.92416</v>
      </c>
      <c r="I4">
        <f>'2 过程管理表单'!AP5-'2 过程管理表单'!AP8-'2 过程管理表单'!AP27-'2 过程管理表单'!AP46-'2 过程管理表单'!AP71-'2 过程管理表单'!AP96-'2 过程管理表单'!AP115-'2 过程管理表单'!AP140-'2 过程管理表单'!AP159</f>
        <v>18867.92416</v>
      </c>
      <c r="J4">
        <f>'2 过程管理表单'!AS5-'2 过程管理表单'!AS8-'2 过程管理表单'!AS27-'2 过程管理表单'!AS46-'2 过程管理表单'!AS71-'2 过程管理表单'!AS96-'2 过程管理表单'!AS115-'2 过程管理表单'!AS140-'2 过程管理表单'!AS159</f>
        <v>18867.92416</v>
      </c>
      <c r="K4">
        <f>'2 过程管理表单'!AV5-'2 过程管理表单'!AV8-'2 过程管理表单'!AV27-'2 过程管理表单'!AV46-'2 过程管理表单'!AV71-'2 过程管理表单'!AV96-'2 过程管理表单'!AV115-'2 过程管理表单'!AV140-'2 过程管理表单'!AV159</f>
        <v>18867.92416</v>
      </c>
      <c r="L4">
        <f>'2 过程管理表单'!AY5-'2 过程管理表单'!AY8-'2 过程管理表单'!AY27-'2 过程管理表单'!AY46-'2 过程管理表单'!AY71-'2 过程管理表单'!AY96-'2 过程管理表单'!AY115-'2 过程管理表单'!AY140-'2 过程管理表单'!AY159</f>
        <v>18867.92416</v>
      </c>
      <c r="M4">
        <f>'2 过程管理表单'!BB5-'2 过程管理表单'!BB8-'2 过程管理表单'!BB27-'2 过程管理表单'!BB46-'2 过程管理表单'!BB71-'2 过程管理表单'!BB96-'2 过程管理表单'!BB115-'2 过程管理表单'!BB140-'2 过程管理表单'!BB159</f>
        <v>18867.92416</v>
      </c>
      <c r="N4">
        <f>'2 过程管理表单'!BE5-'2 过程管理表单'!BE8-'2 过程管理表单'!BE27-'2 过程管理表单'!BE46-'2 过程管理表单'!BE71-'2 过程管理表单'!BE96-'2 过程管理表单'!BE115-'2 过程管理表单'!BE140-'2 过程管理表单'!BE159</f>
        <v>18867.92416</v>
      </c>
    </row>
    <row r="5" hidden="1" spans="1:14">
      <c r="A5" s="6" t="s">
        <v>214</v>
      </c>
      <c r="B5" s="20" t="s">
        <v>5642</v>
      </c>
      <c r="C5">
        <f t="shared" si="0"/>
        <v>18867.92416</v>
      </c>
      <c r="D5">
        <f t="shared" ref="D5:N5" si="2">C5+D4</f>
        <v>37735.84832</v>
      </c>
      <c r="E5">
        <f t="shared" si="2"/>
        <v>56603.77248</v>
      </c>
      <c r="F5">
        <f t="shared" si="2"/>
        <v>75471.69664</v>
      </c>
      <c r="G5">
        <f t="shared" si="2"/>
        <v>94339.6208</v>
      </c>
      <c r="H5">
        <f t="shared" si="2"/>
        <v>113207.54496</v>
      </c>
      <c r="I5">
        <f t="shared" si="2"/>
        <v>132075.46912</v>
      </c>
      <c r="J5">
        <f t="shared" si="2"/>
        <v>150943.39328</v>
      </c>
      <c r="K5">
        <f t="shared" si="2"/>
        <v>169811.31744</v>
      </c>
      <c r="L5">
        <f t="shared" si="2"/>
        <v>188679.2416</v>
      </c>
      <c r="M5">
        <f t="shared" si="2"/>
        <v>207547.16576</v>
      </c>
      <c r="N5">
        <f t="shared" si="2"/>
        <v>226415.08992</v>
      </c>
    </row>
    <row r="6" hidden="1" spans="1:14">
      <c r="A6" s="6" t="s">
        <v>9</v>
      </c>
      <c r="B6" s="37" t="s">
        <v>5643</v>
      </c>
      <c r="C6">
        <f>'2 过程管理表单'!Z508</f>
        <v>1769.53</v>
      </c>
      <c r="D6">
        <f>'2 过程管理表单'!AC508</f>
        <v>0</v>
      </c>
      <c r="E6">
        <f>'2 过程管理表单'!AF508</f>
        <v>1238.54</v>
      </c>
      <c r="F6">
        <f>'2 过程管理表单'!AI508</f>
        <v>1488.31</v>
      </c>
      <c r="G6">
        <f>'2 过程管理表单'!AL508</f>
        <v>838</v>
      </c>
      <c r="H6">
        <f>'2 过程管理表单'!AO508</f>
        <v>1466.2</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7" t="s">
        <v>5644</v>
      </c>
      <c r="C7">
        <f t="shared" si="0"/>
        <v>1769.53</v>
      </c>
      <c r="D7">
        <f t="shared" ref="D7:N7" si="3">C7+D6</f>
        <v>1769.53</v>
      </c>
      <c r="E7">
        <f t="shared" si="3"/>
        <v>3008.07</v>
      </c>
      <c r="F7">
        <f t="shared" si="3"/>
        <v>4496.38</v>
      </c>
      <c r="G7">
        <f t="shared" si="3"/>
        <v>5334.38</v>
      </c>
      <c r="H7">
        <f t="shared" si="3"/>
        <v>6800.58</v>
      </c>
      <c r="I7">
        <f t="shared" si="3"/>
        <v>6800.58</v>
      </c>
      <c r="J7">
        <f t="shared" si="3"/>
        <v>6800.58</v>
      </c>
      <c r="K7">
        <f t="shared" si="3"/>
        <v>6800.58</v>
      </c>
      <c r="L7">
        <f t="shared" si="3"/>
        <v>6800.58</v>
      </c>
      <c r="M7">
        <f t="shared" si="3"/>
        <v>6800.58</v>
      </c>
      <c r="N7">
        <f t="shared" si="3"/>
        <v>6800.58</v>
      </c>
    </row>
    <row r="8" hidden="1" spans="1:14">
      <c r="A8" s="6" t="s">
        <v>9</v>
      </c>
      <c r="B8" s="20" t="s">
        <v>5645</v>
      </c>
      <c r="C8">
        <f>'2 过程管理表单'!X508</f>
        <v>43164.6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5646</v>
      </c>
      <c r="C9">
        <f t="shared" ref="C9:C13" si="4">C8</f>
        <v>43164.6</v>
      </c>
      <c r="D9">
        <f t="shared" ref="D9:N9" si="5">C9+D8</f>
        <v>43164.6</v>
      </c>
      <c r="E9">
        <f t="shared" si="5"/>
        <v>43164.6</v>
      </c>
      <c r="F9">
        <f t="shared" si="5"/>
        <v>43164.6</v>
      </c>
      <c r="G9">
        <f t="shared" si="5"/>
        <v>43164.6</v>
      </c>
      <c r="H9">
        <f t="shared" si="5"/>
        <v>43164.6</v>
      </c>
      <c r="I9">
        <f t="shared" si="5"/>
        <v>43164.6</v>
      </c>
      <c r="J9">
        <f t="shared" si="5"/>
        <v>43164.6</v>
      </c>
      <c r="K9">
        <f t="shared" si="5"/>
        <v>43164.6</v>
      </c>
      <c r="L9">
        <f t="shared" si="5"/>
        <v>43164.6</v>
      </c>
      <c r="M9">
        <f t="shared" si="5"/>
        <v>43164.6</v>
      </c>
      <c r="N9">
        <f t="shared" si="5"/>
        <v>43164.6</v>
      </c>
    </row>
    <row r="10" spans="1:14">
      <c r="A10" s="6" t="s">
        <v>64</v>
      </c>
      <c r="B10" s="20" t="s">
        <v>5647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5648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5649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5650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5651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5652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5653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5654</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8" t="s">
        <v>216</v>
      </c>
      <c r="B18" s="20" t="s">
        <v>5655</v>
      </c>
      <c r="C18">
        <f>'2 过程管理表单'!Z603</f>
        <v>0</v>
      </c>
      <c r="D18">
        <f>'2 过程管理表单'!AC603</f>
        <v>0</v>
      </c>
      <c r="E18">
        <f>'2 过程管理表单'!AF603</f>
        <v>4711.6</v>
      </c>
      <c r="F18">
        <f>'2 过程管理表单'!AI603</f>
        <v>0</v>
      </c>
      <c r="G18">
        <f>'2 过程管理表单'!AL603</f>
        <v>0</v>
      </c>
      <c r="H18">
        <f>'2 过程管理表单'!AO603</f>
        <v>4711.6</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5656</v>
      </c>
      <c r="C19">
        <f t="shared" si="8"/>
        <v>0</v>
      </c>
      <c r="D19">
        <f>表3_37[[#This Row],[1月]]+D18</f>
        <v>0</v>
      </c>
      <c r="E19">
        <f>表3_37[[#This Row],[2月]]+E18</f>
        <v>4711.6</v>
      </c>
      <c r="F19">
        <f>表3_37[[#This Row],[3月]]+F18</f>
        <v>4711.6</v>
      </c>
      <c r="G19">
        <f>表3_37[[#This Row],[4月]]+G18</f>
        <v>4711.6</v>
      </c>
      <c r="H19">
        <f>表3_37[[#This Row],[5月]]+H18</f>
        <v>9423.2</v>
      </c>
      <c r="I19">
        <f>表3_37[[#This Row],[6月]]+I18</f>
        <v>9423.2</v>
      </c>
      <c r="J19">
        <f>表3_37[[#This Row],[7月]]+J18</f>
        <v>9423.2</v>
      </c>
      <c r="K19">
        <f>表3_37[[#This Row],[8月]]+K18</f>
        <v>9423.2</v>
      </c>
      <c r="L19">
        <f>表3_37[[#This Row],[9月]]+L18</f>
        <v>9423.2</v>
      </c>
      <c r="M19">
        <f>表3_37[[#This Row],[10月]]+M18</f>
        <v>9423.2</v>
      </c>
      <c r="N19">
        <f>表3_37[[#This Row],[11月]]+N18</f>
        <v>9423.2</v>
      </c>
    </row>
    <row r="20" hidden="1" spans="1:14">
      <c r="A20" s="6" t="s">
        <v>216</v>
      </c>
      <c r="B20" s="20" t="s">
        <v>5657</v>
      </c>
      <c r="C20">
        <f>'2 过程管理表单'!X603</f>
        <v>44806.6675</v>
      </c>
      <c r="D20">
        <f>'2 过程管理表单'!AA603</f>
        <v>8806.6675</v>
      </c>
      <c r="E20">
        <f>'2 过程管理表单'!AD603</f>
        <v>8806.6675</v>
      </c>
      <c r="F20">
        <f>'2 过程管理表单'!AG603</f>
        <v>8806.6675</v>
      </c>
      <c r="G20">
        <f>'2 过程管理表单'!AJ603</f>
        <v>8806.6675</v>
      </c>
      <c r="H20">
        <f>'2 过程管理表单'!AM603</f>
        <v>8806.6675</v>
      </c>
      <c r="I20">
        <f>'2 过程管理表单'!AP603</f>
        <v>8806.6675</v>
      </c>
      <c r="J20">
        <f>'2 过程管理表单'!AS603</f>
        <v>8806.6675</v>
      </c>
      <c r="K20">
        <f>'2 过程管理表单'!AV603</f>
        <v>8806.6675</v>
      </c>
      <c r="L20">
        <f>'2 过程管理表单'!AY603</f>
        <v>8806.6675</v>
      </c>
      <c r="M20">
        <f>'2 过程管理表单'!BB603</f>
        <v>8806.6675</v>
      </c>
      <c r="N20">
        <f>'2 过程管理表单'!BE603</f>
        <v>8806.6675</v>
      </c>
    </row>
    <row r="21" hidden="1" spans="1:14">
      <c r="A21" s="6" t="s">
        <v>216</v>
      </c>
      <c r="B21" s="20" t="s">
        <v>5658</v>
      </c>
      <c r="C21">
        <f t="shared" ref="C21:C25" si="10">C20</f>
        <v>44806.6675</v>
      </c>
      <c r="D21">
        <f>表3_37[[#This Row],[1月]]+D20</f>
        <v>53613.335</v>
      </c>
      <c r="E21">
        <f>表3_37[[#This Row],[2月]]+E20</f>
        <v>62420.0025</v>
      </c>
      <c r="F21">
        <f>表3_37[[#This Row],[3月]]+F20</f>
        <v>71226.67</v>
      </c>
      <c r="G21">
        <f>表3_37[[#This Row],[4月]]+G20</f>
        <v>80033.3375</v>
      </c>
      <c r="H21">
        <f>表3_37[[#This Row],[5月]]+H20</f>
        <v>88840.005</v>
      </c>
      <c r="I21">
        <f>表3_37[[#This Row],[6月]]+I20</f>
        <v>97646.6725</v>
      </c>
      <c r="J21">
        <f>表3_37[[#This Row],[7月]]+J20</f>
        <v>106453.34</v>
      </c>
      <c r="K21">
        <f>表3_37[[#This Row],[8月]]+K20</f>
        <v>115260.0075</v>
      </c>
      <c r="L21">
        <f>表3_37[[#This Row],[9月]]+L20</f>
        <v>124066.675</v>
      </c>
      <c r="M21">
        <f>表3_37[[#This Row],[10月]]+M20</f>
        <v>132873.3425</v>
      </c>
      <c r="N21">
        <f>表3_37[[#This Row],[11月]]+N20</f>
        <v>141680.01</v>
      </c>
    </row>
    <row r="22" hidden="1" spans="1:14">
      <c r="A22" s="6" t="s">
        <v>217</v>
      </c>
      <c r="B22" s="20" t="s">
        <v>5659</v>
      </c>
      <c r="C22">
        <f>'2 过程管理表单'!Z616</f>
        <v>138</v>
      </c>
      <c r="D22">
        <f>'2 过程管理表单'!AC616</f>
        <v>0</v>
      </c>
      <c r="E22">
        <f>'2 过程管理表单'!AF616</f>
        <v>140</v>
      </c>
      <c r="F22">
        <f>'2 过程管理表单'!AI616</f>
        <v>0</v>
      </c>
      <c r="G22">
        <f>'2 过程管理表单'!AL616</f>
        <v>138</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5660</v>
      </c>
      <c r="C23">
        <f t="shared" si="10"/>
        <v>138</v>
      </c>
      <c r="D23">
        <f>表3_37[[#This Row],[1月]]+D22</f>
        <v>138</v>
      </c>
      <c r="E23">
        <f>表3_37[[#This Row],[2月]]+E22</f>
        <v>278</v>
      </c>
      <c r="F23">
        <f>表3_37[[#This Row],[3月]]+F22</f>
        <v>278</v>
      </c>
      <c r="G23">
        <f>表3_37[[#This Row],[4月]]+G22</f>
        <v>416</v>
      </c>
      <c r="H23">
        <f>表3_37[[#This Row],[5月]]+H22</f>
        <v>416</v>
      </c>
      <c r="I23">
        <f>表3_37[[#This Row],[6月]]+I22</f>
        <v>416</v>
      </c>
      <c r="J23">
        <f>表3_37[[#This Row],[7月]]+J22</f>
        <v>416</v>
      </c>
      <c r="K23">
        <f>表3_37[[#This Row],[8月]]+K22</f>
        <v>416</v>
      </c>
      <c r="L23">
        <f>表3_37[[#This Row],[9月]]+L22</f>
        <v>416</v>
      </c>
      <c r="M23">
        <f>表3_37[[#This Row],[10月]]+M22</f>
        <v>416</v>
      </c>
      <c r="N23">
        <f>表3_37[[#This Row],[11月]]+N22</f>
        <v>416</v>
      </c>
    </row>
    <row r="24" hidden="1" spans="1:14">
      <c r="A24" s="6" t="s">
        <v>217</v>
      </c>
      <c r="B24" s="20" t="s">
        <v>5661</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5662</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5637</v>
      </c>
      <c r="B1" s="5" t="s">
        <v>714</v>
      </c>
      <c r="C1" s="5" t="s">
        <v>715</v>
      </c>
      <c r="D1" s="5" t="s">
        <v>716</v>
      </c>
      <c r="E1" s="5" t="s">
        <v>717</v>
      </c>
      <c r="F1" s="5" t="s">
        <v>718</v>
      </c>
      <c r="G1" s="5" t="s">
        <v>719</v>
      </c>
      <c r="H1" s="5" t="s">
        <v>720</v>
      </c>
      <c r="I1" s="5" t="s">
        <v>721</v>
      </c>
      <c r="J1" s="5" t="s">
        <v>722</v>
      </c>
      <c r="K1" s="5" t="s">
        <v>723</v>
      </c>
      <c r="L1" s="5" t="s">
        <v>724</v>
      </c>
      <c r="M1" s="5" t="s">
        <v>725</v>
      </c>
    </row>
    <row r="2" spans="1:13">
      <c r="A2" s="6" t="s">
        <v>214</v>
      </c>
      <c r="B2" s="6">
        <f>COUNTIF('2 过程管理表单'!Y6:Y507,"&lt;"&amp;0)</f>
        <v>3</v>
      </c>
      <c r="C2" s="6">
        <f>COUNTIF('2 过程管理表单'!AB6:AB507,"&lt;"&amp;0)</f>
        <v>3</v>
      </c>
      <c r="D2" s="6">
        <f>COUNTIF('2 过程管理表单'!AE6:AE507,"&lt;"&amp;0)</f>
        <v>3</v>
      </c>
      <c r="E2" s="6">
        <f>COUNTIF('2 过程管理表单'!AH6:AH507,"&lt;"&amp;0)</f>
        <v>3</v>
      </c>
      <c r="F2" s="6">
        <f>COUNTIF('2 过程管理表单'!AK6:AK507,"&lt;"&amp;0)</f>
        <v>3</v>
      </c>
      <c r="G2" s="6">
        <f>COUNTIF('2 过程管理表单'!AN6:AN507,"&lt;"&amp;0)</f>
        <v>5</v>
      </c>
      <c r="H2" s="6">
        <f>COUNTIF('2 过程管理表单'!AQ6:AQ507,"&lt;"&amp;0)</f>
        <v>5</v>
      </c>
      <c r="I2" s="6">
        <f>COUNTIF('2 过程管理表单'!AT6:AT507,"&lt;"&amp;0)</f>
        <v>2</v>
      </c>
      <c r="J2" s="6">
        <f>COUNTIF('2 过程管理表单'!AW6:AW507,"&lt;"&amp;0)</f>
        <v>2</v>
      </c>
      <c r="K2" s="6">
        <f>COUNTIF('2 过程管理表单'!AW6:AW507,"&lt;"&amp;0)</f>
        <v>2</v>
      </c>
      <c r="L2" s="6">
        <f>COUNTIF('2 过程管理表单'!BC6:BC507,"&lt;"&amp;0)</f>
        <v>2</v>
      </c>
      <c r="M2" s="6">
        <f>COUNTIF('2 过程管理表单'!BF6:BF507,"&lt;"&amp;0)</f>
        <v>2</v>
      </c>
    </row>
    <row r="3" spans="1:13">
      <c r="A3" s="6" t="s">
        <v>9</v>
      </c>
      <c r="B3" s="6">
        <f>COUNTIF('2 过程管理表单'!Y509:Y535,"&lt;0")</f>
        <v>7</v>
      </c>
      <c r="C3" s="6">
        <f>COUNTIF('2 过程管理表单'!AB508:AB535,"&lt;"&amp;0)</f>
        <v>0</v>
      </c>
      <c r="D3" s="6">
        <f>COUNTIF('2 过程管理表单'!AE508:AE535,"&lt;"&amp;0)</f>
        <v>8</v>
      </c>
      <c r="E3" s="6">
        <f>COUNTIF('2 过程管理表单'!AH508:AH535,"&lt;"&amp;0)</f>
        <v>6</v>
      </c>
      <c r="F3" s="6">
        <f>COUNTIF('2 过程管理表单'!AK508:AK535,"&lt;"&amp;0)</f>
        <v>4</v>
      </c>
      <c r="G3" s="6">
        <f>COUNTIF('2 过程管理表单'!AN508:AN535,"&lt;"&amp;0)</f>
        <v>8</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1</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1</v>
      </c>
      <c r="E7" s="6">
        <f>COUNTIF('2 过程管理表单'!AH617:AH621,"&lt;"&amp;0)</f>
        <v>0</v>
      </c>
      <c r="F7" s="6">
        <f>COUNTIF('2 过程管理表单'!AK617:AK621,"&lt;"&amp;0)</f>
        <v>1</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5663</v>
      </c>
      <c r="B8" s="6">
        <f>B2+B3+B4+B5+B6+B7</f>
        <v>11</v>
      </c>
      <c r="C8" s="6">
        <f t="shared" ref="C8:M8" si="0">SUM(C2:C7)</f>
        <v>3</v>
      </c>
      <c r="D8" s="6">
        <f t="shared" si="0"/>
        <v>13</v>
      </c>
      <c r="E8" s="6">
        <f t="shared" si="0"/>
        <v>9</v>
      </c>
      <c r="F8" s="6">
        <f t="shared" si="0"/>
        <v>8</v>
      </c>
      <c r="G8" s="6">
        <f t="shared" si="0"/>
        <v>14</v>
      </c>
      <c r="H8" s="6">
        <f t="shared" si="0"/>
        <v>5</v>
      </c>
      <c r="I8" s="6">
        <f t="shared" si="0"/>
        <v>2</v>
      </c>
      <c r="J8" s="6">
        <f t="shared" si="0"/>
        <v>2</v>
      </c>
      <c r="K8" s="6">
        <f t="shared" si="0"/>
        <v>2</v>
      </c>
      <c r="L8" s="6">
        <f t="shared" si="0"/>
        <v>2</v>
      </c>
      <c r="M8" s="6">
        <f t="shared" si="0"/>
        <v>2</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C1" workbookViewId="0">
      <selection activeCell="C4" sqref="C4:N4"/>
    </sheetView>
  </sheetViews>
  <sheetFormatPr defaultColWidth="9" defaultRowHeight="14"/>
  <cols>
    <col min="1" max="1" width="14.3727272727273" customWidth="1"/>
    <col min="2" max="2" width="23.5" customWidth="1"/>
    <col min="3" max="14" width="12.6272727272727"/>
  </cols>
  <sheetData>
    <row r="1" spans="1:14">
      <c r="A1" s="11" t="s">
        <v>5637</v>
      </c>
      <c r="B1" s="20" t="s">
        <v>5638</v>
      </c>
      <c r="C1" s="1" t="s">
        <v>714</v>
      </c>
      <c r="D1" s="1" t="s">
        <v>715</v>
      </c>
      <c r="E1" s="1" t="s">
        <v>716</v>
      </c>
      <c r="F1" s="1" t="s">
        <v>717</v>
      </c>
      <c r="G1" s="1" t="s">
        <v>718</v>
      </c>
      <c r="H1" s="1" t="s">
        <v>719</v>
      </c>
      <c r="I1" s="1" t="s">
        <v>720</v>
      </c>
      <c r="J1" s="1" t="s">
        <v>721</v>
      </c>
      <c r="K1" s="1" t="s">
        <v>722</v>
      </c>
      <c r="L1" s="1" t="s">
        <v>723</v>
      </c>
      <c r="M1" s="1" t="s">
        <v>724</v>
      </c>
      <c r="N1" s="1" t="s">
        <v>725</v>
      </c>
    </row>
    <row r="2" spans="1:14">
      <c r="A2" s="6" t="s">
        <v>214</v>
      </c>
      <c r="B2" s="20" t="s">
        <v>5639</v>
      </c>
      <c r="C2">
        <f>'2 过程管理表单'!Z5</f>
        <v>9314.35051094891</v>
      </c>
      <c r="D2">
        <f>'2 过程管理表单'!AC5</f>
        <v>8412.96175182482</v>
      </c>
      <c r="E2">
        <f>'2 过程管理表单'!AF5</f>
        <v>9314.35051094891</v>
      </c>
      <c r="F2">
        <f>'2 过程管理表单'!AI5</f>
        <v>9013.88759124088</v>
      </c>
      <c r="G2">
        <f>'2 过程管理表单'!AL5</f>
        <v>9314.35051094891</v>
      </c>
      <c r="H2">
        <f>'2 过程管理表单'!AO5</f>
        <v>9013.9697830217</v>
      </c>
      <c r="I2">
        <f>'2 过程管理表单'!AR5</f>
        <v>9314.43544245576</v>
      </c>
      <c r="J2">
        <f>'2 过程管理表单'!AU5</f>
        <v>3667.47544245576</v>
      </c>
      <c r="K2">
        <f>'2 过程管理表单'!AX5</f>
        <v>3549.1697830217</v>
      </c>
      <c r="L2">
        <f>'2 过程管理表单'!BA5</f>
        <v>3667.47544245576</v>
      </c>
      <c r="M2">
        <f>'2 过程管理表单'!BD5</f>
        <v>3549.1697830217</v>
      </c>
      <c r="N2">
        <f>'2 过程管理表单'!BG4</f>
        <v>3667.47544245576</v>
      </c>
    </row>
    <row r="3" spans="1:14">
      <c r="A3" s="6" t="s">
        <v>214</v>
      </c>
      <c r="B3" s="20" t="s">
        <v>5640</v>
      </c>
      <c r="C3">
        <f>C2</f>
        <v>9314.35051094891</v>
      </c>
      <c r="D3">
        <f t="shared" ref="D3:N3" si="0">C3+D2</f>
        <v>17727.3122627737</v>
      </c>
      <c r="E3">
        <f t="shared" si="0"/>
        <v>27041.6627737226</v>
      </c>
      <c r="F3">
        <f t="shared" si="0"/>
        <v>36055.5503649635</v>
      </c>
      <c r="G3">
        <f t="shared" si="0"/>
        <v>45369.9008759124</v>
      </c>
      <c r="H3">
        <f t="shared" si="0"/>
        <v>54383.8706589341</v>
      </c>
      <c r="I3">
        <f t="shared" si="0"/>
        <v>63698.3061013899</v>
      </c>
      <c r="J3">
        <f t="shared" si="0"/>
        <v>67365.7815438457</v>
      </c>
      <c r="K3">
        <f t="shared" si="0"/>
        <v>70914.9513268674</v>
      </c>
      <c r="L3">
        <f t="shared" si="0"/>
        <v>74582.4267693231</v>
      </c>
      <c r="M3">
        <f t="shared" si="0"/>
        <v>78131.5965523448</v>
      </c>
      <c r="N3">
        <f t="shared" si="0"/>
        <v>81799.0719948006</v>
      </c>
    </row>
    <row r="4" spans="1:14">
      <c r="A4" s="6" t="s">
        <v>214</v>
      </c>
      <c r="B4" s="20" t="s">
        <v>5641</v>
      </c>
      <c r="C4">
        <f>'2 过程管理表单'!X5</f>
        <v>231902.924158</v>
      </c>
      <c r="D4">
        <f>'2 过程管理表单'!AA5</f>
        <v>221686.924158</v>
      </c>
      <c r="E4">
        <f>'2 过程管理表单'!AD5</f>
        <v>224536.924158</v>
      </c>
      <c r="F4">
        <f>'2 过程管理表单'!AG5</f>
        <v>221686.924158</v>
      </c>
      <c r="G4">
        <f>'2 过程管理表单'!AJ5</f>
        <v>228036.924158</v>
      </c>
      <c r="H4">
        <f>'2 过程管理表单'!AM5</f>
        <v>221086.924158</v>
      </c>
      <c r="I4">
        <f>'2 过程管理表单'!AP5</f>
        <v>220386.924158</v>
      </c>
      <c r="J4">
        <f>'2 过程管理表单'!AS5</f>
        <v>224536.924158</v>
      </c>
      <c r="K4">
        <f>'2 过程管理表单'!AV5</f>
        <v>226186.924158</v>
      </c>
      <c r="L4">
        <f>'2 过程管理表单'!AY5</f>
        <v>224536.924158</v>
      </c>
      <c r="M4">
        <f>'2 过程管理表单'!BB5</f>
        <v>220386.924158</v>
      </c>
      <c r="N4">
        <f>'2 过程管理表单'!BE5</f>
        <v>220386.924158</v>
      </c>
    </row>
    <row r="5" spans="1:14">
      <c r="A5" s="6" t="s">
        <v>214</v>
      </c>
      <c r="B5" s="20" t="s">
        <v>5642</v>
      </c>
      <c r="C5">
        <f>C4</f>
        <v>231902.924158</v>
      </c>
      <c r="D5">
        <f t="shared" ref="D5:N5" si="1">C5+D4</f>
        <v>453589.848316</v>
      </c>
      <c r="E5">
        <f t="shared" si="1"/>
        <v>678126.772474</v>
      </c>
      <c r="F5">
        <f t="shared" si="1"/>
        <v>899813.696632</v>
      </c>
      <c r="G5">
        <f t="shared" si="1"/>
        <v>1127850.62079</v>
      </c>
      <c r="H5">
        <f t="shared" si="1"/>
        <v>1348937.544948</v>
      </c>
      <c r="I5">
        <f t="shared" si="1"/>
        <v>1569324.469106</v>
      </c>
      <c r="J5">
        <f t="shared" si="1"/>
        <v>1793861.393264</v>
      </c>
      <c r="K5">
        <f t="shared" si="1"/>
        <v>2020048.317422</v>
      </c>
      <c r="L5">
        <f t="shared" si="1"/>
        <v>2244585.24158</v>
      </c>
      <c r="M5">
        <f t="shared" si="1"/>
        <v>2464972.165738</v>
      </c>
      <c r="N5">
        <f t="shared" si="1"/>
        <v>2685359.089896</v>
      </c>
    </row>
    <row r="6" spans="1:14">
      <c r="A6" s="6" t="s">
        <v>9</v>
      </c>
      <c r="B6" s="37" t="s">
        <v>5643</v>
      </c>
      <c r="C6">
        <f>'2 过程管理表单'!Z508</f>
        <v>1769.53</v>
      </c>
      <c r="D6">
        <f>'2 过程管理表单'!AC508</f>
        <v>0</v>
      </c>
      <c r="E6">
        <f>'2 过程管理表单'!AF508</f>
        <v>1238.54</v>
      </c>
      <c r="F6">
        <f>'2 过程管理表单'!AI508</f>
        <v>1488.31</v>
      </c>
      <c r="G6">
        <f>'2 过程管理表单'!AL508</f>
        <v>838</v>
      </c>
      <c r="H6">
        <f>'2 过程管理表单'!AO508</f>
        <v>1466.2</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7" t="s">
        <v>5644</v>
      </c>
      <c r="C7">
        <f>C6</f>
        <v>1769.53</v>
      </c>
      <c r="D7">
        <f t="shared" ref="D7:N7" si="2">C7+D6</f>
        <v>1769.53</v>
      </c>
      <c r="E7">
        <f t="shared" si="2"/>
        <v>3008.07</v>
      </c>
      <c r="F7">
        <f t="shared" si="2"/>
        <v>4496.38</v>
      </c>
      <c r="G7">
        <f t="shared" si="2"/>
        <v>5334.38</v>
      </c>
      <c r="H7">
        <f t="shared" si="2"/>
        <v>6800.58</v>
      </c>
      <c r="I7">
        <f t="shared" si="2"/>
        <v>6800.58</v>
      </c>
      <c r="J7">
        <f t="shared" si="2"/>
        <v>6800.58</v>
      </c>
      <c r="K7">
        <f t="shared" si="2"/>
        <v>6800.58</v>
      </c>
      <c r="L7">
        <f t="shared" si="2"/>
        <v>6800.58</v>
      </c>
      <c r="M7">
        <f t="shared" si="2"/>
        <v>6800.58</v>
      </c>
      <c r="N7">
        <f t="shared" si="2"/>
        <v>6800.58</v>
      </c>
    </row>
    <row r="8" spans="1:14">
      <c r="A8" s="6" t="s">
        <v>9</v>
      </c>
      <c r="B8" s="20" t="s">
        <v>5645</v>
      </c>
      <c r="C8">
        <f>'2 过程管理表单'!X508</f>
        <v>43164.6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5646</v>
      </c>
      <c r="C9">
        <f>C8</f>
        <v>43164.6</v>
      </c>
      <c r="D9">
        <f t="shared" ref="D9:N9" si="3">C9+D8</f>
        <v>43164.6</v>
      </c>
      <c r="E9">
        <f t="shared" si="3"/>
        <v>43164.6</v>
      </c>
      <c r="F9">
        <f t="shared" si="3"/>
        <v>43164.6</v>
      </c>
      <c r="G9">
        <f t="shared" si="3"/>
        <v>43164.6</v>
      </c>
      <c r="H9">
        <f t="shared" si="3"/>
        <v>43164.6</v>
      </c>
      <c r="I9">
        <f t="shared" si="3"/>
        <v>43164.6</v>
      </c>
      <c r="J9">
        <f t="shared" si="3"/>
        <v>43164.6</v>
      </c>
      <c r="K9">
        <f t="shared" si="3"/>
        <v>43164.6</v>
      </c>
      <c r="L9">
        <f t="shared" si="3"/>
        <v>43164.6</v>
      </c>
      <c r="M9">
        <f t="shared" si="3"/>
        <v>43164.6</v>
      </c>
      <c r="N9">
        <f t="shared" si="3"/>
        <v>43164.6</v>
      </c>
    </row>
    <row r="10" spans="1:14">
      <c r="A10" s="6" t="s">
        <v>64</v>
      </c>
      <c r="B10" s="20" t="s">
        <v>5647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5648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5649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5650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5651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5652</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5653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5654</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8" t="s">
        <v>216</v>
      </c>
      <c r="B18" s="20" t="s">
        <v>5655</v>
      </c>
      <c r="C18">
        <f>'2 过程管理表单'!Z603</f>
        <v>0</v>
      </c>
      <c r="D18">
        <f>'2 过程管理表单'!AC603</f>
        <v>0</v>
      </c>
      <c r="E18">
        <f>'2 过程管理表单'!AF603</f>
        <v>4711.6</v>
      </c>
      <c r="F18">
        <f>'2 过程管理表单'!AI603</f>
        <v>0</v>
      </c>
      <c r="G18">
        <f>'2 过程管理表单'!AL603</f>
        <v>0</v>
      </c>
      <c r="H18">
        <f>'2 过程管理表单'!AO603</f>
        <v>4711.6</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5656</v>
      </c>
      <c r="C19">
        <f>C18</f>
        <v>0</v>
      </c>
      <c r="D19">
        <f>表3_3[[#This Row],[1月]]+D18</f>
        <v>0</v>
      </c>
      <c r="E19">
        <f>表3_3[[#This Row],[2月]]+E18</f>
        <v>4711.6</v>
      </c>
      <c r="F19">
        <f>表3_3[[#This Row],[3月]]+F18</f>
        <v>4711.6</v>
      </c>
      <c r="G19">
        <f>表3_3[[#This Row],[4月]]+G18</f>
        <v>4711.6</v>
      </c>
      <c r="H19">
        <f>表3_3[[#This Row],[5月]]+H18</f>
        <v>9423.2</v>
      </c>
      <c r="I19">
        <f>表3_3[[#This Row],[6月]]+I18</f>
        <v>9423.2</v>
      </c>
      <c r="J19">
        <f>表3_3[[#This Row],[7月]]+J18</f>
        <v>9423.2</v>
      </c>
      <c r="K19">
        <f>表3_3[[#This Row],[8月]]+K18</f>
        <v>9423.2</v>
      </c>
      <c r="L19">
        <f>表3_3[[#This Row],[9月]]+L18</f>
        <v>9423.2</v>
      </c>
      <c r="M19">
        <f>表3_3[[#This Row],[10月]]+M18</f>
        <v>9423.2</v>
      </c>
      <c r="N19">
        <f>表3_3[[#This Row],[11月]]+N18</f>
        <v>9423.2</v>
      </c>
    </row>
    <row r="20" spans="1:14">
      <c r="A20" s="6" t="s">
        <v>216</v>
      </c>
      <c r="B20" s="20" t="s">
        <v>5657</v>
      </c>
      <c r="C20">
        <f>'2 过程管理表单'!X603</f>
        <v>44806.6675</v>
      </c>
      <c r="D20">
        <f>'2 过程管理表单'!AA603</f>
        <v>8806.6675</v>
      </c>
      <c r="E20">
        <f>'2 过程管理表单'!AD603</f>
        <v>8806.6675</v>
      </c>
      <c r="F20">
        <f>'2 过程管理表单'!AG603</f>
        <v>8806.6675</v>
      </c>
      <c r="G20">
        <f>'2 过程管理表单'!AJ603</f>
        <v>8806.6675</v>
      </c>
      <c r="H20">
        <f>'2 过程管理表单'!AM603</f>
        <v>8806.6675</v>
      </c>
      <c r="I20">
        <f>'2 过程管理表单'!AP603</f>
        <v>8806.6675</v>
      </c>
      <c r="J20">
        <f>'2 过程管理表单'!AS603</f>
        <v>8806.6675</v>
      </c>
      <c r="K20">
        <f>'2 过程管理表单'!AV603</f>
        <v>8806.6675</v>
      </c>
      <c r="L20">
        <f>'2 过程管理表单'!AY603</f>
        <v>8806.6675</v>
      </c>
      <c r="M20">
        <f>'2 过程管理表单'!BB603</f>
        <v>8806.6675</v>
      </c>
      <c r="N20">
        <f>'2 过程管理表单'!BE603</f>
        <v>8806.6675</v>
      </c>
    </row>
    <row r="21" spans="1:14">
      <c r="A21" s="6" t="s">
        <v>216</v>
      </c>
      <c r="B21" s="20" t="s">
        <v>5658</v>
      </c>
      <c r="C21">
        <f>C20</f>
        <v>44806.6675</v>
      </c>
      <c r="D21">
        <f>表3_3[[#This Row],[1月]]+D20</f>
        <v>53613.335</v>
      </c>
      <c r="E21">
        <f>表3_3[[#This Row],[2月]]+E20</f>
        <v>62420.0025</v>
      </c>
      <c r="F21">
        <f>表3_3[[#This Row],[3月]]+F20</f>
        <v>71226.67</v>
      </c>
      <c r="G21">
        <f>表3_3[[#This Row],[4月]]+G20</f>
        <v>80033.3375</v>
      </c>
      <c r="H21">
        <f>表3_3[[#This Row],[5月]]+H20</f>
        <v>88840.005</v>
      </c>
      <c r="I21">
        <f>表3_3[[#This Row],[6月]]+I20</f>
        <v>97646.6725</v>
      </c>
      <c r="J21">
        <f>表3_3[[#This Row],[7月]]+J20</f>
        <v>106453.34</v>
      </c>
      <c r="K21">
        <f>表3_3[[#This Row],[8月]]+K20</f>
        <v>115260.0075</v>
      </c>
      <c r="L21">
        <f>表3_3[[#This Row],[9月]]+L20</f>
        <v>124066.675</v>
      </c>
      <c r="M21">
        <f>表3_3[[#This Row],[10月]]+M20</f>
        <v>132873.3425</v>
      </c>
      <c r="N21">
        <f>表3_3[[#This Row],[11月]]+N20</f>
        <v>141680.01</v>
      </c>
    </row>
    <row r="22" spans="1:14">
      <c r="A22" s="6" t="s">
        <v>217</v>
      </c>
      <c r="B22" s="20" t="s">
        <v>5659</v>
      </c>
      <c r="C22">
        <f>'2 过程管理表单'!Z616</f>
        <v>138</v>
      </c>
      <c r="D22">
        <f>'2 过程管理表单'!AC616</f>
        <v>0</v>
      </c>
      <c r="E22">
        <f>'2 过程管理表单'!AF616</f>
        <v>140</v>
      </c>
      <c r="F22">
        <f>'2 过程管理表单'!AI616</f>
        <v>0</v>
      </c>
      <c r="G22">
        <f>'2 过程管理表单'!AL616</f>
        <v>138</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5660</v>
      </c>
      <c r="C23">
        <f>C22</f>
        <v>138</v>
      </c>
      <c r="D23">
        <f>表3_3[[#This Row],[1月]]+D22</f>
        <v>138</v>
      </c>
      <c r="E23">
        <f>表3_3[[#This Row],[2月]]+E22</f>
        <v>278</v>
      </c>
      <c r="F23">
        <f>表3_3[[#This Row],[3月]]+F22</f>
        <v>278</v>
      </c>
      <c r="G23">
        <f>表3_3[[#This Row],[4月]]+G22</f>
        <v>416</v>
      </c>
      <c r="H23">
        <f>表3_3[[#This Row],[5月]]+H22</f>
        <v>416</v>
      </c>
      <c r="I23">
        <f>表3_3[[#This Row],[6月]]+I22</f>
        <v>416</v>
      </c>
      <c r="J23">
        <f>表3_3[[#This Row],[7月]]+J22</f>
        <v>416</v>
      </c>
      <c r="K23">
        <f>表3_3[[#This Row],[8月]]+K22</f>
        <v>416</v>
      </c>
      <c r="L23">
        <f>表3_3[[#This Row],[9月]]+L22</f>
        <v>416</v>
      </c>
      <c r="M23">
        <f>表3_3[[#This Row],[10月]]+M22</f>
        <v>416</v>
      </c>
      <c r="N23">
        <f>表3_3[[#This Row],[11月]]+N22</f>
        <v>416</v>
      </c>
    </row>
    <row r="24" spans="1:14">
      <c r="A24" s="6" t="s">
        <v>217</v>
      </c>
      <c r="B24" s="20" t="s">
        <v>5661</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5662</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39" t="s">
        <v>5664</v>
      </c>
      <c r="B26" s="40" t="s">
        <v>5665</v>
      </c>
      <c r="C26">
        <f>'2 过程管理表单'!Z6</f>
        <v>3667.39051094891</v>
      </c>
      <c r="D26">
        <f>'2 过程管理表单'!AC6</f>
        <v>3312.48175182482</v>
      </c>
      <c r="E26">
        <f>'2 过程管理表单'!AF6</f>
        <v>3667.39051094891</v>
      </c>
      <c r="F26">
        <f>'2 过程管理表单'!AI6</f>
        <v>3549.08759124088</v>
      </c>
      <c r="G26">
        <f>'2 过程管理表单'!AL6</f>
        <v>3667.39051094891</v>
      </c>
      <c r="H26">
        <f>'2 过程管理表单'!AO6</f>
        <v>3549.1697830217</v>
      </c>
      <c r="I26">
        <f>'2 过程管理表单'!AR6</f>
        <v>3667.47544245576</v>
      </c>
      <c r="J26">
        <f>'2 过程管理表单'!AU6</f>
        <v>3667.47544245576</v>
      </c>
      <c r="K26">
        <f>'2 过程管理表单'!AX6</f>
        <v>3549.1697830217</v>
      </c>
      <c r="L26">
        <f>'2 过程管理表单'!BA6</f>
        <v>3667.47544245576</v>
      </c>
      <c r="M26">
        <f>'2 过程管理表单'!BD6</f>
        <v>3549.1697830217</v>
      </c>
      <c r="N26">
        <f>'2 过程管理表单'!BG6</f>
        <v>3667.47544245576</v>
      </c>
    </row>
    <row r="27" spans="1:14">
      <c r="A27" s="39" t="s">
        <v>5664</v>
      </c>
      <c r="B27" s="40" t="s">
        <v>5666</v>
      </c>
      <c r="C27">
        <f>C26</f>
        <v>3667.39051094891</v>
      </c>
      <c r="D27">
        <f>表3_3[[#This Row],[1月]]+D26</f>
        <v>6979.87226277373</v>
      </c>
      <c r="E27">
        <f>表3_3[[#This Row],[2月]]+E26</f>
        <v>10647.2627737226</v>
      </c>
      <c r="F27">
        <f>表3_3[[#This Row],[3月]]+F26</f>
        <v>14196.3503649635</v>
      </c>
      <c r="G27">
        <f>表3_3[[#This Row],[4月]]+G26</f>
        <v>17863.7408759124</v>
      </c>
      <c r="H27">
        <f>表3_3[[#This Row],[5月]]+H26</f>
        <v>21412.9106589341</v>
      </c>
      <c r="I27">
        <f>表3_3[[#This Row],[6月]]+I26</f>
        <v>25080.3861013899</v>
      </c>
      <c r="J27">
        <f>表3_3[[#This Row],[7月]]+J26</f>
        <v>28747.8615438457</v>
      </c>
      <c r="K27">
        <f>表3_3[[#This Row],[8月]]+K26</f>
        <v>32297.0313268674</v>
      </c>
      <c r="L27">
        <f>表3_3[[#This Row],[9月]]+L26</f>
        <v>35964.5067693231</v>
      </c>
      <c r="M27">
        <f>表3_3[[#This Row],[10月]]+M26</f>
        <v>39513.6765523448</v>
      </c>
      <c r="N27">
        <f>表3_3[[#This Row],[11月]]+N26</f>
        <v>43181.1519948006</v>
      </c>
    </row>
    <row r="28" spans="1:14">
      <c r="A28" s="39" t="s">
        <v>5664</v>
      </c>
      <c r="B28" s="40" t="s">
        <v>5667</v>
      </c>
      <c r="C28">
        <f>'2 过程管理表单'!X6</f>
        <v>231902.924158</v>
      </c>
      <c r="D28">
        <f>'2 过程管理表单'!AA6</f>
        <v>221686.924158</v>
      </c>
      <c r="E28">
        <f>'2 过程管理表单'!AD6</f>
        <v>224536.924158</v>
      </c>
      <c r="F28">
        <f>'2 过程管理表单'!AG6</f>
        <v>221686.924158</v>
      </c>
      <c r="G28">
        <f>'2 过程管理表单'!AJ6</f>
        <v>228036.924158</v>
      </c>
      <c r="H28">
        <f>'2 过程管理表单'!AM6</f>
        <v>221086.924158</v>
      </c>
      <c r="I28">
        <f>'2 过程管理表单'!AP6</f>
        <v>220386.924158</v>
      </c>
      <c r="J28">
        <f>'2 过程管理表单'!AS6</f>
        <v>224536.924158</v>
      </c>
      <c r="K28">
        <f>'2 过程管理表单'!AV6</f>
        <v>226186.924158</v>
      </c>
      <c r="L28">
        <f>'2 过程管理表单'!AY6</f>
        <v>224536.924158</v>
      </c>
      <c r="M28">
        <f>'2 过程管理表单'!BB6</f>
        <v>220386.924158</v>
      </c>
      <c r="N28">
        <f>'2 过程管理表单'!BE6</f>
        <v>220386.924158</v>
      </c>
    </row>
    <row r="29" spans="1:14">
      <c r="A29" s="39" t="s">
        <v>5664</v>
      </c>
      <c r="B29" s="40" t="s">
        <v>5668</v>
      </c>
      <c r="C29">
        <f>C28</f>
        <v>231902.924158</v>
      </c>
      <c r="D29">
        <f>表3_3[[#This Row],[1月]]+D28</f>
        <v>453589.848316</v>
      </c>
      <c r="E29">
        <f>表3_3[[#This Row],[2月]]+E28</f>
        <v>678126.772474</v>
      </c>
      <c r="F29">
        <f>表3_3[[#This Row],[3月]]+F28</f>
        <v>899813.696632</v>
      </c>
      <c r="G29">
        <f>表3_3[[#This Row],[4月]]+G28</f>
        <v>1127850.62079</v>
      </c>
      <c r="H29">
        <f>表3_3[[#This Row],[5月]]+H28</f>
        <v>1348937.544948</v>
      </c>
      <c r="I29">
        <f>表3_3[[#This Row],[6月]]+I28</f>
        <v>1569324.469106</v>
      </c>
      <c r="J29">
        <f>表3_3[[#This Row],[7月]]+J28</f>
        <v>1793861.393264</v>
      </c>
      <c r="K29">
        <f>表3_3[[#This Row],[8月]]+K28</f>
        <v>2020048.317422</v>
      </c>
      <c r="L29">
        <f>表3_3[[#This Row],[9月]]+L28</f>
        <v>2244585.24158</v>
      </c>
      <c r="M29">
        <f>表3_3[[#This Row],[10月]]+M28</f>
        <v>2464972.165738</v>
      </c>
      <c r="N29">
        <f>表3_3[[#This Row],[11月]]+N28</f>
        <v>2685359.089896</v>
      </c>
    </row>
    <row r="30" spans="1:14">
      <c r="A30" s="39" t="s">
        <v>5669</v>
      </c>
      <c r="B30" s="40" t="s">
        <v>5665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9" t="s">
        <v>5669</v>
      </c>
      <c r="B31" s="40" t="s">
        <v>5666</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9" t="s">
        <v>5669</v>
      </c>
      <c r="B32" s="40" t="s">
        <v>5667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9" t="s">
        <v>5669</v>
      </c>
      <c r="B33" s="40" t="s">
        <v>5668</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5670</v>
      </c>
      <c r="B34" s="40" t="s">
        <v>5665</v>
      </c>
      <c r="C34" s="41">
        <f>'2 过程管理表单'!Z177</f>
        <v>5646.96</v>
      </c>
      <c r="D34" s="41">
        <f>'2 过程管理表单'!AC177</f>
        <v>5100.48</v>
      </c>
      <c r="E34" s="41">
        <f>'2 过程管理表单'!AF177</f>
        <v>5646.96</v>
      </c>
      <c r="F34" s="41">
        <f>'2 过程管理表单'!AI177</f>
        <v>5464.8</v>
      </c>
      <c r="G34" s="41">
        <f>'2 过程管理表单'!AL177</f>
        <v>5646.96</v>
      </c>
      <c r="H34" s="41">
        <f>'2 过程管理表单'!AO177</f>
        <v>5464.8</v>
      </c>
      <c r="I34" s="41">
        <f>'2 过程管理表单'!AR177</f>
        <v>5646.96</v>
      </c>
      <c r="J34" s="41">
        <f>'2 过程管理表单'!AU177</f>
        <v>0</v>
      </c>
      <c r="K34" s="41">
        <f>'2 过程管理表单'!AX177</f>
        <v>0</v>
      </c>
      <c r="L34" s="41">
        <f>'2 过程管理表单'!BA177</f>
        <v>0</v>
      </c>
      <c r="M34" s="41">
        <f>'2 过程管理表单'!BD177</f>
        <v>0</v>
      </c>
      <c r="N34" s="41">
        <f>'2 过程管理表单'!BG177</f>
        <v>0</v>
      </c>
    </row>
    <row r="35" spans="1:14">
      <c r="A35" s="39" t="s">
        <v>5670</v>
      </c>
      <c r="B35" s="40" t="s">
        <v>5666</v>
      </c>
      <c r="C35" s="41">
        <f>C34</f>
        <v>5646.96</v>
      </c>
      <c r="D35" s="41">
        <f>C35+C34</f>
        <v>11293.92</v>
      </c>
      <c r="E35" s="41">
        <f>D35+E34</f>
        <v>16940.88</v>
      </c>
      <c r="F35" s="41">
        <f>E35+F34</f>
        <v>22405.68</v>
      </c>
      <c r="G35" s="41">
        <f>F35+G34</f>
        <v>28052.64</v>
      </c>
      <c r="H35" s="41">
        <f t="shared" ref="H35:N35" si="7">H34+G35</f>
        <v>33517.44</v>
      </c>
      <c r="I35" s="41">
        <f t="shared" si="7"/>
        <v>39164.4</v>
      </c>
      <c r="J35" s="41">
        <f t="shared" si="7"/>
        <v>39164.4</v>
      </c>
      <c r="K35" s="41">
        <f t="shared" si="7"/>
        <v>39164.4</v>
      </c>
      <c r="L35" s="41">
        <f t="shared" si="7"/>
        <v>39164.4</v>
      </c>
      <c r="M35" s="41">
        <f t="shared" si="7"/>
        <v>39164.4</v>
      </c>
      <c r="N35" s="41">
        <f t="shared" si="7"/>
        <v>39164.4</v>
      </c>
    </row>
    <row r="36" spans="1:14">
      <c r="A36" s="39" t="s">
        <v>5670</v>
      </c>
      <c r="B36" s="40" t="s">
        <v>5667</v>
      </c>
      <c r="C36" s="41">
        <f>'2 过程管理表单'!X177</f>
        <v>0</v>
      </c>
      <c r="D36" s="41">
        <f>'2 过程管理表单'!AA177</f>
        <v>0</v>
      </c>
      <c r="E36" s="41">
        <f>'2 过程管理表单'!AD177</f>
        <v>0</v>
      </c>
      <c r="F36" s="41">
        <f>'2 过程管理表单'!AG177</f>
        <v>0</v>
      </c>
      <c r="G36" s="41">
        <f>'2 过程管理表单'!AJ177</f>
        <v>0</v>
      </c>
      <c r="H36" s="41">
        <f>'2 过程管理表单'!AM177</f>
        <v>0</v>
      </c>
      <c r="I36" s="41">
        <f>'2 过程管理表单'!AP177</f>
        <v>0</v>
      </c>
      <c r="J36" s="41">
        <f>'2 过程管理表单'!AS177</f>
        <v>0</v>
      </c>
      <c r="K36" s="41">
        <f>'2 过程管理表单'!AV177</f>
        <v>0</v>
      </c>
      <c r="L36" s="41">
        <f>'2 过程管理表单'!AY177</f>
        <v>0</v>
      </c>
      <c r="M36" s="41">
        <f>'2 过程管理表单'!BB177</f>
        <v>0</v>
      </c>
      <c r="N36" s="41">
        <f>'2 过程管理表单'!BE177</f>
        <v>0</v>
      </c>
    </row>
    <row r="37" spans="1:14">
      <c r="A37" s="39" t="s">
        <v>5670</v>
      </c>
      <c r="B37" s="40" t="s">
        <v>5668</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42" t="s">
        <v>5671</v>
      </c>
      <c r="B38" s="20" t="s">
        <v>5672</v>
      </c>
      <c r="C38">
        <f>C5+C9+C13+C17+C21+C25</f>
        <v>319874.191658</v>
      </c>
      <c r="D38">
        <f t="shared" ref="D38:N38" si="9">D5+D9+D13+D17+D21+D25</f>
        <v>550367.783316</v>
      </c>
      <c r="E38">
        <f t="shared" si="9"/>
        <v>783711.374974</v>
      </c>
      <c r="F38">
        <f t="shared" si="9"/>
        <v>1014204.966632</v>
      </c>
      <c r="G38">
        <f t="shared" si="9"/>
        <v>1251048.55829</v>
      </c>
      <c r="H38">
        <f t="shared" si="9"/>
        <v>1480942.149948</v>
      </c>
      <c r="I38">
        <f t="shared" si="9"/>
        <v>1710135.741606</v>
      </c>
      <c r="J38">
        <f t="shared" si="9"/>
        <v>1943479.333264</v>
      </c>
      <c r="K38">
        <f t="shared" si="9"/>
        <v>2178472.924922</v>
      </c>
      <c r="L38">
        <f t="shared" si="9"/>
        <v>2411816.51658</v>
      </c>
      <c r="M38">
        <f t="shared" si="9"/>
        <v>2641010.108238</v>
      </c>
      <c r="N38">
        <f t="shared" si="9"/>
        <v>2870203.699896</v>
      </c>
    </row>
    <row r="39" spans="1:14">
      <c r="A39" s="42" t="s">
        <v>5671</v>
      </c>
      <c r="B39" s="20" t="s">
        <v>5673</v>
      </c>
      <c r="C39">
        <f>C3+C7+C11+C15+C19+C23</f>
        <v>11221.8805109489</v>
      </c>
      <c r="D39">
        <f t="shared" ref="D39:N39" si="10">D3+D7+D11+D15+D19+D23</f>
        <v>19634.8422627737</v>
      </c>
      <c r="E39">
        <f t="shared" si="10"/>
        <v>35039.3327737226</v>
      </c>
      <c r="F39">
        <f t="shared" si="10"/>
        <v>45541.5303649635</v>
      </c>
      <c r="G39">
        <f t="shared" si="10"/>
        <v>55831.8808759124</v>
      </c>
      <c r="H39">
        <f t="shared" si="10"/>
        <v>71023.6506589341</v>
      </c>
      <c r="I39">
        <f t="shared" si="10"/>
        <v>80338.0861013899</v>
      </c>
      <c r="J39">
        <f t="shared" si="10"/>
        <v>84005.5615438457</v>
      </c>
      <c r="K39">
        <f t="shared" si="10"/>
        <v>87554.7313268674</v>
      </c>
      <c r="L39">
        <f t="shared" si="10"/>
        <v>91222.2067693231</v>
      </c>
      <c r="M39">
        <f t="shared" si="10"/>
        <v>94771.3765523448</v>
      </c>
      <c r="N39">
        <f t="shared" si="10"/>
        <v>98438.8519948006</v>
      </c>
    </row>
    <row r="42" spans="1:14">
      <c r="A42" s="12" t="s">
        <v>214</v>
      </c>
      <c r="B42" t="s">
        <v>5674</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5674</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5674</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5674</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5674</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5674</v>
      </c>
      <c r="C47">
        <f>IF(C23&gt;C25,1,0)</f>
        <v>1</v>
      </c>
      <c r="D47">
        <f t="shared" ref="D47:N47" si="16">IF(D23&gt;D25,1,0)</f>
        <v>1</v>
      </c>
      <c r="E47">
        <f t="shared" si="16"/>
        <v>1</v>
      </c>
      <c r="F47">
        <f t="shared" si="16"/>
        <v>1</v>
      </c>
      <c r="G47">
        <f t="shared" si="16"/>
        <v>1</v>
      </c>
      <c r="H47">
        <f t="shared" si="16"/>
        <v>1</v>
      </c>
      <c r="I47">
        <f t="shared" si="16"/>
        <v>1</v>
      </c>
      <c r="J47">
        <f t="shared" si="16"/>
        <v>1</v>
      </c>
      <c r="K47">
        <f t="shared" si="16"/>
        <v>1</v>
      </c>
      <c r="L47">
        <f t="shared" si="16"/>
        <v>1</v>
      </c>
      <c r="M47">
        <f t="shared" si="16"/>
        <v>1</v>
      </c>
      <c r="N47">
        <f t="shared" si="16"/>
        <v>1</v>
      </c>
    </row>
    <row r="48" spans="2:14">
      <c r="B48" t="s">
        <v>2377</v>
      </c>
      <c r="C48">
        <f>SUM(C42:C47)</f>
        <v>1</v>
      </c>
      <c r="D48">
        <f t="shared" ref="D48:N48" si="17">SUM(D42:D47)</f>
        <v>1</v>
      </c>
      <c r="E48">
        <f t="shared" si="17"/>
        <v>1</v>
      </c>
      <c r="F48">
        <f t="shared" si="17"/>
        <v>1</v>
      </c>
      <c r="G48">
        <f t="shared" si="17"/>
        <v>1</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0" workbookViewId="0">
      <selection activeCell="C4" sqref="C4:N4"/>
    </sheetView>
  </sheetViews>
  <sheetFormatPr defaultColWidth="9" defaultRowHeight="14"/>
  <cols>
    <col min="1" max="1" width="14.3727272727273" customWidth="1"/>
    <col min="2" max="2" width="23.5" customWidth="1"/>
    <col min="3" max="14" width="12.8181818181818"/>
  </cols>
  <sheetData>
    <row r="1" spans="1:14">
      <c r="A1" s="11" t="s">
        <v>5637</v>
      </c>
      <c r="B1" s="20" t="s">
        <v>5638</v>
      </c>
      <c r="C1" s="1" t="s">
        <v>714</v>
      </c>
      <c r="D1" s="1" t="s">
        <v>715</v>
      </c>
      <c r="E1" s="1" t="s">
        <v>716</v>
      </c>
      <c r="F1" s="1" t="s">
        <v>717</v>
      </c>
      <c r="G1" s="1" t="s">
        <v>718</v>
      </c>
      <c r="H1" s="1" t="s">
        <v>719</v>
      </c>
      <c r="I1" s="1" t="s">
        <v>720</v>
      </c>
      <c r="J1" s="1" t="s">
        <v>721</v>
      </c>
      <c r="K1" s="1" t="s">
        <v>722</v>
      </c>
      <c r="L1" s="1" t="s">
        <v>723</v>
      </c>
      <c r="M1" s="1" t="s">
        <v>724</v>
      </c>
      <c r="N1" s="1" t="s">
        <v>725</v>
      </c>
    </row>
    <row r="2" spans="1:14">
      <c r="A2" s="6" t="s">
        <v>214</v>
      </c>
      <c r="B2" s="20" t="s">
        <v>5639</v>
      </c>
      <c r="C2">
        <f>'2 过程管理表单'!Z5</f>
        <v>9314.35051094891</v>
      </c>
      <c r="D2">
        <f>'2 过程管理表单'!AC5</f>
        <v>8412.96175182482</v>
      </c>
      <c r="E2">
        <f>'2 过程管理表单'!AF5</f>
        <v>9314.35051094891</v>
      </c>
      <c r="F2">
        <f>'2 过程管理表单'!AI5</f>
        <v>9013.88759124088</v>
      </c>
      <c r="G2">
        <f>'2 过程管理表单'!AL5</f>
        <v>9314.35051094891</v>
      </c>
      <c r="H2">
        <f>'2 过程管理表单'!AO5</f>
        <v>9013.9697830217</v>
      </c>
      <c r="I2">
        <f>'2 过程管理表单'!AR5</f>
        <v>9314.43544245576</v>
      </c>
      <c r="J2">
        <f>'2 过程管理表单'!AU5</f>
        <v>3667.47544245576</v>
      </c>
      <c r="K2">
        <f>'2 过程管理表单'!AX5</f>
        <v>3549.1697830217</v>
      </c>
      <c r="L2">
        <f>'2 过程管理表单'!BA5</f>
        <v>3667.47544245576</v>
      </c>
      <c r="M2">
        <f>'2 过程管理表单'!BD5</f>
        <v>3549.1697830217</v>
      </c>
      <c r="N2">
        <f>'2 过程管理表单'!BG4</f>
        <v>3667.47544245576</v>
      </c>
    </row>
    <row r="3" spans="1:14">
      <c r="A3" s="6" t="s">
        <v>214</v>
      </c>
      <c r="B3" s="20" t="s">
        <v>5640</v>
      </c>
      <c r="C3">
        <f t="shared" ref="C3:C7" si="0">C2</f>
        <v>9314.35051094891</v>
      </c>
      <c r="D3">
        <f t="shared" ref="D3:N3" si="1">C3+D2</f>
        <v>17727.3122627737</v>
      </c>
      <c r="E3">
        <f t="shared" si="1"/>
        <v>27041.6627737226</v>
      </c>
      <c r="F3">
        <f t="shared" si="1"/>
        <v>36055.5503649635</v>
      </c>
      <c r="G3">
        <f t="shared" si="1"/>
        <v>45369.9008759124</v>
      </c>
      <c r="H3">
        <f t="shared" si="1"/>
        <v>54383.8706589341</v>
      </c>
      <c r="I3">
        <f t="shared" si="1"/>
        <v>63698.3061013899</v>
      </c>
      <c r="J3">
        <f t="shared" si="1"/>
        <v>67365.7815438456</v>
      </c>
      <c r="K3">
        <f t="shared" si="1"/>
        <v>70914.9513268673</v>
      </c>
      <c r="L3">
        <f t="shared" si="1"/>
        <v>74582.4267693231</v>
      </c>
      <c r="M3">
        <f t="shared" si="1"/>
        <v>78131.5965523448</v>
      </c>
      <c r="N3">
        <f t="shared" si="1"/>
        <v>81799.0719948006</v>
      </c>
    </row>
    <row r="4" spans="1:14">
      <c r="A4" s="6" t="s">
        <v>214</v>
      </c>
      <c r="B4" s="20" t="s">
        <v>5641</v>
      </c>
      <c r="C4">
        <f>'2 过程管理表单'!X5-'2 过程管理表单'!X8-'2 过程管理表单'!X27-'2 过程管理表单'!X46-'2 过程管理表单'!X71-'2 过程管理表单'!X96-'2 过程管理表单'!X115-'2 过程管理表单'!X140-'2 过程管理表单'!X159</f>
        <v>18867.92416</v>
      </c>
      <c r="D4">
        <f>'2 过程管理表单'!AA5-'2 过程管理表单'!AA8-'2 过程管理表单'!AA27-'2 过程管理表单'!AA46-'2 过程管理表单'!AA71-'2 过程管理表单'!AA96-'2 过程管理表单'!AA115-'2 过程管理表单'!AA140-'2 过程管理表单'!AA159</f>
        <v>18867.92416</v>
      </c>
      <c r="E4">
        <f>'2 过程管理表单'!AD5-'2 过程管理表单'!AD8-'2 过程管理表单'!AD27-'2 过程管理表单'!AD46-'2 过程管理表单'!AD71-'2 过程管理表单'!AD96-'2 过程管理表单'!AD115-'2 过程管理表单'!AD140-'2 过程管理表单'!AD159</f>
        <v>18867.92416</v>
      </c>
      <c r="F4">
        <f>'2 过程管理表单'!AG5-'2 过程管理表单'!AG8-'2 过程管理表单'!AG27-'2 过程管理表单'!AG46-'2 过程管理表单'!AG71-'2 过程管理表单'!AG96-'2 过程管理表单'!AG115-'2 过程管理表单'!AG140-'2 过程管理表单'!AG159</f>
        <v>18867.92416</v>
      </c>
      <c r="G4">
        <f>'2 过程管理表单'!AJ5-'2 过程管理表单'!AJ8-'2 过程管理表单'!AJ27-'2 过程管理表单'!AJ46-'2 过程管理表单'!AJ71-'2 过程管理表单'!AJ96-'2 过程管理表单'!AJ115-'2 过程管理表单'!AJ140-'2 过程管理表单'!AJ159</f>
        <v>18867.92416</v>
      </c>
      <c r="H4">
        <f>'2 过程管理表单'!AM5-'2 过程管理表单'!AM8-'2 过程管理表单'!AM27-'2 过程管理表单'!AM46-'2 过程管理表单'!AM71-'2 过程管理表单'!AM96-'2 过程管理表单'!AM115-'2 过程管理表单'!AM140-'2 过程管理表单'!AM159</f>
        <v>18867.92416</v>
      </c>
      <c r="I4">
        <f>'2 过程管理表单'!AP5-'2 过程管理表单'!AP8-'2 过程管理表单'!AP27-'2 过程管理表单'!AP46-'2 过程管理表单'!AP71-'2 过程管理表单'!AP96-'2 过程管理表单'!AP115-'2 过程管理表单'!AP140-'2 过程管理表单'!AP159</f>
        <v>18867.92416</v>
      </c>
      <c r="J4">
        <f>'2 过程管理表单'!AS5-'2 过程管理表单'!AS8-'2 过程管理表单'!AS27-'2 过程管理表单'!AS46-'2 过程管理表单'!AS71-'2 过程管理表单'!AS96-'2 过程管理表单'!AS115-'2 过程管理表单'!AS140-'2 过程管理表单'!AS159</f>
        <v>18867.92416</v>
      </c>
      <c r="K4">
        <f>'2 过程管理表单'!AV5-'2 过程管理表单'!AV8-'2 过程管理表单'!AV27-'2 过程管理表单'!AV46-'2 过程管理表单'!AV71-'2 过程管理表单'!AV96-'2 过程管理表单'!AV115-'2 过程管理表单'!AV140-'2 过程管理表单'!AV159</f>
        <v>18867.92416</v>
      </c>
      <c r="L4">
        <f>'2 过程管理表单'!AY5-'2 过程管理表单'!AY8-'2 过程管理表单'!AY27-'2 过程管理表单'!AY46-'2 过程管理表单'!AY71-'2 过程管理表单'!AY96-'2 过程管理表单'!AY115-'2 过程管理表单'!AY140-'2 过程管理表单'!AY159</f>
        <v>18867.92416</v>
      </c>
      <c r="M4">
        <f>'2 过程管理表单'!BB5-'2 过程管理表单'!BB8-'2 过程管理表单'!BB27-'2 过程管理表单'!BB46-'2 过程管理表单'!BB71-'2 过程管理表单'!BB96-'2 过程管理表单'!BB115-'2 过程管理表单'!BB140-'2 过程管理表单'!BB159</f>
        <v>18867.92416</v>
      </c>
      <c r="N4">
        <f>'2 过程管理表单'!BE5-'2 过程管理表单'!BE8-'2 过程管理表单'!BE27-'2 过程管理表单'!BE46-'2 过程管理表单'!BE71-'2 过程管理表单'!BE96-'2 过程管理表单'!BE115-'2 过程管理表单'!BE140-'2 过程管理表单'!BE159</f>
        <v>18867.92416</v>
      </c>
    </row>
    <row r="5" spans="1:14">
      <c r="A5" s="6" t="s">
        <v>214</v>
      </c>
      <c r="B5" s="20" t="s">
        <v>5642</v>
      </c>
      <c r="C5">
        <f t="shared" si="0"/>
        <v>18867.92416</v>
      </c>
      <c r="D5">
        <f t="shared" ref="D5:N5" si="2">C5+D4</f>
        <v>37735.84832</v>
      </c>
      <c r="E5">
        <f t="shared" si="2"/>
        <v>56603.77248</v>
      </c>
      <c r="F5">
        <f t="shared" si="2"/>
        <v>75471.69664</v>
      </c>
      <c r="G5">
        <f t="shared" si="2"/>
        <v>94339.6208</v>
      </c>
      <c r="H5">
        <f t="shared" si="2"/>
        <v>113207.54496</v>
      </c>
      <c r="I5">
        <f t="shared" si="2"/>
        <v>132075.46912</v>
      </c>
      <c r="J5">
        <f t="shared" si="2"/>
        <v>150943.39328</v>
      </c>
      <c r="K5">
        <f t="shared" si="2"/>
        <v>169811.31744</v>
      </c>
      <c r="L5">
        <f t="shared" si="2"/>
        <v>188679.2416</v>
      </c>
      <c r="M5">
        <f t="shared" si="2"/>
        <v>207547.16576</v>
      </c>
      <c r="N5">
        <f t="shared" si="2"/>
        <v>226415.08992</v>
      </c>
    </row>
    <row r="6" spans="1:14">
      <c r="A6" s="6" t="s">
        <v>9</v>
      </c>
      <c r="B6" s="37" t="s">
        <v>5643</v>
      </c>
      <c r="C6">
        <f>'2 过程管理表单'!Z508</f>
        <v>1769.53</v>
      </c>
      <c r="D6">
        <f>'2 过程管理表单'!AC508</f>
        <v>0</v>
      </c>
      <c r="E6">
        <f>'2 过程管理表单'!AF508</f>
        <v>1238.54</v>
      </c>
      <c r="F6">
        <f>'2 过程管理表单'!AI508</f>
        <v>1488.31</v>
      </c>
      <c r="G6">
        <f>'2 过程管理表单'!AL508</f>
        <v>838</v>
      </c>
      <c r="H6">
        <f>'2 过程管理表单'!AO508</f>
        <v>1466.2</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7" t="s">
        <v>5644</v>
      </c>
      <c r="C7">
        <f t="shared" si="0"/>
        <v>1769.53</v>
      </c>
      <c r="D7">
        <f t="shared" ref="D7:N7" si="3">C7+D6</f>
        <v>1769.53</v>
      </c>
      <c r="E7">
        <f t="shared" si="3"/>
        <v>3008.07</v>
      </c>
      <c r="F7">
        <f t="shared" si="3"/>
        <v>4496.38</v>
      </c>
      <c r="G7">
        <f t="shared" si="3"/>
        <v>5334.38</v>
      </c>
      <c r="H7">
        <f t="shared" si="3"/>
        <v>6800.58</v>
      </c>
      <c r="I7">
        <f t="shared" si="3"/>
        <v>6800.58</v>
      </c>
      <c r="J7">
        <f t="shared" si="3"/>
        <v>6800.58</v>
      </c>
      <c r="K7">
        <f t="shared" si="3"/>
        <v>6800.58</v>
      </c>
      <c r="L7">
        <f t="shared" si="3"/>
        <v>6800.58</v>
      </c>
      <c r="M7">
        <f t="shared" si="3"/>
        <v>6800.58</v>
      </c>
      <c r="N7">
        <f t="shared" si="3"/>
        <v>6800.58</v>
      </c>
    </row>
    <row r="8" spans="1:14">
      <c r="A8" s="6" t="s">
        <v>9</v>
      </c>
      <c r="B8" s="20" t="s">
        <v>5645</v>
      </c>
      <c r="C8">
        <f>'2 过程管理表单'!X508</f>
        <v>43164.6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5646</v>
      </c>
      <c r="C9">
        <f t="shared" ref="C9:C13" si="4">C8</f>
        <v>43164.6</v>
      </c>
      <c r="D9">
        <f t="shared" ref="D9:N9" si="5">C9+D8</f>
        <v>43164.6</v>
      </c>
      <c r="E9">
        <f t="shared" si="5"/>
        <v>43164.6</v>
      </c>
      <c r="F9">
        <f t="shared" si="5"/>
        <v>43164.6</v>
      </c>
      <c r="G9">
        <f t="shared" si="5"/>
        <v>43164.6</v>
      </c>
      <c r="H9">
        <f t="shared" si="5"/>
        <v>43164.6</v>
      </c>
      <c r="I9">
        <f t="shared" si="5"/>
        <v>43164.6</v>
      </c>
      <c r="J9">
        <f t="shared" si="5"/>
        <v>43164.6</v>
      </c>
      <c r="K9">
        <f t="shared" si="5"/>
        <v>43164.6</v>
      </c>
      <c r="L9">
        <f t="shared" si="5"/>
        <v>43164.6</v>
      </c>
      <c r="M9">
        <f t="shared" si="5"/>
        <v>43164.6</v>
      </c>
      <c r="N9">
        <f t="shared" si="5"/>
        <v>43164.6</v>
      </c>
    </row>
    <row r="10" spans="1:14">
      <c r="A10" s="6" t="s">
        <v>64</v>
      </c>
      <c r="B10" s="20" t="s">
        <v>5647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5648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5649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5650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5651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5652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5653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5654</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8" t="s">
        <v>216</v>
      </c>
      <c r="B18" s="20" t="s">
        <v>5655</v>
      </c>
      <c r="C18">
        <f>'2 过程管理表单'!Z603</f>
        <v>0</v>
      </c>
      <c r="D18">
        <f>'2 过程管理表单'!AC603</f>
        <v>0</v>
      </c>
      <c r="E18">
        <f>'2 过程管理表单'!AF603</f>
        <v>4711.6</v>
      </c>
      <c r="F18">
        <f>'2 过程管理表单'!AI603</f>
        <v>0</v>
      </c>
      <c r="G18">
        <f>'2 过程管理表单'!AL603</f>
        <v>0</v>
      </c>
      <c r="H18">
        <f>'2 过程管理表单'!AO603</f>
        <v>4711.6</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5656</v>
      </c>
      <c r="C19">
        <f t="shared" si="8"/>
        <v>0</v>
      </c>
      <c r="D19">
        <f>表3_36[[#This Row],[1月]]+D18</f>
        <v>0</v>
      </c>
      <c r="E19">
        <f>表3_36[[#This Row],[2月]]+E18</f>
        <v>4711.6</v>
      </c>
      <c r="F19">
        <f>表3_36[[#This Row],[3月]]+F18</f>
        <v>4711.6</v>
      </c>
      <c r="G19">
        <f>表3_36[[#This Row],[4月]]+G18</f>
        <v>4711.6</v>
      </c>
      <c r="H19">
        <f>表3_36[[#This Row],[5月]]+H18</f>
        <v>9423.2</v>
      </c>
      <c r="I19">
        <f>表3_36[[#This Row],[6月]]+I18</f>
        <v>9423.2</v>
      </c>
      <c r="J19">
        <f>表3_36[[#This Row],[7月]]+J18</f>
        <v>9423.2</v>
      </c>
      <c r="K19">
        <f>表3_36[[#This Row],[8月]]+K18</f>
        <v>9423.2</v>
      </c>
      <c r="L19">
        <f>表3_36[[#This Row],[9月]]+L18</f>
        <v>9423.2</v>
      </c>
      <c r="M19">
        <f>表3_36[[#This Row],[10月]]+M18</f>
        <v>9423.2</v>
      </c>
      <c r="N19">
        <f>表3_36[[#This Row],[11月]]+N18</f>
        <v>9423.2</v>
      </c>
    </row>
    <row r="20" spans="1:14">
      <c r="A20" s="6" t="s">
        <v>216</v>
      </c>
      <c r="B20" s="20" t="s">
        <v>5657</v>
      </c>
      <c r="C20">
        <f>'2 过程管理表单'!X603</f>
        <v>44806.6675</v>
      </c>
      <c r="D20">
        <f>'2 过程管理表单'!AA603</f>
        <v>8806.6675</v>
      </c>
      <c r="E20">
        <f>'2 过程管理表单'!AD603</f>
        <v>8806.6675</v>
      </c>
      <c r="F20">
        <f>'2 过程管理表单'!AG603</f>
        <v>8806.6675</v>
      </c>
      <c r="G20">
        <f>'2 过程管理表单'!AJ603</f>
        <v>8806.6675</v>
      </c>
      <c r="H20">
        <f>'2 过程管理表单'!AM603</f>
        <v>8806.6675</v>
      </c>
      <c r="I20">
        <f>'2 过程管理表单'!AP603</f>
        <v>8806.6675</v>
      </c>
      <c r="J20">
        <f>'2 过程管理表单'!AS603</f>
        <v>8806.6675</v>
      </c>
      <c r="K20">
        <f>'2 过程管理表单'!AV603</f>
        <v>8806.6675</v>
      </c>
      <c r="L20">
        <f>'2 过程管理表单'!AY603</f>
        <v>8806.6675</v>
      </c>
      <c r="M20">
        <f>'2 过程管理表单'!BB603</f>
        <v>8806.6675</v>
      </c>
      <c r="N20">
        <f>'2 过程管理表单'!BE603</f>
        <v>8806.6675</v>
      </c>
    </row>
    <row r="21" spans="1:14">
      <c r="A21" s="6" t="s">
        <v>216</v>
      </c>
      <c r="B21" s="20" t="s">
        <v>5658</v>
      </c>
      <c r="C21">
        <f t="shared" ref="C21:C25" si="10">C20</f>
        <v>44806.6675</v>
      </c>
      <c r="D21">
        <f>表3_36[[#This Row],[1月]]+D20</f>
        <v>53613.335</v>
      </c>
      <c r="E21">
        <f>表3_36[[#This Row],[2月]]+E20</f>
        <v>62420.0025</v>
      </c>
      <c r="F21">
        <f>表3_36[[#This Row],[3月]]+F20</f>
        <v>71226.67</v>
      </c>
      <c r="G21">
        <f>表3_36[[#This Row],[4月]]+G20</f>
        <v>80033.3375</v>
      </c>
      <c r="H21">
        <f>表3_36[[#This Row],[5月]]+H20</f>
        <v>88840.005</v>
      </c>
      <c r="I21">
        <f>表3_36[[#This Row],[6月]]+I20</f>
        <v>97646.6725</v>
      </c>
      <c r="J21">
        <f>表3_36[[#This Row],[7月]]+J20</f>
        <v>106453.34</v>
      </c>
      <c r="K21">
        <f>表3_36[[#This Row],[8月]]+K20</f>
        <v>115260.0075</v>
      </c>
      <c r="L21">
        <f>表3_36[[#This Row],[9月]]+L20</f>
        <v>124066.675</v>
      </c>
      <c r="M21">
        <f>表3_36[[#This Row],[10月]]+M20</f>
        <v>132873.3425</v>
      </c>
      <c r="N21">
        <f>表3_36[[#This Row],[11月]]+N20</f>
        <v>141680.01</v>
      </c>
    </row>
    <row r="22" spans="1:14">
      <c r="A22" s="6" t="s">
        <v>217</v>
      </c>
      <c r="B22" s="20" t="s">
        <v>5659</v>
      </c>
      <c r="C22">
        <f>'2 过程管理表单'!Z616</f>
        <v>138</v>
      </c>
      <c r="D22">
        <f>'2 过程管理表单'!AC616</f>
        <v>0</v>
      </c>
      <c r="E22">
        <f>'2 过程管理表单'!AF616</f>
        <v>140</v>
      </c>
      <c r="F22">
        <f>'2 过程管理表单'!AI616</f>
        <v>0</v>
      </c>
      <c r="G22">
        <f>'2 过程管理表单'!AL616</f>
        <v>138</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5660</v>
      </c>
      <c r="C23">
        <f t="shared" si="10"/>
        <v>138</v>
      </c>
      <c r="D23">
        <f>表3_36[[#This Row],[1月]]+D22</f>
        <v>138</v>
      </c>
      <c r="E23">
        <f>表3_36[[#This Row],[2月]]+E22</f>
        <v>278</v>
      </c>
      <c r="F23">
        <f>表3_36[[#This Row],[3月]]+F22</f>
        <v>278</v>
      </c>
      <c r="G23">
        <f>表3_36[[#This Row],[4月]]+G22</f>
        <v>416</v>
      </c>
      <c r="H23">
        <f>表3_36[[#This Row],[5月]]+H22</f>
        <v>416</v>
      </c>
      <c r="I23">
        <f>表3_36[[#This Row],[6月]]+I22</f>
        <v>416</v>
      </c>
      <c r="J23">
        <f>表3_36[[#This Row],[7月]]+J22</f>
        <v>416</v>
      </c>
      <c r="K23">
        <f>表3_36[[#This Row],[8月]]+K22</f>
        <v>416</v>
      </c>
      <c r="L23">
        <f>表3_36[[#This Row],[9月]]+L22</f>
        <v>416</v>
      </c>
      <c r="M23">
        <f>表3_36[[#This Row],[10月]]+M22</f>
        <v>416</v>
      </c>
      <c r="N23">
        <f>表3_36[[#This Row],[11月]]+N22</f>
        <v>416</v>
      </c>
    </row>
    <row r="24" spans="1:14">
      <c r="A24" s="6" t="s">
        <v>217</v>
      </c>
      <c r="B24" s="20" t="s">
        <v>5661</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5662</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9" t="s">
        <v>5664</v>
      </c>
      <c r="B26" s="40" t="s">
        <v>5665</v>
      </c>
      <c r="C26">
        <f>'2 过程管理表单'!Z6</f>
        <v>3667.39051094891</v>
      </c>
      <c r="D26">
        <f>'2 过程管理表单'!AC6</f>
        <v>3312.48175182482</v>
      </c>
      <c r="E26">
        <f>'2 过程管理表单'!AF6</f>
        <v>3667.39051094891</v>
      </c>
      <c r="F26">
        <f>'2 过程管理表单'!AI6</f>
        <v>3549.08759124088</v>
      </c>
      <c r="G26">
        <f>'2 过程管理表单'!AL6</f>
        <v>3667.39051094891</v>
      </c>
      <c r="H26">
        <f>'2 过程管理表单'!AO6</f>
        <v>3549.1697830217</v>
      </c>
      <c r="I26">
        <f>'2 过程管理表单'!AR6</f>
        <v>3667.47544245576</v>
      </c>
      <c r="J26">
        <f>'2 过程管理表单'!AU6</f>
        <v>3667.47544245576</v>
      </c>
      <c r="K26">
        <f>'2 过程管理表单'!AX6</f>
        <v>3549.1697830217</v>
      </c>
      <c r="L26">
        <f>'2 过程管理表单'!BA6</f>
        <v>3667.47544245576</v>
      </c>
      <c r="M26">
        <f>'2 过程管理表单'!BD6</f>
        <v>3549.1697830217</v>
      </c>
      <c r="N26">
        <f>'2 过程管理表单'!BG6</f>
        <v>3667.47544245576</v>
      </c>
    </row>
    <row r="27" spans="1:14">
      <c r="A27" s="39" t="s">
        <v>5664</v>
      </c>
      <c r="B27" s="40" t="s">
        <v>5666</v>
      </c>
      <c r="C27">
        <f t="shared" ref="C27:C31" si="11">C26</f>
        <v>3667.39051094891</v>
      </c>
      <c r="D27">
        <f>表3_36[[#This Row],[1月]]+D26</f>
        <v>6979.87226277373</v>
      </c>
      <c r="E27">
        <f>表3_36[[#This Row],[2月]]+E26</f>
        <v>10647.2627737226</v>
      </c>
      <c r="F27">
        <f>表3_36[[#This Row],[3月]]+F26</f>
        <v>14196.3503649635</v>
      </c>
      <c r="G27">
        <f>表3_36[[#This Row],[4月]]+G26</f>
        <v>17863.7408759124</v>
      </c>
      <c r="H27">
        <f>表3_36[[#This Row],[5月]]+H26</f>
        <v>21412.9106589341</v>
      </c>
      <c r="I27">
        <f>表3_36[[#This Row],[6月]]+I26</f>
        <v>25080.3861013899</v>
      </c>
      <c r="J27">
        <f>表3_36[[#This Row],[7月]]+J26</f>
        <v>28747.8615438457</v>
      </c>
      <c r="K27">
        <f>表3_36[[#This Row],[8月]]+K26</f>
        <v>32297.0313268674</v>
      </c>
      <c r="L27">
        <f>表3_36[[#This Row],[9月]]+L26</f>
        <v>35964.5067693231</v>
      </c>
      <c r="M27">
        <f>表3_36[[#This Row],[10月]]+M26</f>
        <v>39513.6765523448</v>
      </c>
      <c r="N27">
        <f>表3_36[[#This Row],[11月]]+N26</f>
        <v>43181.1519948006</v>
      </c>
    </row>
    <row r="28" spans="1:14">
      <c r="A28" s="39" t="s">
        <v>5664</v>
      </c>
      <c r="B28" s="40" t="s">
        <v>5667</v>
      </c>
      <c r="C28">
        <f>'2 过程管理表单'!X6</f>
        <v>231902.924158</v>
      </c>
      <c r="D28">
        <f>'2 过程管理表单'!AA6</f>
        <v>221686.924158</v>
      </c>
      <c r="E28">
        <f>'2 过程管理表单'!AD6</f>
        <v>224536.924158</v>
      </c>
      <c r="F28">
        <f>'2 过程管理表单'!AG6</f>
        <v>221686.924158</v>
      </c>
      <c r="G28">
        <f>'2 过程管理表单'!AJ6</f>
        <v>228036.924158</v>
      </c>
      <c r="H28">
        <f>'2 过程管理表单'!AM6</f>
        <v>221086.924158</v>
      </c>
      <c r="I28">
        <f>'2 过程管理表单'!AP6</f>
        <v>220386.924158</v>
      </c>
      <c r="J28">
        <f>'2 过程管理表单'!AS6</f>
        <v>224536.924158</v>
      </c>
      <c r="K28">
        <f>'2 过程管理表单'!AV6</f>
        <v>226186.924158</v>
      </c>
      <c r="L28">
        <f>'2 过程管理表单'!AY6</f>
        <v>224536.924158</v>
      </c>
      <c r="M28">
        <f>'2 过程管理表单'!BB6</f>
        <v>220386.924158</v>
      </c>
      <c r="N28">
        <f>'2 过程管理表单'!BE6</f>
        <v>220386.924158</v>
      </c>
    </row>
    <row r="29" spans="1:14">
      <c r="A29" s="39" t="s">
        <v>5664</v>
      </c>
      <c r="B29" s="40" t="s">
        <v>5668</v>
      </c>
      <c r="C29">
        <f t="shared" si="11"/>
        <v>231902.924158</v>
      </c>
      <c r="D29">
        <f>表3_36[[#This Row],[1月]]+D28</f>
        <v>453589.848316</v>
      </c>
      <c r="E29">
        <f>表3_36[[#This Row],[2月]]+E28</f>
        <v>678126.772474</v>
      </c>
      <c r="F29">
        <f>表3_36[[#This Row],[3月]]+F28</f>
        <v>899813.696632</v>
      </c>
      <c r="G29">
        <f>表3_36[[#This Row],[4月]]+G28</f>
        <v>1127850.62079</v>
      </c>
      <c r="H29">
        <f>表3_36[[#This Row],[5月]]+H28</f>
        <v>1348937.544948</v>
      </c>
      <c r="I29">
        <f>表3_36[[#This Row],[6月]]+I28</f>
        <v>1569324.469106</v>
      </c>
      <c r="J29">
        <f>表3_36[[#This Row],[7月]]+J28</f>
        <v>1793861.393264</v>
      </c>
      <c r="K29">
        <f>表3_36[[#This Row],[8月]]+K28</f>
        <v>2020048.317422</v>
      </c>
      <c r="L29">
        <f>表3_36[[#This Row],[9月]]+L28</f>
        <v>2244585.24158</v>
      </c>
      <c r="M29">
        <f>表3_36[[#This Row],[10月]]+M28</f>
        <v>2464972.165738</v>
      </c>
      <c r="N29">
        <f>表3_36[[#This Row],[11月]]+N28</f>
        <v>2685359.089896</v>
      </c>
    </row>
    <row r="30" spans="1:14">
      <c r="A30" s="39" t="s">
        <v>5669</v>
      </c>
      <c r="B30" s="40" t="s">
        <v>5665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9" t="s">
        <v>5669</v>
      </c>
      <c r="B31" s="40" t="s">
        <v>5666</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9" t="s">
        <v>5669</v>
      </c>
      <c r="B32" s="40" t="s">
        <v>5667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9" t="s">
        <v>5669</v>
      </c>
      <c r="B33" s="40" t="s">
        <v>5668</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9" t="s">
        <v>5670</v>
      </c>
      <c r="B34" s="40" t="s">
        <v>5665</v>
      </c>
      <c r="C34" s="41">
        <f>'2 过程管理表单'!Z177</f>
        <v>5646.96</v>
      </c>
      <c r="D34" s="41">
        <f>'2 过程管理表单'!AC177</f>
        <v>5100.48</v>
      </c>
      <c r="E34" s="41">
        <f>'2 过程管理表单'!AF177</f>
        <v>5646.96</v>
      </c>
      <c r="F34" s="41">
        <f>'2 过程管理表单'!AI177</f>
        <v>5464.8</v>
      </c>
      <c r="G34" s="41">
        <f>'2 过程管理表单'!AL177</f>
        <v>5646.96</v>
      </c>
      <c r="H34" s="41">
        <f>'2 过程管理表单'!AO177</f>
        <v>5464.8</v>
      </c>
      <c r="I34" s="41">
        <f>'2 过程管理表单'!AR177</f>
        <v>5646.96</v>
      </c>
      <c r="J34" s="41">
        <f>'2 过程管理表单'!AU177</f>
        <v>0</v>
      </c>
      <c r="K34" s="41">
        <f>'2 过程管理表单'!AX177</f>
        <v>0</v>
      </c>
      <c r="L34" s="41">
        <f>'2 过程管理表单'!BA177</f>
        <v>0</v>
      </c>
      <c r="M34" s="41">
        <f>'2 过程管理表单'!BD177</f>
        <v>0</v>
      </c>
      <c r="N34" s="41">
        <f>'2 过程管理表单'!BG177</f>
        <v>0</v>
      </c>
    </row>
    <row r="35" spans="1:14">
      <c r="A35" s="39" t="s">
        <v>5670</v>
      </c>
      <c r="B35" s="40" t="s">
        <v>5666</v>
      </c>
      <c r="C35" s="41">
        <f t="shared" si="12"/>
        <v>5646.96</v>
      </c>
      <c r="D35" s="41">
        <f>C35+C34</f>
        <v>11293.92</v>
      </c>
      <c r="E35" s="41">
        <f t="shared" ref="E35:G35" si="13">D35+E34</f>
        <v>16940.88</v>
      </c>
      <c r="F35" s="41">
        <f t="shared" si="13"/>
        <v>22405.68</v>
      </c>
      <c r="G35" s="41">
        <f t="shared" si="13"/>
        <v>28052.64</v>
      </c>
      <c r="H35" s="41">
        <f t="shared" ref="H35:N35" si="14">H34+G35</f>
        <v>33517.44</v>
      </c>
      <c r="I35" s="41">
        <f t="shared" si="14"/>
        <v>39164.4</v>
      </c>
      <c r="J35" s="41">
        <f t="shared" si="14"/>
        <v>39164.4</v>
      </c>
      <c r="K35" s="41">
        <f t="shared" si="14"/>
        <v>39164.4</v>
      </c>
      <c r="L35" s="41">
        <f t="shared" si="14"/>
        <v>39164.4</v>
      </c>
      <c r="M35" s="41">
        <f t="shared" si="14"/>
        <v>39164.4</v>
      </c>
      <c r="N35" s="41">
        <f t="shared" si="14"/>
        <v>39164.4</v>
      </c>
    </row>
    <row r="36" spans="1:14">
      <c r="A36" s="39" t="s">
        <v>5670</v>
      </c>
      <c r="B36" s="40" t="s">
        <v>5667</v>
      </c>
      <c r="C36" s="41">
        <f>'2 过程管理表单'!X177</f>
        <v>0</v>
      </c>
      <c r="D36" s="41">
        <f>'2 过程管理表单'!AA177</f>
        <v>0</v>
      </c>
      <c r="E36" s="41">
        <f>'2 过程管理表单'!AD177</f>
        <v>0</v>
      </c>
      <c r="F36" s="41">
        <f>'2 过程管理表单'!AG177</f>
        <v>0</v>
      </c>
      <c r="G36" s="41">
        <f>'2 过程管理表单'!AJ177</f>
        <v>0</v>
      </c>
      <c r="H36" s="41">
        <f>'2 过程管理表单'!AM177</f>
        <v>0</v>
      </c>
      <c r="I36" s="41">
        <f>'2 过程管理表单'!AP177</f>
        <v>0</v>
      </c>
      <c r="J36" s="41">
        <f>'2 过程管理表单'!AS177</f>
        <v>0</v>
      </c>
      <c r="K36" s="41">
        <f>'2 过程管理表单'!AV177</f>
        <v>0</v>
      </c>
      <c r="L36" s="41">
        <f>'2 过程管理表单'!AY177</f>
        <v>0</v>
      </c>
      <c r="M36" s="41">
        <f>'2 过程管理表单'!BB177</f>
        <v>0</v>
      </c>
      <c r="N36" s="41">
        <f>'2 过程管理表单'!BE177</f>
        <v>0</v>
      </c>
    </row>
    <row r="37" spans="1:14">
      <c r="A37" s="39" t="s">
        <v>5670</v>
      </c>
      <c r="B37" s="40" t="s">
        <v>5668</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42" t="s">
        <v>5671</v>
      </c>
      <c r="B38" s="20" t="s">
        <v>5672</v>
      </c>
      <c r="C38">
        <f t="shared" ref="C38:N38" si="16">C5+C9+C13+C17+C21+C25</f>
        <v>106839.19166</v>
      </c>
      <c r="D38">
        <f t="shared" si="16"/>
        <v>134513.78332</v>
      </c>
      <c r="E38">
        <f t="shared" si="16"/>
        <v>162188.37498</v>
      </c>
      <c r="F38">
        <f t="shared" si="16"/>
        <v>189862.96664</v>
      </c>
      <c r="G38">
        <f t="shared" si="16"/>
        <v>217537.5583</v>
      </c>
      <c r="H38">
        <f t="shared" si="16"/>
        <v>245212.14996</v>
      </c>
      <c r="I38">
        <f t="shared" si="16"/>
        <v>272886.74162</v>
      </c>
      <c r="J38">
        <f t="shared" si="16"/>
        <v>300561.33328</v>
      </c>
      <c r="K38">
        <f t="shared" si="16"/>
        <v>328235.92494</v>
      </c>
      <c r="L38">
        <f t="shared" si="16"/>
        <v>355910.5166</v>
      </c>
      <c r="M38">
        <f t="shared" si="16"/>
        <v>383585.10826</v>
      </c>
      <c r="N38">
        <f t="shared" si="16"/>
        <v>411259.69992</v>
      </c>
    </row>
    <row r="39" spans="1:14">
      <c r="A39" s="42" t="s">
        <v>5671</v>
      </c>
      <c r="B39" s="20" t="s">
        <v>5673</v>
      </c>
      <c r="C39">
        <f t="shared" ref="C39:N39" si="17">C3+C7+C11+C15+C19+C23</f>
        <v>11221.8805109489</v>
      </c>
      <c r="D39">
        <f t="shared" si="17"/>
        <v>19634.8422627737</v>
      </c>
      <c r="E39">
        <f t="shared" si="17"/>
        <v>35039.3327737226</v>
      </c>
      <c r="F39">
        <f t="shared" si="17"/>
        <v>45541.5303649635</v>
      </c>
      <c r="G39">
        <f t="shared" si="17"/>
        <v>55831.8808759124</v>
      </c>
      <c r="H39">
        <f t="shared" si="17"/>
        <v>71023.6506589341</v>
      </c>
      <c r="I39">
        <f t="shared" si="17"/>
        <v>80338.0861013899</v>
      </c>
      <c r="J39">
        <f t="shared" si="17"/>
        <v>84005.5615438456</v>
      </c>
      <c r="K39">
        <f t="shared" si="17"/>
        <v>87554.7313268673</v>
      </c>
      <c r="L39">
        <f t="shared" si="17"/>
        <v>91222.2067693231</v>
      </c>
      <c r="M39">
        <f t="shared" si="17"/>
        <v>94771.3765523448</v>
      </c>
      <c r="N39">
        <f t="shared" si="17"/>
        <v>98438.8519948006</v>
      </c>
    </row>
    <row r="42" spans="1:14">
      <c r="A42" s="12" t="s">
        <v>214</v>
      </c>
      <c r="B42" t="s">
        <v>5674</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5674</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5674</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5674</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5674</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5674</v>
      </c>
      <c r="C47">
        <f t="shared" ref="C47:N47" si="23">IF(C23&gt;C25,1,0)</f>
        <v>1</v>
      </c>
      <c r="D47">
        <f t="shared" si="23"/>
        <v>1</v>
      </c>
      <c r="E47">
        <f t="shared" si="23"/>
        <v>1</v>
      </c>
      <c r="F47">
        <f t="shared" si="23"/>
        <v>1</v>
      </c>
      <c r="G47">
        <f t="shared" si="23"/>
        <v>1</v>
      </c>
      <c r="H47">
        <f t="shared" si="23"/>
        <v>1</v>
      </c>
      <c r="I47">
        <f t="shared" si="23"/>
        <v>1</v>
      </c>
      <c r="J47">
        <f t="shared" si="23"/>
        <v>1</v>
      </c>
      <c r="K47">
        <f t="shared" si="23"/>
        <v>1</v>
      </c>
      <c r="L47">
        <f t="shared" si="23"/>
        <v>1</v>
      </c>
      <c r="M47">
        <f t="shared" si="23"/>
        <v>1</v>
      </c>
      <c r="N47">
        <f t="shared" si="23"/>
        <v>1</v>
      </c>
    </row>
    <row r="48" spans="2:14">
      <c r="B48" t="s">
        <v>2377</v>
      </c>
      <c r="C48">
        <f t="shared" ref="C48:N48" si="24">SUM(C42:C47)</f>
        <v>1</v>
      </c>
      <c r="D48">
        <f t="shared" si="24"/>
        <v>1</v>
      </c>
      <c r="E48">
        <f t="shared" si="24"/>
        <v>1</v>
      </c>
      <c r="F48">
        <f t="shared" si="24"/>
        <v>1</v>
      </c>
      <c r="G48">
        <f t="shared" si="24"/>
        <v>1</v>
      </c>
      <c r="H48">
        <f t="shared" si="24"/>
        <v>1</v>
      </c>
      <c r="I48">
        <f t="shared" si="24"/>
        <v>1</v>
      </c>
      <c r="J48">
        <f t="shared" si="24"/>
        <v>1</v>
      </c>
      <c r="K48">
        <f t="shared" si="24"/>
        <v>1</v>
      </c>
      <c r="L48">
        <f t="shared" si="24"/>
        <v>1</v>
      </c>
      <c r="M48">
        <f t="shared" si="24"/>
        <v>1</v>
      </c>
      <c r="N48">
        <f t="shared" si="24"/>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98" workbookViewId="0">
      <selection activeCell="K16" sqref="K16"/>
    </sheetView>
  </sheetViews>
  <sheetFormatPr defaultColWidth="9" defaultRowHeight="14"/>
  <cols>
    <col min="1" max="1" width="53.8727272727273" customWidth="1"/>
    <col min="2" max="2" width="6.12727272727273" customWidth="1"/>
    <col min="4" max="4" width="9.37272727272727"/>
    <col min="5" max="5" width="10.3727272727273"/>
    <col min="6" max="6" width="14.8727272727273"/>
    <col min="7" max="7" width="10.3727272727273"/>
    <col min="8" max="9" width="9.37272727272727"/>
  </cols>
  <sheetData>
    <row r="1" spans="1:15">
      <c r="A1" s="17" t="s">
        <v>4788</v>
      </c>
      <c r="B1" s="18"/>
      <c r="C1" s="18" t="s">
        <v>4789</v>
      </c>
      <c r="D1" s="19" t="s">
        <v>4753</v>
      </c>
      <c r="E1" s="19" t="s">
        <v>4754</v>
      </c>
      <c r="F1" s="19" t="s">
        <v>4755</v>
      </c>
      <c r="G1" s="19" t="s">
        <v>4756</v>
      </c>
      <c r="H1" s="19" t="s">
        <v>4757</v>
      </c>
      <c r="I1" s="19" t="s">
        <v>4758</v>
      </c>
      <c r="J1" s="19" t="s">
        <v>4759</v>
      </c>
      <c r="K1" s="19" t="s">
        <v>4760</v>
      </c>
      <c r="L1" s="19" t="s">
        <v>4761</v>
      </c>
      <c r="M1" s="19" t="s">
        <v>4762</v>
      </c>
      <c r="N1" s="19" t="s">
        <v>4763</v>
      </c>
      <c r="O1" s="19" t="s">
        <v>4764</v>
      </c>
    </row>
    <row r="2" ht="14.5" spans="1:15">
      <c r="A2" s="20" t="s">
        <v>2840</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4711.6</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4711.6</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4790</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4791</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4792</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4793</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4794</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4795</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4796</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4049</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4797</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4798</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4799</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4800</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4801</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29" spans="1:15">
      <c r="A16" s="20" t="s">
        <v>4802</v>
      </c>
      <c r="B16" s="21" t="s">
        <v>2273</v>
      </c>
      <c r="C16" s="22" t="s">
        <v>2274</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29" spans="1:15">
      <c r="A17" s="20" t="s">
        <v>4803</v>
      </c>
      <c r="B17" s="21" t="s">
        <v>2273</v>
      </c>
      <c r="C17" s="22" t="s">
        <v>2274</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29" spans="1:15">
      <c r="A18" s="20" t="s">
        <v>3902</v>
      </c>
      <c r="B18" s="21" t="s">
        <v>2273</v>
      </c>
      <c r="C18" s="22" t="s">
        <v>2274</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29" spans="1:15">
      <c r="A19" s="20" t="s">
        <v>4804</v>
      </c>
      <c r="B19" s="21" t="s">
        <v>2273</v>
      </c>
      <c r="C19" s="22" t="s">
        <v>2274</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29" spans="1:15">
      <c r="A20" s="20" t="s">
        <v>3585</v>
      </c>
      <c r="B20" s="21" t="s">
        <v>2273</v>
      </c>
      <c r="C20" s="22" t="s">
        <v>2274</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29" spans="1:15">
      <c r="A21" s="20" t="s">
        <v>4805</v>
      </c>
      <c r="B21" s="21" t="s">
        <v>2273</v>
      </c>
      <c r="C21" s="22" t="s">
        <v>2274</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29" spans="1:15">
      <c r="A22" s="20" t="s">
        <v>4806</v>
      </c>
      <c r="B22" s="21" t="s">
        <v>2273</v>
      </c>
      <c r="C22" s="22" t="s">
        <v>2274</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29" spans="1:15">
      <c r="A23" s="20" t="s">
        <v>4807</v>
      </c>
      <c r="B23" s="21" t="s">
        <v>2273</v>
      </c>
      <c r="C23" s="22" t="s">
        <v>2274</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29" spans="1:15">
      <c r="A24" s="20" t="s">
        <v>4808</v>
      </c>
      <c r="B24" s="21" t="s">
        <v>2273</v>
      </c>
      <c r="C24" s="22" t="s">
        <v>2274</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29" spans="1:15">
      <c r="A25" s="20" t="s">
        <v>3173</v>
      </c>
      <c r="B25" s="21" t="s">
        <v>2273</v>
      </c>
      <c r="C25" s="22" t="s">
        <v>2274</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29" spans="1:15">
      <c r="A26" s="20" t="s">
        <v>4809</v>
      </c>
      <c r="B26" s="21" t="s">
        <v>2273</v>
      </c>
      <c r="C26" s="22" t="s">
        <v>2274</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29" spans="1:15">
      <c r="A27" s="20" t="s">
        <v>4810</v>
      </c>
      <c r="B27" s="21" t="s">
        <v>2273</v>
      </c>
      <c r="C27" s="22" t="s">
        <v>2274</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29" spans="1:15">
      <c r="A28" s="20" t="s">
        <v>4811</v>
      </c>
      <c r="B28" s="21" t="s">
        <v>2273</v>
      </c>
      <c r="C28" s="22" t="s">
        <v>2274</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4812</v>
      </c>
      <c r="B29" s="24"/>
      <c r="C29" s="24" t="s">
        <v>4813</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4814</v>
      </c>
      <c r="B30" s="24"/>
      <c r="C30" s="24" t="s">
        <v>4813</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4815</v>
      </c>
      <c r="B31" s="24"/>
      <c r="C31" s="24" t="s">
        <v>4813</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4816</v>
      </c>
      <c r="B32" s="24"/>
      <c r="C32" s="24" t="s">
        <v>4813</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4817</v>
      </c>
      <c r="B33" s="24"/>
      <c r="C33" s="24" t="s">
        <v>4813</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4818</v>
      </c>
      <c r="B34" s="24"/>
      <c r="C34" s="24" t="s">
        <v>4813</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4819</v>
      </c>
      <c r="B35" s="24"/>
      <c r="C35" s="24" t="s">
        <v>4813</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4820</v>
      </c>
      <c r="B36" s="24"/>
      <c r="C36" s="24" t="s">
        <v>4813</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4821</v>
      </c>
      <c r="B37" s="24"/>
      <c r="C37" s="24" t="s">
        <v>4813</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4822</v>
      </c>
      <c r="B38" s="24"/>
      <c r="C38" s="24" t="s">
        <v>4813</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4823</v>
      </c>
      <c r="B39" s="24"/>
      <c r="C39" s="24" t="s">
        <v>4813</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4824</v>
      </c>
      <c r="B40" s="24"/>
      <c r="C40" s="24" t="s">
        <v>4813</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4825</v>
      </c>
      <c r="B41" s="24"/>
      <c r="C41" s="24" t="s">
        <v>4813</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4826</v>
      </c>
      <c r="B42" s="24"/>
      <c r="C42" s="24" t="s">
        <v>4813</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4827</v>
      </c>
      <c r="B43" s="24"/>
      <c r="C43" s="24" t="s">
        <v>4813</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4828</v>
      </c>
      <c r="B44" s="24"/>
      <c r="C44" s="24" t="s">
        <v>4813</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4829</v>
      </c>
      <c r="B45" s="24"/>
      <c r="C45" s="24" t="s">
        <v>4813</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2963</v>
      </c>
      <c r="B46" s="24"/>
      <c r="C46" s="24" t="s">
        <v>4813</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8666</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3026</v>
      </c>
      <c r="B47" s="24"/>
      <c r="C47" s="24" t="s">
        <v>4813</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2464.4</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4055</v>
      </c>
      <c r="B48" s="24"/>
      <c r="C48" s="24" t="s">
        <v>4813</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4830</v>
      </c>
      <c r="B49" s="24"/>
      <c r="C49" s="24" t="s">
        <v>4813</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4831</v>
      </c>
      <c r="B50" s="24"/>
      <c r="C50" s="24" t="s">
        <v>4813</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4832</v>
      </c>
      <c r="B51" s="24"/>
      <c r="C51" s="24" t="s">
        <v>4813</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4026</v>
      </c>
      <c r="B52" s="24"/>
      <c r="C52" s="24" t="s">
        <v>4813</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4833</v>
      </c>
      <c r="B53" s="24"/>
      <c r="C53" s="24" t="s">
        <v>4813</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4834</v>
      </c>
      <c r="B54" s="24"/>
      <c r="C54" s="24" t="s">
        <v>4813</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4835</v>
      </c>
      <c r="B55" s="24"/>
      <c r="C55" s="24" t="s">
        <v>4813</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4836</v>
      </c>
      <c r="B56" s="24"/>
      <c r="C56" s="24" t="s">
        <v>4813</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4837</v>
      </c>
      <c r="B57" s="24"/>
      <c r="C57" s="24" t="s">
        <v>4813</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4838</v>
      </c>
      <c r="B58" s="24"/>
      <c r="C58" s="24" t="s">
        <v>4813</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4839</v>
      </c>
      <c r="B59" s="24"/>
      <c r="C59" s="24" t="s">
        <v>4813</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4840</v>
      </c>
      <c r="B60" s="24"/>
      <c r="C60" s="24" t="s">
        <v>4813</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2860</v>
      </c>
      <c r="B61" s="24"/>
      <c r="C61" s="24" t="s">
        <v>4813</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38617.92</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3736</v>
      </c>
      <c r="B62" s="24"/>
      <c r="C62" s="24" t="s">
        <v>4813</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4841</v>
      </c>
      <c r="B63" s="24"/>
      <c r="C63" s="24" t="s">
        <v>4813</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4842</v>
      </c>
      <c r="B64" s="24"/>
      <c r="C64" s="24" t="s">
        <v>4813</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4843</v>
      </c>
      <c r="B65" s="24"/>
      <c r="C65" s="24" t="s">
        <v>4813</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4844</v>
      </c>
      <c r="B66" s="24"/>
      <c r="C66" s="24" t="s">
        <v>4813</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4845</v>
      </c>
      <c r="B67" s="24"/>
      <c r="C67" s="24" t="s">
        <v>4813</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4846</v>
      </c>
      <c r="B68" s="24"/>
      <c r="C68" s="24" t="s">
        <v>4813</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4847</v>
      </c>
      <c r="B69" s="24"/>
      <c r="C69" s="24" t="s">
        <v>4813</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4848</v>
      </c>
      <c r="B70" s="24"/>
      <c r="C70" s="24" t="s">
        <v>4813</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4849</v>
      </c>
      <c r="B71" s="24"/>
      <c r="C71" s="24" t="s">
        <v>4813</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4850</v>
      </c>
      <c r="B72" s="24"/>
      <c r="C72" s="24" t="s">
        <v>4813</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4851</v>
      </c>
      <c r="B73" s="24"/>
      <c r="C73" s="24" t="s">
        <v>4813</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4852</v>
      </c>
      <c r="B74" s="24"/>
      <c r="C74" s="24" t="s">
        <v>4813</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4853</v>
      </c>
      <c r="B75" s="24"/>
      <c r="C75" s="24" t="s">
        <v>4813</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4854</v>
      </c>
      <c r="B76" s="24"/>
      <c r="C76" s="24" t="s">
        <v>4813</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4855</v>
      </c>
      <c r="B77" s="24"/>
      <c r="C77" s="24" t="s">
        <v>4813</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4856</v>
      </c>
      <c r="B78" s="24"/>
      <c r="C78" s="24" t="s">
        <v>4813</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4857</v>
      </c>
      <c r="B79" s="24"/>
      <c r="C79" s="24" t="s">
        <v>4813</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4858</v>
      </c>
      <c r="B80" s="24"/>
      <c r="C80" s="24" t="s">
        <v>4813</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4859</v>
      </c>
      <c r="B81" s="24"/>
      <c r="C81" s="24" t="s">
        <v>4813</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4860</v>
      </c>
      <c r="B82" s="24"/>
      <c r="C82" s="24" t="s">
        <v>4813</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4861</v>
      </c>
      <c r="B83" s="24"/>
      <c r="C83" s="24" t="s">
        <v>4813</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4862</v>
      </c>
      <c r="B84" s="24"/>
      <c r="C84" s="24" t="s">
        <v>4813</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4863</v>
      </c>
      <c r="B85" s="24"/>
      <c r="C85" s="24" t="s">
        <v>4813</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3064</v>
      </c>
      <c r="B86" s="24"/>
      <c r="C86" s="24" t="s">
        <v>4813</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38364</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4864</v>
      </c>
      <c r="B87" s="24"/>
      <c r="C87" s="24" t="s">
        <v>4813</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4865</v>
      </c>
      <c r="B88" s="24"/>
      <c r="C88" s="24" t="s">
        <v>4813</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4866</v>
      </c>
      <c r="B89" s="24"/>
      <c r="C89" s="24" t="s">
        <v>4813</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4867</v>
      </c>
      <c r="B90" s="24"/>
      <c r="C90" s="24" t="s">
        <v>4813</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29" spans="1:15">
      <c r="A91" s="20" t="s">
        <v>4868</v>
      </c>
      <c r="B91" s="26" t="s">
        <v>2083</v>
      </c>
      <c r="C91" s="27" t="s">
        <v>2084</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29" spans="1:15">
      <c r="A92" s="20" t="s">
        <v>4869</v>
      </c>
      <c r="B92" s="26" t="s">
        <v>2083</v>
      </c>
      <c r="C92" s="27" t="s">
        <v>2084</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29" spans="1:15">
      <c r="A93" s="20" t="s">
        <v>4870</v>
      </c>
      <c r="B93" s="26" t="s">
        <v>2083</v>
      </c>
      <c r="C93" s="27" t="s">
        <v>2084</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29" spans="1:15">
      <c r="A94" s="20" t="s">
        <v>4871</v>
      </c>
      <c r="B94" s="26" t="s">
        <v>2083</v>
      </c>
      <c r="C94" s="27" t="s">
        <v>2084</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29" spans="1:15">
      <c r="A95" s="20" t="s">
        <v>3366</v>
      </c>
      <c r="B95" s="26" t="s">
        <v>2083</v>
      </c>
      <c r="C95" s="27" t="s">
        <v>2084</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29" spans="1:15">
      <c r="A96" s="20" t="s">
        <v>4872</v>
      </c>
      <c r="B96" s="26" t="s">
        <v>2083</v>
      </c>
      <c r="C96" s="27" t="s">
        <v>2084</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29" spans="1:15">
      <c r="A97" s="20" t="s">
        <v>4873</v>
      </c>
      <c r="B97" s="26" t="s">
        <v>2083</v>
      </c>
      <c r="C97" s="27" t="s">
        <v>2084</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29" spans="1:15">
      <c r="A98" s="20" t="s">
        <v>4874</v>
      </c>
      <c r="B98" s="26" t="s">
        <v>2083</v>
      </c>
      <c r="C98" s="27" t="s">
        <v>2084</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29" spans="1:15">
      <c r="A99" s="20" t="s">
        <v>4875</v>
      </c>
      <c r="B99" s="26" t="s">
        <v>2083</v>
      </c>
      <c r="C99" s="27" t="s">
        <v>2084</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29" spans="1:15">
      <c r="A100" s="20" t="s">
        <v>4876</v>
      </c>
      <c r="B100" s="26" t="s">
        <v>2083</v>
      </c>
      <c r="C100" s="27" t="s">
        <v>2084</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29" spans="1:15">
      <c r="A101" s="20" t="s">
        <v>4877</v>
      </c>
      <c r="B101" s="26" t="s">
        <v>2083</v>
      </c>
      <c r="C101" s="27" t="s">
        <v>2084</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29" spans="1:15">
      <c r="A102" s="20" t="s">
        <v>4878</v>
      </c>
      <c r="B102" s="26" t="s">
        <v>2083</v>
      </c>
      <c r="C102" s="27" t="s">
        <v>2084</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29" spans="1:15">
      <c r="A103" s="20" t="s">
        <v>4879</v>
      </c>
      <c r="B103" s="26" t="s">
        <v>2083</v>
      </c>
      <c r="C103" s="27" t="s">
        <v>2084</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29" spans="1:15">
      <c r="A104" s="20" t="s">
        <v>4880</v>
      </c>
      <c r="B104" s="26" t="s">
        <v>2020</v>
      </c>
      <c r="C104" s="27" t="s">
        <v>2021</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29" spans="1:15">
      <c r="A105" s="28" t="s">
        <v>4881</v>
      </c>
      <c r="B105" s="26" t="s">
        <v>2020</v>
      </c>
      <c r="C105" s="27" t="s">
        <v>2021</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29" spans="1:15">
      <c r="A106" s="20" t="s">
        <v>4882</v>
      </c>
      <c r="B106" s="26" t="s">
        <v>2020</v>
      </c>
      <c r="C106" s="27" t="s">
        <v>2021</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29" spans="1:15">
      <c r="A107" s="20" t="s">
        <v>4883</v>
      </c>
      <c r="B107" s="26" t="s">
        <v>2020</v>
      </c>
      <c r="C107" s="27" t="s">
        <v>2021</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29" spans="1:15">
      <c r="A108" s="28" t="s">
        <v>4884</v>
      </c>
      <c r="B108" s="26" t="s">
        <v>2020</v>
      </c>
      <c r="C108" s="27" t="s">
        <v>2021</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29" spans="1:15">
      <c r="A109" s="20" t="s">
        <v>4885</v>
      </c>
      <c r="B109" s="26" t="s">
        <v>2020</v>
      </c>
      <c r="C109" s="27" t="s">
        <v>2021</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29" spans="1:15">
      <c r="A110" s="20" t="s">
        <v>4886</v>
      </c>
      <c r="B110" s="26" t="s">
        <v>2020</v>
      </c>
      <c r="C110" s="27" t="s">
        <v>2021</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29" spans="1:15">
      <c r="A111" s="20" t="s">
        <v>4887</v>
      </c>
      <c r="B111" s="26" t="s">
        <v>2020</v>
      </c>
      <c r="C111" s="27" t="s">
        <v>2021</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29" spans="1:15">
      <c r="A112" s="20" t="s">
        <v>4888</v>
      </c>
      <c r="B112" s="26" t="s">
        <v>2043</v>
      </c>
      <c r="C112" s="27" t="s">
        <v>2044</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29" spans="1:15">
      <c r="A113" s="20" t="s">
        <v>3884</v>
      </c>
      <c r="B113" s="26" t="s">
        <v>2043</v>
      </c>
      <c r="C113" s="27" t="s">
        <v>2044</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29" spans="1:15">
      <c r="A114" s="20" t="s">
        <v>4889</v>
      </c>
      <c r="B114" s="26" t="s">
        <v>2043</v>
      </c>
      <c r="C114" s="27" t="s">
        <v>2044</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29" spans="1:15">
      <c r="A115" s="20" t="s">
        <v>4890</v>
      </c>
      <c r="B115" s="26" t="s">
        <v>2043</v>
      </c>
      <c r="C115" s="27" t="s">
        <v>2044</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29" spans="1:15">
      <c r="A116" s="20" t="s">
        <v>4891</v>
      </c>
      <c r="B116" s="26" t="s">
        <v>2043</v>
      </c>
      <c r="C116" s="27" t="s">
        <v>2044</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29" spans="1:15">
      <c r="A117" s="20" t="s">
        <v>4892</v>
      </c>
      <c r="B117" s="26" t="s">
        <v>2043</v>
      </c>
      <c r="C117" s="27" t="s">
        <v>2044</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29" spans="1:15">
      <c r="A118" s="20" t="s">
        <v>4893</v>
      </c>
      <c r="B118" s="26" t="s">
        <v>2043</v>
      </c>
      <c r="C118" s="27" t="s">
        <v>2044</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29" spans="1:15">
      <c r="A119" s="20" t="s">
        <v>4894</v>
      </c>
      <c r="B119" s="26" t="s">
        <v>2043</v>
      </c>
      <c r="C119" s="27" t="s">
        <v>2044</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29" spans="1:15">
      <c r="A120" s="20" t="s">
        <v>4895</v>
      </c>
      <c r="B120" s="26" t="s">
        <v>2043</v>
      </c>
      <c r="C120" s="27" t="s">
        <v>2044</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29" spans="1:15">
      <c r="A121" s="20" t="s">
        <v>4896</v>
      </c>
      <c r="B121" s="26" t="s">
        <v>2043</v>
      </c>
      <c r="C121" s="27" t="s">
        <v>2044</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29" spans="1:15">
      <c r="A122" s="20" t="s">
        <v>4897</v>
      </c>
      <c r="B122" s="26" t="s">
        <v>2043</v>
      </c>
      <c r="C122" s="27" t="s">
        <v>2044</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29" spans="1:15">
      <c r="A123" s="20" t="s">
        <v>4898</v>
      </c>
      <c r="B123" s="26" t="s">
        <v>2043</v>
      </c>
      <c r="C123" s="27" t="s">
        <v>2044</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29" spans="1:15">
      <c r="A124" s="20" t="s">
        <v>4899</v>
      </c>
      <c r="B124" s="26" t="s">
        <v>2043</v>
      </c>
      <c r="C124" s="27" t="s">
        <v>2044</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29" spans="1:15">
      <c r="A125" s="20" t="s">
        <v>4900</v>
      </c>
      <c r="B125" s="26" t="s">
        <v>2043</v>
      </c>
      <c r="C125" s="27" t="s">
        <v>2044</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29" spans="1:15">
      <c r="A126" s="20" t="s">
        <v>4901</v>
      </c>
      <c r="B126" s="26" t="s">
        <v>2043</v>
      </c>
      <c r="C126" s="27" t="s">
        <v>2044</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29" spans="1:15">
      <c r="A127" s="20" t="s">
        <v>4902</v>
      </c>
      <c r="B127" s="26" t="s">
        <v>2043</v>
      </c>
      <c r="C127" s="27" t="s">
        <v>2044</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29" spans="1:15">
      <c r="A128" s="20" t="s">
        <v>4903</v>
      </c>
      <c r="B128" s="26" t="s">
        <v>2043</v>
      </c>
      <c r="C128" s="27" t="s">
        <v>2044</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29" spans="1:15">
      <c r="A129" s="20" t="s">
        <v>4904</v>
      </c>
      <c r="B129" s="26" t="s">
        <v>2043</v>
      </c>
      <c r="C129" s="27" t="s">
        <v>2044</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29" spans="1:15">
      <c r="A130" s="20" t="s">
        <v>4905</v>
      </c>
      <c r="B130" s="26" t="s">
        <v>2043</v>
      </c>
      <c r="C130" s="27" t="s">
        <v>2044</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29" spans="1:15">
      <c r="A131" s="20" t="s">
        <v>4906</v>
      </c>
      <c r="B131" s="26" t="s">
        <v>2043</v>
      </c>
      <c r="C131" s="27" t="s">
        <v>2044</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29" spans="1:15">
      <c r="A132" s="20" t="s">
        <v>4907</v>
      </c>
      <c r="B132" s="26" t="s">
        <v>2043</v>
      </c>
      <c r="C132" s="27" t="s">
        <v>2044</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29" spans="1:15">
      <c r="A133" s="20" t="s">
        <v>4908</v>
      </c>
      <c r="B133" s="26" t="s">
        <v>2043</v>
      </c>
      <c r="C133" s="27" t="s">
        <v>2044</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29" spans="1:15">
      <c r="A134" s="20" t="s">
        <v>4909</v>
      </c>
      <c r="B134" s="26" t="s">
        <v>2043</v>
      </c>
      <c r="C134" s="27" t="s">
        <v>2044</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29" spans="1:15">
      <c r="A135" s="20" t="s">
        <v>4910</v>
      </c>
      <c r="B135" s="26" t="s">
        <v>2043</v>
      </c>
      <c r="C135" s="27" t="s">
        <v>2044</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29" spans="1:15">
      <c r="A136" s="20" t="s">
        <v>4911</v>
      </c>
      <c r="B136" s="26" t="s">
        <v>2043</v>
      </c>
      <c r="C136" s="27" t="s">
        <v>2044</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29" spans="1:15">
      <c r="A137" s="20" t="s">
        <v>4912</v>
      </c>
      <c r="B137" s="26" t="s">
        <v>2043</v>
      </c>
      <c r="C137" s="27" t="s">
        <v>2044</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29" spans="1:15">
      <c r="A138" s="20" t="s">
        <v>4913</v>
      </c>
      <c r="B138" s="26" t="s">
        <v>2043</v>
      </c>
      <c r="C138" s="27" t="s">
        <v>2044</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29" spans="1:15">
      <c r="A139" s="20" t="s">
        <v>4914</v>
      </c>
      <c r="B139" s="26" t="s">
        <v>2043</v>
      </c>
      <c r="C139" s="27" t="s">
        <v>2044</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29" spans="1:15">
      <c r="A140" s="20" t="s">
        <v>4915</v>
      </c>
      <c r="B140" s="26" t="s">
        <v>2043</v>
      </c>
      <c r="C140" s="27" t="s">
        <v>2044</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29" spans="1:15">
      <c r="A141" s="20" t="s">
        <v>4916</v>
      </c>
      <c r="B141" s="26" t="s">
        <v>2083</v>
      </c>
      <c r="C141" s="27" t="s">
        <v>2084</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29" spans="1:15">
      <c r="A142" s="20" t="s">
        <v>4917</v>
      </c>
      <c r="B142" s="26" t="s">
        <v>2083</v>
      </c>
      <c r="C142" s="27" t="s">
        <v>2084</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29" spans="1:15">
      <c r="A143" s="20" t="s">
        <v>4918</v>
      </c>
      <c r="B143" s="26" t="s">
        <v>2083</v>
      </c>
      <c r="C143" s="27" t="s">
        <v>2084</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29" spans="1:15">
      <c r="A144" s="20" t="s">
        <v>4919</v>
      </c>
      <c r="B144" s="26" t="s">
        <v>2083</v>
      </c>
      <c r="C144" s="27" t="s">
        <v>2084</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29" spans="1:15">
      <c r="A145" s="20" t="s">
        <v>4920</v>
      </c>
      <c r="B145" s="26" t="s">
        <v>2083</v>
      </c>
      <c r="C145" s="27" t="s">
        <v>2084</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29" spans="1:15">
      <c r="A146" s="20" t="s">
        <v>4921</v>
      </c>
      <c r="B146" s="26" t="s">
        <v>2083</v>
      </c>
      <c r="C146" s="27" t="s">
        <v>2084</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29" spans="1:15">
      <c r="A147" s="20" t="s">
        <v>4922</v>
      </c>
      <c r="B147" s="26" t="s">
        <v>2083</v>
      </c>
      <c r="C147" s="27" t="s">
        <v>2084</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29" spans="1:15">
      <c r="A148" s="20" t="s">
        <v>4923</v>
      </c>
      <c r="B148" s="26" t="s">
        <v>2083</v>
      </c>
      <c r="C148" s="27" t="s">
        <v>2084</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29" spans="1:15">
      <c r="A149" s="20" t="s">
        <v>4924</v>
      </c>
      <c r="B149" s="26" t="s">
        <v>2083</v>
      </c>
      <c r="C149" s="27" t="s">
        <v>2084</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29" spans="1:15">
      <c r="A150" s="20" t="s">
        <v>4925</v>
      </c>
      <c r="B150" s="26" t="s">
        <v>2083</v>
      </c>
      <c r="C150" s="27" t="s">
        <v>2084</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29" spans="1:15">
      <c r="A151" s="20" t="s">
        <v>4926</v>
      </c>
      <c r="B151" s="26" t="s">
        <v>2083</v>
      </c>
      <c r="C151" s="27" t="s">
        <v>2084</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29" spans="1:15">
      <c r="A152" s="20" t="s">
        <v>4927</v>
      </c>
      <c r="B152" s="26" t="s">
        <v>2083</v>
      </c>
      <c r="C152" s="27" t="s">
        <v>2084</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29" spans="1:15">
      <c r="A153" s="20" t="s">
        <v>3878</v>
      </c>
      <c r="B153" s="26" t="s">
        <v>2083</v>
      </c>
      <c r="C153" s="27" t="s">
        <v>2084</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29" spans="1:15">
      <c r="A154" s="20" t="s">
        <v>4928</v>
      </c>
      <c r="B154" s="26" t="s">
        <v>2083</v>
      </c>
      <c r="C154" s="27" t="s">
        <v>2084</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29" spans="1:15">
      <c r="A155" s="20" t="s">
        <v>4929</v>
      </c>
      <c r="B155" s="26" t="s">
        <v>2083</v>
      </c>
      <c r="C155" s="27" t="s">
        <v>2084</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29" spans="1:15">
      <c r="A156" s="20" t="s">
        <v>4930</v>
      </c>
      <c r="B156" s="26" t="s">
        <v>2083</v>
      </c>
      <c r="C156" s="27" t="s">
        <v>2084</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29" spans="1:15">
      <c r="A157" s="20" t="s">
        <v>4931</v>
      </c>
      <c r="B157" s="26" t="s">
        <v>2083</v>
      </c>
      <c r="C157" s="27" t="s">
        <v>2084</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29" spans="1:15">
      <c r="A158" s="20" t="s">
        <v>4932</v>
      </c>
      <c r="B158" s="26" t="s">
        <v>2083</v>
      </c>
      <c r="C158" s="27" t="s">
        <v>2084</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29" spans="1:15">
      <c r="A159" s="20" t="s">
        <v>4933</v>
      </c>
      <c r="B159" s="26" t="s">
        <v>2083</v>
      </c>
      <c r="C159" s="27" t="s">
        <v>2084</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29" spans="1:15">
      <c r="A160" s="20" t="s">
        <v>3600</v>
      </c>
      <c r="B160" s="26" t="s">
        <v>2083</v>
      </c>
      <c r="C160" s="27" t="s">
        <v>2084</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29" spans="1:15">
      <c r="A161" s="20" t="s">
        <v>4934</v>
      </c>
      <c r="B161" s="26" t="s">
        <v>2083</v>
      </c>
      <c r="C161" s="27" t="s">
        <v>2084</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29" spans="1:15">
      <c r="A162" s="20" t="s">
        <v>4935</v>
      </c>
      <c r="B162" s="26" t="s">
        <v>2083</v>
      </c>
      <c r="C162" s="27" t="s">
        <v>2084</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29" spans="1:15">
      <c r="A163" s="20" t="s">
        <v>4936</v>
      </c>
      <c r="B163" s="26" t="s">
        <v>2083</v>
      </c>
      <c r="C163" s="27" t="s">
        <v>2084</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29" spans="1:15">
      <c r="A164" s="20" t="s">
        <v>4937</v>
      </c>
      <c r="B164" s="26" t="s">
        <v>2083</v>
      </c>
      <c r="C164" s="27" t="s">
        <v>2084</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29" spans="1:15">
      <c r="A165" s="20" t="s">
        <v>4938</v>
      </c>
      <c r="B165" s="26" t="s">
        <v>2083</v>
      </c>
      <c r="C165" s="27" t="s">
        <v>2084</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29" spans="1:15">
      <c r="A166" s="20" t="s">
        <v>4939</v>
      </c>
      <c r="B166" s="26" t="s">
        <v>2083</v>
      </c>
      <c r="C166" s="27" t="s">
        <v>2084</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29" spans="1:15">
      <c r="A167" s="20" t="s">
        <v>4940</v>
      </c>
      <c r="B167" s="26" t="s">
        <v>2083</v>
      </c>
      <c r="C167" s="27" t="s">
        <v>2084</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29" spans="1:15">
      <c r="A168" s="20" t="s">
        <v>4941</v>
      </c>
      <c r="B168" s="26" t="s">
        <v>2083</v>
      </c>
      <c r="C168" s="27" t="s">
        <v>2084</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29" spans="1:15">
      <c r="A169" s="20" t="s">
        <v>3604</v>
      </c>
      <c r="B169" s="26" t="s">
        <v>2083</v>
      </c>
      <c r="C169" s="27" t="s">
        <v>2084</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29" spans="1:15">
      <c r="A170" s="20" t="s">
        <v>4942</v>
      </c>
      <c r="B170" s="26" t="s">
        <v>2083</v>
      </c>
      <c r="C170" s="27" t="s">
        <v>2084</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29" spans="1:15">
      <c r="A171" s="20" t="s">
        <v>4943</v>
      </c>
      <c r="B171" s="26" t="s">
        <v>2083</v>
      </c>
      <c r="C171" s="27" t="s">
        <v>2084</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29" spans="1:15">
      <c r="A172" s="20" t="s">
        <v>4944</v>
      </c>
      <c r="B172" s="26" t="s">
        <v>2083</v>
      </c>
      <c r="C172" s="27" t="s">
        <v>2084</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29" spans="1:15">
      <c r="A173" s="20" t="s">
        <v>3119</v>
      </c>
      <c r="B173" s="26" t="s">
        <v>2083</v>
      </c>
      <c r="C173" s="27" t="s">
        <v>2084</v>
      </c>
      <c r="D173" s="23" cm="1">
        <f t="array" ref="D173">SUM(IF((LEFT('2-1 采购订单物料明细表报表导出'!$K:$K,7)=D$1)*('2-1 采购订单物料明细表报表导出'!$D:$D=$A173),'2-1 采购订单物料明细表报表导出'!$H:$H,0))</f>
        <v>401.1</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29" spans="1:15">
      <c r="A174" s="20" t="s">
        <v>4040</v>
      </c>
      <c r="B174" s="26" t="s">
        <v>2083</v>
      </c>
      <c r="C174" s="27" t="s">
        <v>2084</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29" spans="1:15">
      <c r="A175" s="20" t="s">
        <v>4945</v>
      </c>
      <c r="B175" s="26" t="s">
        <v>2083</v>
      </c>
      <c r="C175" s="27" t="s">
        <v>2084</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29" spans="1:15">
      <c r="A176" s="20" t="s">
        <v>3892</v>
      </c>
      <c r="B176" s="26" t="s">
        <v>2083</v>
      </c>
      <c r="C176" s="27" t="s">
        <v>2084</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29" spans="1:15">
      <c r="A177" s="20" t="s">
        <v>4946</v>
      </c>
      <c r="B177" s="26" t="s">
        <v>2083</v>
      </c>
      <c r="C177" s="27" t="s">
        <v>2084</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29" spans="1:15">
      <c r="A178" s="20" t="s">
        <v>4947</v>
      </c>
      <c r="B178" s="26" t="s">
        <v>2083</v>
      </c>
      <c r="C178" s="27" t="s">
        <v>2084</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29" spans="1:15">
      <c r="A179" s="20" t="s">
        <v>4948</v>
      </c>
      <c r="B179" s="26" t="s">
        <v>2083</v>
      </c>
      <c r="C179" s="27" t="s">
        <v>2084</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29" spans="1:15">
      <c r="A180" s="20" t="s">
        <v>4067</v>
      </c>
      <c r="B180" s="26" t="s">
        <v>2083</v>
      </c>
      <c r="C180" s="27" t="s">
        <v>2084</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29" spans="1:15">
      <c r="A181" s="20" t="s">
        <v>4949</v>
      </c>
      <c r="B181" s="26" t="s">
        <v>2083</v>
      </c>
      <c r="C181" s="27" t="s">
        <v>2084</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29" spans="1:15">
      <c r="A182" s="20" t="s">
        <v>3794</v>
      </c>
      <c r="B182" s="26" t="s">
        <v>2083</v>
      </c>
      <c r="C182" s="27" t="s">
        <v>2084</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29" spans="1:15">
      <c r="A183" s="20" t="s">
        <v>4950</v>
      </c>
      <c r="B183" s="26" t="s">
        <v>2083</v>
      </c>
      <c r="C183" s="27" t="s">
        <v>2084</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29" spans="1:15">
      <c r="A184" s="20" t="s">
        <v>4951</v>
      </c>
      <c r="B184" s="26" t="s">
        <v>2083</v>
      </c>
      <c r="C184" s="27" t="s">
        <v>2084</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29" spans="1:15">
      <c r="A185" s="20" t="s">
        <v>4952</v>
      </c>
      <c r="B185" s="26" t="s">
        <v>2083</v>
      </c>
      <c r="C185" s="27" t="s">
        <v>2084</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29" spans="1:15">
      <c r="A186" s="20" t="s">
        <v>4953</v>
      </c>
      <c r="B186" s="26" t="s">
        <v>2083</v>
      </c>
      <c r="C186" s="27" t="s">
        <v>2084</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29" spans="1:15">
      <c r="A187" s="20" t="s">
        <v>4954</v>
      </c>
      <c r="B187" s="26" t="s">
        <v>2083</v>
      </c>
      <c r="C187" s="27" t="s">
        <v>2084</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29" spans="1:15">
      <c r="A188" s="20" t="s">
        <v>4955</v>
      </c>
      <c r="B188" s="26" t="s">
        <v>2083</v>
      </c>
      <c r="C188" s="27" t="s">
        <v>2084</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29" spans="1:15">
      <c r="A189" s="20" t="s">
        <v>4956</v>
      </c>
      <c r="B189" s="26" t="s">
        <v>2083</v>
      </c>
      <c r="C189" s="27" t="s">
        <v>2084</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29" spans="1:15">
      <c r="A190" s="20" t="s">
        <v>4957</v>
      </c>
      <c r="B190" s="26" t="s">
        <v>2083</v>
      </c>
      <c r="C190" s="27" t="s">
        <v>2084</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29" spans="1:15">
      <c r="A191" s="20" t="s">
        <v>4958</v>
      </c>
      <c r="B191" s="26" t="s">
        <v>2083</v>
      </c>
      <c r="C191" s="27" t="s">
        <v>2084</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29" spans="1:15">
      <c r="A192" s="20" t="s">
        <v>4959</v>
      </c>
      <c r="B192" s="26" t="s">
        <v>2083</v>
      </c>
      <c r="C192" s="27" t="s">
        <v>2084</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29" spans="1:15">
      <c r="A193" s="20" t="s">
        <v>4960</v>
      </c>
      <c r="B193" s="26" t="s">
        <v>2083</v>
      </c>
      <c r="C193" s="27" t="s">
        <v>2084</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29" spans="1:15">
      <c r="A194" s="20" t="s">
        <v>4961</v>
      </c>
      <c r="B194" s="26" t="s">
        <v>2083</v>
      </c>
      <c r="C194" s="27" t="s">
        <v>2084</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29" spans="1:15">
      <c r="A195" s="20" t="s">
        <v>3467</v>
      </c>
      <c r="B195" s="26" t="s">
        <v>2083</v>
      </c>
      <c r="C195" s="27" t="s">
        <v>2084</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29" spans="1:15">
      <c r="A196" s="20" t="s">
        <v>4962</v>
      </c>
      <c r="B196" s="26" t="s">
        <v>2083</v>
      </c>
      <c r="C196" s="27" t="s">
        <v>2084</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29" spans="1:15">
      <c r="A197" s="20" t="s">
        <v>4963</v>
      </c>
      <c r="B197" s="26" t="s">
        <v>2083</v>
      </c>
      <c r="C197" s="27" t="s">
        <v>2084</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29" spans="1:15">
      <c r="A198" s="20" t="s">
        <v>4964</v>
      </c>
      <c r="B198" s="26" t="s">
        <v>2083</v>
      </c>
      <c r="C198" s="27" t="s">
        <v>2084</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29" spans="1:15">
      <c r="A199" s="20" t="s">
        <v>4965</v>
      </c>
      <c r="B199" s="26" t="s">
        <v>2083</v>
      </c>
      <c r="C199" s="27" t="s">
        <v>2084</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29" spans="1:15">
      <c r="A200" s="20" t="s">
        <v>4966</v>
      </c>
      <c r="B200" s="26" t="s">
        <v>2083</v>
      </c>
      <c r="C200" s="27" t="s">
        <v>2084</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29" spans="1:15">
      <c r="A201" s="20" t="s">
        <v>4967</v>
      </c>
      <c r="B201" s="26" t="s">
        <v>2083</v>
      </c>
      <c r="C201" s="27" t="s">
        <v>2084</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29" spans="1:15">
      <c r="A202" s="20" t="s">
        <v>4968</v>
      </c>
      <c r="B202" s="26" t="s">
        <v>2083</v>
      </c>
      <c r="C202" s="27" t="s">
        <v>2084</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29" spans="1:15">
      <c r="A203" s="20" t="s">
        <v>4969</v>
      </c>
      <c r="B203" s="26" t="s">
        <v>2083</v>
      </c>
      <c r="C203" s="27" t="s">
        <v>2084</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29" spans="1:15">
      <c r="A204" s="28" t="s">
        <v>4970</v>
      </c>
      <c r="B204" s="26" t="s">
        <v>2083</v>
      </c>
      <c r="C204" s="27" t="s">
        <v>2084</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29" spans="1:15">
      <c r="A205" s="20" t="s">
        <v>4971</v>
      </c>
      <c r="B205" s="26" t="s">
        <v>2083</v>
      </c>
      <c r="C205" s="27" t="s">
        <v>2084</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29" spans="1:15">
      <c r="A206" s="20" t="s">
        <v>4972</v>
      </c>
      <c r="B206" s="26" t="s">
        <v>2083</v>
      </c>
      <c r="C206" s="27" t="s">
        <v>2084</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29" spans="1:15">
      <c r="A207" s="20" t="s">
        <v>4973</v>
      </c>
      <c r="B207" s="26" t="s">
        <v>2083</v>
      </c>
      <c r="C207" s="27" t="s">
        <v>2084</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29" spans="1:15">
      <c r="A208" s="20" t="s">
        <v>4974</v>
      </c>
      <c r="B208" s="26" t="s">
        <v>2083</v>
      </c>
      <c r="C208" s="27" t="s">
        <v>2084</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29" spans="1:15">
      <c r="A209" s="20" t="s">
        <v>4975</v>
      </c>
      <c r="B209" s="26" t="s">
        <v>2083</v>
      </c>
      <c r="C209" s="27" t="s">
        <v>2084</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29" spans="1:15">
      <c r="A210" s="20" t="s">
        <v>4976</v>
      </c>
      <c r="B210" s="26" t="s">
        <v>2083</v>
      </c>
      <c r="C210" s="27" t="s">
        <v>2084</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29" spans="1:15">
      <c r="A211" s="20" t="s">
        <v>4977</v>
      </c>
      <c r="B211" s="26" t="s">
        <v>2083</v>
      </c>
      <c r="C211" s="27" t="s">
        <v>2084</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29" spans="1:15">
      <c r="A212" s="20" t="s">
        <v>4978</v>
      </c>
      <c r="B212" s="26" t="s">
        <v>2083</v>
      </c>
      <c r="C212" s="27" t="s">
        <v>2084</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29" spans="1:15">
      <c r="A213" s="20" t="s">
        <v>4979</v>
      </c>
      <c r="B213" s="26" t="s">
        <v>2083</v>
      </c>
      <c r="C213" s="27" t="s">
        <v>2084</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29" spans="1:15">
      <c r="A214" s="20" t="s">
        <v>4980</v>
      </c>
      <c r="B214" s="26" t="s">
        <v>2083</v>
      </c>
      <c r="C214" s="27" t="s">
        <v>2084</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29" spans="1:15">
      <c r="A215" s="20" t="s">
        <v>4981</v>
      </c>
      <c r="B215" s="26" t="s">
        <v>2083</v>
      </c>
      <c r="C215" s="27" t="s">
        <v>2084</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29" spans="1:15">
      <c r="A216" s="20" t="s">
        <v>4982</v>
      </c>
      <c r="B216" s="26" t="s">
        <v>2083</v>
      </c>
      <c r="C216" s="27" t="s">
        <v>2084</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29" spans="1:15">
      <c r="A217" s="20" t="s">
        <v>4983</v>
      </c>
      <c r="B217" s="26" t="s">
        <v>2083</v>
      </c>
      <c r="C217" s="27" t="s">
        <v>2084</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29" spans="1:15">
      <c r="A218" s="20" t="s">
        <v>4984</v>
      </c>
      <c r="B218" s="26" t="s">
        <v>2083</v>
      </c>
      <c r="C218" s="27" t="s">
        <v>2084</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29" spans="1:15">
      <c r="A219" s="20" t="s">
        <v>4985</v>
      </c>
      <c r="B219" s="26" t="s">
        <v>2083</v>
      </c>
      <c r="C219" s="27" t="s">
        <v>2084</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29" spans="1:15">
      <c r="A220" s="20" t="s">
        <v>4986</v>
      </c>
      <c r="B220" s="26" t="s">
        <v>2083</v>
      </c>
      <c r="C220" s="27" t="s">
        <v>2084</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29" spans="1:15">
      <c r="A221" s="20" t="s">
        <v>4987</v>
      </c>
      <c r="B221" s="26" t="s">
        <v>2083</v>
      </c>
      <c r="C221" s="27" t="s">
        <v>2084</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29" spans="1:15">
      <c r="A222" s="20" t="s">
        <v>4988</v>
      </c>
      <c r="B222" s="26" t="s">
        <v>2083</v>
      </c>
      <c r="C222" s="27" t="s">
        <v>2084</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29" spans="1:15">
      <c r="A223" s="20" t="s">
        <v>4989</v>
      </c>
      <c r="B223" s="26" t="s">
        <v>2083</v>
      </c>
      <c r="C223" s="27" t="s">
        <v>2084</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29" spans="1:15">
      <c r="A224" s="20" t="s">
        <v>4990</v>
      </c>
      <c r="B224" s="26" t="s">
        <v>2083</v>
      </c>
      <c r="C224" s="27" t="s">
        <v>2084</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29" spans="1:15">
      <c r="A225" s="20" t="s">
        <v>4991</v>
      </c>
      <c r="B225" s="26" t="s">
        <v>2083</v>
      </c>
      <c r="C225" s="27" t="s">
        <v>2084</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29" spans="1:15">
      <c r="A226" s="20" t="s">
        <v>4992</v>
      </c>
      <c r="B226" s="26" t="s">
        <v>2083</v>
      </c>
      <c r="C226" s="27" t="s">
        <v>2084</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29" spans="1:15">
      <c r="A227" s="20" t="s">
        <v>4993</v>
      </c>
      <c r="B227" s="26" t="s">
        <v>2083</v>
      </c>
      <c r="C227" s="27" t="s">
        <v>2084</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29" spans="1:15">
      <c r="A228" s="20" t="s">
        <v>4994</v>
      </c>
      <c r="B228" s="26" t="s">
        <v>2083</v>
      </c>
      <c r="C228" s="27" t="s">
        <v>2084</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29" spans="1:15">
      <c r="A229" s="20" t="s">
        <v>4995</v>
      </c>
      <c r="B229" s="26" t="s">
        <v>2083</v>
      </c>
      <c r="C229" s="27" t="s">
        <v>2084</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29" spans="1:15">
      <c r="A230" s="20" t="s">
        <v>4996</v>
      </c>
      <c r="B230" s="26" t="s">
        <v>2083</v>
      </c>
      <c r="C230" s="27" t="s">
        <v>2084</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29" spans="1:15">
      <c r="A231" s="20" t="s">
        <v>4997</v>
      </c>
      <c r="B231" s="26" t="s">
        <v>2083</v>
      </c>
      <c r="C231" s="27" t="s">
        <v>2084</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29" spans="1:15">
      <c r="A232" s="20" t="s">
        <v>4998</v>
      </c>
      <c r="B232" s="26" t="s">
        <v>2083</v>
      </c>
      <c r="C232" s="27" t="s">
        <v>2084</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29" spans="1:15">
      <c r="A233" s="20" t="s">
        <v>4999</v>
      </c>
      <c r="B233" s="26" t="s">
        <v>2083</v>
      </c>
      <c r="C233" s="27" t="s">
        <v>2084</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29" spans="1:15">
      <c r="A234" s="28" t="s">
        <v>5000</v>
      </c>
      <c r="B234" s="26" t="s">
        <v>2083</v>
      </c>
      <c r="C234" s="27" t="s">
        <v>2084</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29" spans="1:15">
      <c r="A235" s="28" t="s">
        <v>5001</v>
      </c>
      <c r="B235" s="26" t="s">
        <v>2083</v>
      </c>
      <c r="C235" s="27" t="s">
        <v>2084</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29" spans="1:15">
      <c r="A236" s="28" t="s">
        <v>5002</v>
      </c>
      <c r="B236" s="26" t="s">
        <v>2083</v>
      </c>
      <c r="C236" s="27" t="s">
        <v>2084</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29" spans="1:15">
      <c r="A237" s="28" t="s">
        <v>5003</v>
      </c>
      <c r="B237" s="26" t="s">
        <v>2083</v>
      </c>
      <c r="C237" s="27" t="s">
        <v>2084</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29" spans="1:15">
      <c r="A238" s="28" t="s">
        <v>5004</v>
      </c>
      <c r="B238" s="26" t="s">
        <v>2083</v>
      </c>
      <c r="C238" s="27" t="s">
        <v>2084</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29" spans="1:15">
      <c r="A239" s="28" t="s">
        <v>5005</v>
      </c>
      <c r="B239" s="26" t="s">
        <v>2083</v>
      </c>
      <c r="C239" s="27" t="s">
        <v>2084</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29" spans="1:15">
      <c r="A240" s="28" t="s">
        <v>5006</v>
      </c>
      <c r="B240" s="26" t="s">
        <v>2083</v>
      </c>
      <c r="C240" s="27" t="s">
        <v>2084</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29" spans="1:15">
      <c r="A241" s="20" t="s">
        <v>5007</v>
      </c>
      <c r="B241" s="26" t="s">
        <v>2083</v>
      </c>
      <c r="C241" s="27" t="s">
        <v>2084</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29" spans="1:15">
      <c r="A242" s="20" t="s">
        <v>5008</v>
      </c>
      <c r="B242" s="26" t="s">
        <v>2083</v>
      </c>
      <c r="C242" s="27" t="s">
        <v>2084</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29" spans="1:15">
      <c r="A243" s="28" t="s">
        <v>5009</v>
      </c>
      <c r="B243" s="26" t="s">
        <v>2083</v>
      </c>
      <c r="C243" s="27" t="s">
        <v>2084</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28" t="s">
        <v>5010</v>
      </c>
      <c r="B244" s="26" t="s">
        <v>2083</v>
      </c>
      <c r="C244" s="27" t="s">
        <v>2084</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29" spans="1:15">
      <c r="A245" s="28" t="s">
        <v>3766</v>
      </c>
      <c r="B245" s="26" t="s">
        <v>2083</v>
      </c>
      <c r="C245" s="27" t="s">
        <v>2084</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29" spans="1:15">
      <c r="A246" s="20" t="s">
        <v>5011</v>
      </c>
      <c r="B246" s="26" t="s">
        <v>2083</v>
      </c>
      <c r="C246" s="27" t="s">
        <v>2084</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29" spans="1:15">
      <c r="A247" s="28" t="s">
        <v>5012</v>
      </c>
      <c r="B247" s="26" t="s">
        <v>2083</v>
      </c>
      <c r="C247" s="27" t="s">
        <v>2084</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29" spans="1:15">
      <c r="A248" s="28" t="s">
        <v>5013</v>
      </c>
      <c r="B248" s="26" t="s">
        <v>2083</v>
      </c>
      <c r="C248" s="27" t="s">
        <v>2084</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29" spans="1:15">
      <c r="A249" s="28" t="s">
        <v>5014</v>
      </c>
      <c r="B249" s="26" t="s">
        <v>2083</v>
      </c>
      <c r="C249" s="27" t="s">
        <v>2084</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29" spans="1:15">
      <c r="A250" s="28" t="s">
        <v>5015</v>
      </c>
      <c r="B250" s="26" t="s">
        <v>2083</v>
      </c>
      <c r="C250" s="27" t="s">
        <v>2084</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29" spans="1:15">
      <c r="A251" s="28" t="s">
        <v>5016</v>
      </c>
      <c r="B251" s="26" t="s">
        <v>2083</v>
      </c>
      <c r="C251" s="27" t="s">
        <v>2084</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29" spans="1:15">
      <c r="A252" s="20" t="s">
        <v>5017</v>
      </c>
      <c r="B252" s="26" t="s">
        <v>2083</v>
      </c>
      <c r="C252" s="27" t="s">
        <v>2084</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29" spans="1:15">
      <c r="A253" s="20" t="s">
        <v>5018</v>
      </c>
      <c r="B253" s="26" t="s">
        <v>2083</v>
      </c>
      <c r="C253" s="27" t="s">
        <v>2084</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29" spans="1:15">
      <c r="A254" s="20" t="s">
        <v>5019</v>
      </c>
      <c r="B254" s="26" t="s">
        <v>2083</v>
      </c>
      <c r="C254" s="27" t="s">
        <v>2084</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29" spans="1:15">
      <c r="A255" s="20" t="s">
        <v>5020</v>
      </c>
      <c r="B255" s="26" t="s">
        <v>2083</v>
      </c>
      <c r="C255" s="27" t="s">
        <v>2084</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29" spans="1:15">
      <c r="A256" s="20" t="s">
        <v>5021</v>
      </c>
      <c r="B256" s="26" t="s">
        <v>2083</v>
      </c>
      <c r="C256" s="27" t="s">
        <v>2084</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29" spans="1:15">
      <c r="A257" s="20" t="s">
        <v>5022</v>
      </c>
      <c r="B257" s="26" t="s">
        <v>2083</v>
      </c>
      <c r="C257" s="27" t="s">
        <v>2084</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29" spans="1:15">
      <c r="A258" s="20" t="s">
        <v>5023</v>
      </c>
      <c r="B258" s="26" t="s">
        <v>2083</v>
      </c>
      <c r="C258" s="27" t="s">
        <v>2084</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29" spans="1:15">
      <c r="A259" s="20" t="s">
        <v>5024</v>
      </c>
      <c r="B259" s="26" t="s">
        <v>2083</v>
      </c>
      <c r="C259" s="27" t="s">
        <v>2084</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29" spans="1:15">
      <c r="A260" s="20" t="s">
        <v>5025</v>
      </c>
      <c r="B260" s="26" t="s">
        <v>2083</v>
      </c>
      <c r="C260" s="27" t="s">
        <v>2084</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29" spans="1:15">
      <c r="A261" s="20" t="s">
        <v>5026</v>
      </c>
      <c r="B261" s="26" t="s">
        <v>2083</v>
      </c>
      <c r="C261" s="27" t="s">
        <v>2084</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29" spans="1:15">
      <c r="A262" s="20" t="s">
        <v>5027</v>
      </c>
      <c r="B262" s="26" t="s">
        <v>2083</v>
      </c>
      <c r="C262" s="27" t="s">
        <v>2084</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29" spans="1:15">
      <c r="A263" s="20" t="s">
        <v>5028</v>
      </c>
      <c r="B263" s="26" t="s">
        <v>2083</v>
      </c>
      <c r="C263" s="27" t="s">
        <v>2084</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29" spans="1:15">
      <c r="A264" s="20" t="s">
        <v>5029</v>
      </c>
      <c r="B264" s="26" t="s">
        <v>2083</v>
      </c>
      <c r="C264" s="27" t="s">
        <v>2084</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29" spans="1:15">
      <c r="A265" s="20" t="s">
        <v>5030</v>
      </c>
      <c r="B265" s="26" t="s">
        <v>2083</v>
      </c>
      <c r="C265" s="27" t="s">
        <v>2084</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29" spans="1:15">
      <c r="A266" s="20" t="s">
        <v>5031</v>
      </c>
      <c r="B266" s="26" t="s">
        <v>2083</v>
      </c>
      <c r="C266" s="27" t="s">
        <v>2084</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29" spans="1:15">
      <c r="A267" s="20" t="s">
        <v>5032</v>
      </c>
      <c r="B267" s="26" t="s">
        <v>2083</v>
      </c>
      <c r="C267" s="27" t="s">
        <v>2084</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29" spans="1:15">
      <c r="A268" s="20" t="s">
        <v>5033</v>
      </c>
      <c r="B268" s="26" t="s">
        <v>2083</v>
      </c>
      <c r="C268" s="27" t="s">
        <v>2084</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29" spans="1:15">
      <c r="A269" s="20" t="s">
        <v>5034</v>
      </c>
      <c r="B269" s="26" t="s">
        <v>2083</v>
      </c>
      <c r="C269" s="27" t="s">
        <v>2084</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29" spans="1:15">
      <c r="A270" s="20" t="s">
        <v>5035</v>
      </c>
      <c r="B270" s="26" t="s">
        <v>2083</v>
      </c>
      <c r="C270" s="27" t="s">
        <v>2084</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29" spans="1:15">
      <c r="A271" s="20" t="s">
        <v>5036</v>
      </c>
      <c r="B271" s="26" t="s">
        <v>2083</v>
      </c>
      <c r="C271" s="27" t="s">
        <v>2084</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29" spans="1:15">
      <c r="A272" s="20" t="s">
        <v>3692</v>
      </c>
      <c r="B272" s="26" t="s">
        <v>2083</v>
      </c>
      <c r="C272" s="27" t="s">
        <v>2084</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29" spans="1:15">
      <c r="A273" s="20" t="s">
        <v>5037</v>
      </c>
      <c r="B273" s="26" t="s">
        <v>2083</v>
      </c>
      <c r="C273" s="27" t="s">
        <v>2084</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29" spans="1:15">
      <c r="A274" s="20" t="s">
        <v>5038</v>
      </c>
      <c r="B274" s="26" t="s">
        <v>2083</v>
      </c>
      <c r="C274" s="27" t="s">
        <v>2084</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29" spans="1:15">
      <c r="A275" s="20" t="s">
        <v>5039</v>
      </c>
      <c r="B275" s="26" t="s">
        <v>2083</v>
      </c>
      <c r="C275" s="27" t="s">
        <v>2084</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29" spans="1:15">
      <c r="A276" s="20" t="s">
        <v>5040</v>
      </c>
      <c r="B276" s="26" t="s">
        <v>2083</v>
      </c>
      <c r="C276" s="27" t="s">
        <v>2084</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29" spans="1:15">
      <c r="A277" s="20" t="s">
        <v>5041</v>
      </c>
      <c r="B277" s="26" t="s">
        <v>2083</v>
      </c>
      <c r="C277" s="27" t="s">
        <v>2084</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29" spans="1:15">
      <c r="A278" s="20" t="s">
        <v>5042</v>
      </c>
      <c r="B278" s="26" t="s">
        <v>2083</v>
      </c>
      <c r="C278" s="27" t="s">
        <v>2084</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29" spans="1:15">
      <c r="A279" s="20" t="s">
        <v>5043</v>
      </c>
      <c r="B279" s="26" t="s">
        <v>2083</v>
      </c>
      <c r="C279" s="27" t="s">
        <v>2084</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29" spans="1:15">
      <c r="A280" s="20" t="s">
        <v>5044</v>
      </c>
      <c r="B280" s="26" t="s">
        <v>2083</v>
      </c>
      <c r="C280" s="27" t="s">
        <v>2084</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29" spans="1:15">
      <c r="A281" s="20" t="s">
        <v>5045</v>
      </c>
      <c r="B281" s="26" t="s">
        <v>2083</v>
      </c>
      <c r="C281" s="27" t="s">
        <v>2084</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29" spans="1:15">
      <c r="A282" s="20" t="s">
        <v>5046</v>
      </c>
      <c r="B282" s="26" t="s">
        <v>2083</v>
      </c>
      <c r="C282" s="27" t="s">
        <v>2084</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29" spans="1:15">
      <c r="A283" s="20" t="s">
        <v>5047</v>
      </c>
      <c r="B283" s="26" t="s">
        <v>2083</v>
      </c>
      <c r="C283" s="27" t="s">
        <v>2084</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29" spans="1:15">
      <c r="A284" s="20" t="s">
        <v>5048</v>
      </c>
      <c r="B284" s="26" t="s">
        <v>2083</v>
      </c>
      <c r="C284" s="27" t="s">
        <v>2084</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29" spans="1:15">
      <c r="A285" s="20" t="s">
        <v>5049</v>
      </c>
      <c r="B285" s="26" t="s">
        <v>2083</v>
      </c>
      <c r="C285" s="27" t="s">
        <v>2084</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29" spans="1:15">
      <c r="A286" s="20" t="s">
        <v>5050</v>
      </c>
      <c r="B286" s="26" t="s">
        <v>2083</v>
      </c>
      <c r="C286" s="27" t="s">
        <v>2084</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29" spans="1:15">
      <c r="A287" s="20" t="s">
        <v>5051</v>
      </c>
      <c r="B287" s="26" t="s">
        <v>2083</v>
      </c>
      <c r="C287" s="27" t="s">
        <v>2084</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29" spans="1:15">
      <c r="A288" s="20" t="s">
        <v>5052</v>
      </c>
      <c r="B288" s="26" t="s">
        <v>2083</v>
      </c>
      <c r="C288" s="27" t="s">
        <v>2084</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29" spans="1:15">
      <c r="A289" s="20" t="s">
        <v>5053</v>
      </c>
      <c r="B289" s="26" t="s">
        <v>2083</v>
      </c>
      <c r="C289" s="27" t="s">
        <v>2084</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29" spans="1:15">
      <c r="A290" s="28" t="s">
        <v>5054</v>
      </c>
      <c r="B290" s="26" t="s">
        <v>2083</v>
      </c>
      <c r="C290" s="27" t="s">
        <v>2084</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29" spans="1:15">
      <c r="A291" s="20" t="s">
        <v>3800</v>
      </c>
      <c r="B291" s="26" t="s">
        <v>2083</v>
      </c>
      <c r="C291" s="27" t="s">
        <v>2084</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29" spans="1:15">
      <c r="A292" s="20" t="s">
        <v>5055</v>
      </c>
      <c r="B292" s="26" t="s">
        <v>2083</v>
      </c>
      <c r="C292" s="27" t="s">
        <v>2084</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29" spans="1:15">
      <c r="A293" s="20" t="s">
        <v>5056</v>
      </c>
      <c r="B293" s="26" t="s">
        <v>2083</v>
      </c>
      <c r="C293" s="27" t="s">
        <v>2084</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29" spans="1:15">
      <c r="A294" s="20" t="s">
        <v>5057</v>
      </c>
      <c r="B294" s="26" t="s">
        <v>2083</v>
      </c>
      <c r="C294" s="27" t="s">
        <v>2084</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29" spans="1:15">
      <c r="A295" s="20" t="s">
        <v>5058</v>
      </c>
      <c r="B295" s="26" t="s">
        <v>2083</v>
      </c>
      <c r="C295" s="27" t="s">
        <v>2084</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29" spans="1:15">
      <c r="A296" s="20" t="s">
        <v>5059</v>
      </c>
      <c r="B296" s="26" t="s">
        <v>2083</v>
      </c>
      <c r="C296" s="27" t="s">
        <v>2084</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29" spans="1:15">
      <c r="A297" s="20" t="s">
        <v>5060</v>
      </c>
      <c r="B297" s="26" t="s">
        <v>2083</v>
      </c>
      <c r="C297" s="27" t="s">
        <v>2084</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29" spans="1:15">
      <c r="A298" s="20" t="s">
        <v>5061</v>
      </c>
      <c r="B298" s="26" t="s">
        <v>2083</v>
      </c>
      <c r="C298" s="27" t="s">
        <v>2084</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29" spans="1:15">
      <c r="A299" s="20" t="s">
        <v>5062</v>
      </c>
      <c r="B299" s="26" t="s">
        <v>2083</v>
      </c>
      <c r="C299" s="27" t="s">
        <v>2084</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29" spans="1:15">
      <c r="A300" s="20" t="s">
        <v>5063</v>
      </c>
      <c r="B300" s="26" t="s">
        <v>2083</v>
      </c>
      <c r="C300" s="27" t="s">
        <v>2084</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29" spans="1:15">
      <c r="A301" s="20" t="s">
        <v>5064</v>
      </c>
      <c r="B301" s="26" t="s">
        <v>2083</v>
      </c>
      <c r="C301" s="27" t="s">
        <v>2084</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29" spans="1:15">
      <c r="A302" s="20" t="s">
        <v>5065</v>
      </c>
      <c r="B302" s="26" t="s">
        <v>2083</v>
      </c>
      <c r="C302" s="27" t="s">
        <v>2084</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29" spans="1:15">
      <c r="A303" s="20" t="s">
        <v>5066</v>
      </c>
      <c r="B303" s="26" t="s">
        <v>2020</v>
      </c>
      <c r="C303" s="27" t="s">
        <v>2021</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29" spans="1:15">
      <c r="A304" s="20" t="s">
        <v>5067</v>
      </c>
      <c r="B304" s="26" t="s">
        <v>2020</v>
      </c>
      <c r="C304" s="27" t="s">
        <v>2021</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29" spans="1:15">
      <c r="A305" s="20" t="s">
        <v>5068</v>
      </c>
      <c r="B305" s="26" t="s">
        <v>2020</v>
      </c>
      <c r="C305" s="27" t="s">
        <v>2021</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29" spans="1:15">
      <c r="A306" s="20" t="s">
        <v>3177</v>
      </c>
      <c r="B306" s="26" t="s">
        <v>2020</v>
      </c>
      <c r="C306" s="27" t="s">
        <v>2021</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29" spans="1:15">
      <c r="A307" s="20" t="s">
        <v>5069</v>
      </c>
      <c r="B307" s="26" t="s">
        <v>2020</v>
      </c>
      <c r="C307" s="27" t="s">
        <v>2021</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29" spans="1:15">
      <c r="A308" s="20" t="s">
        <v>5070</v>
      </c>
      <c r="B308" s="26" t="s">
        <v>2020</v>
      </c>
      <c r="C308" s="27" t="s">
        <v>2021</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29" spans="1:15">
      <c r="A309" s="20" t="s">
        <v>5071</v>
      </c>
      <c r="B309" s="26" t="s">
        <v>2043</v>
      </c>
      <c r="C309" s="27" t="s">
        <v>2044</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29" spans="1:15">
      <c r="A310" s="20" t="s">
        <v>5072</v>
      </c>
      <c r="B310" s="26" t="s">
        <v>2043</v>
      </c>
      <c r="C310" s="27" t="s">
        <v>2044</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29" spans="1:15">
      <c r="A311" s="20" t="s">
        <v>5073</v>
      </c>
      <c r="B311" s="26" t="s">
        <v>2043</v>
      </c>
      <c r="C311" s="27" t="s">
        <v>2044</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29" spans="1:15">
      <c r="A312" s="20" t="s">
        <v>5074</v>
      </c>
      <c r="B312" s="26" t="s">
        <v>2043</v>
      </c>
      <c r="C312" s="27" t="s">
        <v>2044</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29" spans="1:15">
      <c r="A313" s="20" t="s">
        <v>3153</v>
      </c>
      <c r="B313" s="26" t="s">
        <v>2043</v>
      </c>
      <c r="C313" s="27" t="s">
        <v>2044</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29" spans="1:15">
      <c r="A314" s="20" t="s">
        <v>5075</v>
      </c>
      <c r="B314" s="26" t="s">
        <v>2043</v>
      </c>
      <c r="C314" s="27" t="s">
        <v>2044</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29" spans="1:15">
      <c r="A315" s="20" t="s">
        <v>5076</v>
      </c>
      <c r="B315" s="26" t="s">
        <v>2043</v>
      </c>
      <c r="C315" s="27" t="s">
        <v>2044</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29" spans="1:15">
      <c r="A316" s="20" t="s">
        <v>5077</v>
      </c>
      <c r="B316" s="26" t="s">
        <v>2043</v>
      </c>
      <c r="C316" s="27" t="s">
        <v>2044</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29" spans="1:15">
      <c r="A317" s="20" t="s">
        <v>5078</v>
      </c>
      <c r="B317" s="26" t="s">
        <v>2043</v>
      </c>
      <c r="C317" s="27" t="s">
        <v>2044</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29" spans="1:15">
      <c r="A318" s="20" t="s">
        <v>5079</v>
      </c>
      <c r="B318" s="26" t="s">
        <v>2043</v>
      </c>
      <c r="C318" s="27" t="s">
        <v>2044</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29" spans="1:15">
      <c r="A319" s="20" t="s">
        <v>5080</v>
      </c>
      <c r="B319" s="26" t="s">
        <v>2043</v>
      </c>
      <c r="C319" s="27" t="s">
        <v>2044</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29" spans="1:15">
      <c r="A320" s="20" t="s">
        <v>5081</v>
      </c>
      <c r="B320" s="26" t="s">
        <v>2043</v>
      </c>
      <c r="C320" s="27" t="s">
        <v>2044</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29" spans="1:15">
      <c r="A321" s="20" t="s">
        <v>5082</v>
      </c>
      <c r="B321" s="26" t="s">
        <v>2043</v>
      </c>
      <c r="C321" s="27" t="s">
        <v>2044</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29" spans="1:15">
      <c r="A322" s="20" t="s">
        <v>5083</v>
      </c>
      <c r="B322" s="26" t="s">
        <v>2043</v>
      </c>
      <c r="C322" s="27" t="s">
        <v>2044</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29" spans="1:15">
      <c r="A323" s="20" t="s">
        <v>5084</v>
      </c>
      <c r="B323" s="26" t="s">
        <v>2043</v>
      </c>
      <c r="C323" s="27" t="s">
        <v>2044</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29" spans="1:15">
      <c r="A324" s="20" t="s">
        <v>5085</v>
      </c>
      <c r="B324" s="26" t="s">
        <v>2043</v>
      </c>
      <c r="C324" s="27" t="s">
        <v>2044</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29" spans="1:15">
      <c r="A325" s="20" t="s">
        <v>5086</v>
      </c>
      <c r="B325" s="26" t="s">
        <v>2043</v>
      </c>
      <c r="C325" s="27" t="s">
        <v>2044</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29" spans="1:15">
      <c r="A326" s="20" t="s">
        <v>5087</v>
      </c>
      <c r="B326" s="26" t="s">
        <v>2043</v>
      </c>
      <c r="C326" s="27" t="s">
        <v>2044</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29" spans="1:15">
      <c r="A327" s="20" t="s">
        <v>5088</v>
      </c>
      <c r="B327" s="26" t="s">
        <v>2043</v>
      </c>
      <c r="C327" s="27" t="s">
        <v>2044</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29" spans="1:15">
      <c r="A328" s="20" t="s">
        <v>5089</v>
      </c>
      <c r="B328" s="26" t="s">
        <v>2043</v>
      </c>
      <c r="C328" s="27" t="s">
        <v>2044</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29" spans="1:15">
      <c r="A329" s="20" t="s">
        <v>5090</v>
      </c>
      <c r="B329" s="26" t="s">
        <v>2043</v>
      </c>
      <c r="C329" s="27" t="s">
        <v>2044</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29" spans="1:15">
      <c r="A330" s="20" t="s">
        <v>5091</v>
      </c>
      <c r="B330" s="26" t="s">
        <v>2043</v>
      </c>
      <c r="C330" s="27" t="s">
        <v>2044</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29" spans="1:15">
      <c r="A331" s="20" t="s">
        <v>5092</v>
      </c>
      <c r="B331" s="26" t="s">
        <v>2043</v>
      </c>
      <c r="C331" s="27" t="s">
        <v>2044</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29" spans="1:15">
      <c r="A332" s="20" t="s">
        <v>5093</v>
      </c>
      <c r="B332" s="26" t="s">
        <v>2043</v>
      </c>
      <c r="C332" s="27" t="s">
        <v>2044</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29" spans="1:15">
      <c r="A333" s="20" t="s">
        <v>5094</v>
      </c>
      <c r="B333" s="26" t="s">
        <v>2043</v>
      </c>
      <c r="C333" s="27" t="s">
        <v>2044</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29" spans="1:15">
      <c r="A334" s="20" t="s">
        <v>5095</v>
      </c>
      <c r="B334" s="26" t="s">
        <v>2043</v>
      </c>
      <c r="C334" s="27" t="s">
        <v>2044</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29" spans="1:15">
      <c r="A335" s="20" t="s">
        <v>5096</v>
      </c>
      <c r="B335" s="26" t="s">
        <v>2043</v>
      </c>
      <c r="C335" s="27" t="s">
        <v>2044</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29" spans="1:15">
      <c r="A336" s="20" t="s">
        <v>5097</v>
      </c>
      <c r="B336" s="26" t="s">
        <v>2043</v>
      </c>
      <c r="C336" s="27" t="s">
        <v>2044</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29" spans="1:15">
      <c r="A337" s="20" t="s">
        <v>5098</v>
      </c>
      <c r="B337" s="26" t="s">
        <v>2043</v>
      </c>
      <c r="C337" s="27" t="s">
        <v>2044</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29" spans="1:15">
      <c r="A338" s="20" t="s">
        <v>5099</v>
      </c>
      <c r="B338" s="26" t="s">
        <v>2043</v>
      </c>
      <c r="C338" s="27" t="s">
        <v>2044</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29" spans="1:15">
      <c r="A339" s="20" t="s">
        <v>5100</v>
      </c>
      <c r="B339" s="26" t="s">
        <v>2043</v>
      </c>
      <c r="C339" s="27" t="s">
        <v>2044</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29" spans="1:15">
      <c r="A340" s="20" t="s">
        <v>5101</v>
      </c>
      <c r="B340" s="26" t="s">
        <v>2043</v>
      </c>
      <c r="C340" s="27" t="s">
        <v>2044</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29" spans="1:15">
      <c r="A341" s="20" t="s">
        <v>5102</v>
      </c>
      <c r="B341" s="26" t="s">
        <v>2043</v>
      </c>
      <c r="C341" s="27" t="s">
        <v>2044</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29" spans="1:15">
      <c r="A342" s="20" t="s">
        <v>5103</v>
      </c>
      <c r="B342" s="26" t="s">
        <v>2043</v>
      </c>
      <c r="C342" s="27" t="s">
        <v>2044</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29" spans="1:15">
      <c r="A343" s="20" t="s">
        <v>5104</v>
      </c>
      <c r="B343" s="26" t="s">
        <v>2043</v>
      </c>
      <c r="C343" s="27" t="s">
        <v>2044</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29" spans="1:15">
      <c r="A344" s="20" t="s">
        <v>5105</v>
      </c>
      <c r="B344" s="26" t="s">
        <v>2043</v>
      </c>
      <c r="C344" s="27" t="s">
        <v>2044</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29" spans="1:15">
      <c r="A345" s="20" t="s">
        <v>5106</v>
      </c>
      <c r="B345" s="26" t="s">
        <v>2043</v>
      </c>
      <c r="C345" s="27" t="s">
        <v>2044</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29" spans="1:15">
      <c r="A346" s="20" t="s">
        <v>5107</v>
      </c>
      <c r="B346" s="26" t="s">
        <v>2043</v>
      </c>
      <c r="C346" s="27" t="s">
        <v>2044</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29" spans="1:15">
      <c r="A347" s="20" t="s">
        <v>5108</v>
      </c>
      <c r="B347" s="26" t="s">
        <v>2043</v>
      </c>
      <c r="C347" s="27" t="s">
        <v>2044</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29" spans="1:15">
      <c r="A348" s="20" t="s">
        <v>5109</v>
      </c>
      <c r="B348" s="26" t="s">
        <v>2043</v>
      </c>
      <c r="C348" s="27" t="s">
        <v>2044</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29" spans="1:15">
      <c r="A349" s="20" t="s">
        <v>5110</v>
      </c>
      <c r="B349" s="26" t="s">
        <v>2043</v>
      </c>
      <c r="C349" s="27" t="s">
        <v>2044</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29" spans="1:15">
      <c r="A350" s="20" t="s">
        <v>5111</v>
      </c>
      <c r="B350" s="26" t="s">
        <v>2043</v>
      </c>
      <c r="C350" s="27" t="s">
        <v>2044</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29" spans="1:15">
      <c r="A351" s="20" t="s">
        <v>5112</v>
      </c>
      <c r="B351" s="26" t="s">
        <v>2043</v>
      </c>
      <c r="C351" s="27" t="s">
        <v>2044</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29" spans="1:15">
      <c r="A352" s="20" t="s">
        <v>5113</v>
      </c>
      <c r="B352" s="26" t="s">
        <v>2043</v>
      </c>
      <c r="C352" s="27" t="s">
        <v>2044</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29" spans="1:15">
      <c r="A353" s="20" t="s">
        <v>5114</v>
      </c>
      <c r="B353" s="26" t="s">
        <v>2043</v>
      </c>
      <c r="C353" s="27" t="s">
        <v>2044</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29" spans="1:15">
      <c r="A354" s="20" t="s">
        <v>5115</v>
      </c>
      <c r="B354" s="26" t="s">
        <v>2043</v>
      </c>
      <c r="C354" s="27" t="s">
        <v>2044</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29" spans="1:15">
      <c r="A355" s="20" t="s">
        <v>5116</v>
      </c>
      <c r="B355" s="26" t="s">
        <v>2043</v>
      </c>
      <c r="C355" s="27" t="s">
        <v>2044</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29" spans="1:15">
      <c r="A356" s="20" t="s">
        <v>5117</v>
      </c>
      <c r="B356" s="26" t="s">
        <v>2043</v>
      </c>
      <c r="C356" s="27" t="s">
        <v>2044</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29" spans="1:15">
      <c r="A357" s="20" t="s">
        <v>5118</v>
      </c>
      <c r="B357" s="26" t="s">
        <v>2043</v>
      </c>
      <c r="C357" s="27" t="s">
        <v>2044</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29" spans="1:15">
      <c r="A358" s="20" t="s">
        <v>5119</v>
      </c>
      <c r="B358" s="26" t="s">
        <v>2043</v>
      </c>
      <c r="C358" s="27" t="s">
        <v>2044</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29" spans="1:15">
      <c r="A359" s="20" t="s">
        <v>5120</v>
      </c>
      <c r="B359" s="26" t="s">
        <v>2043</v>
      </c>
      <c r="C359" s="27" t="s">
        <v>2044</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29" spans="1:15">
      <c r="A360" s="20" t="s">
        <v>5121</v>
      </c>
      <c r="B360" s="26" t="s">
        <v>2043</v>
      </c>
      <c r="C360" s="27" t="s">
        <v>2044</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29" spans="1:15">
      <c r="A361" s="20" t="s">
        <v>5122</v>
      </c>
      <c r="B361" s="26" t="s">
        <v>2043</v>
      </c>
      <c r="C361" s="27" t="s">
        <v>2044</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29" spans="1:15">
      <c r="A362" s="20" t="s">
        <v>5123</v>
      </c>
      <c r="B362" s="26" t="s">
        <v>2043</v>
      </c>
      <c r="C362" s="27" t="s">
        <v>2044</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29" spans="1:15">
      <c r="A363" s="20" t="s">
        <v>5124</v>
      </c>
      <c r="B363" s="26" t="s">
        <v>2043</v>
      </c>
      <c r="C363" s="27" t="s">
        <v>2044</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29" spans="1:15">
      <c r="A364" s="20" t="s">
        <v>3951</v>
      </c>
      <c r="B364" s="26" t="s">
        <v>2043</v>
      </c>
      <c r="C364" s="27" t="s">
        <v>2044</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29" spans="1:15">
      <c r="A365" s="20" t="s">
        <v>5125</v>
      </c>
      <c r="B365" s="26" t="s">
        <v>2043</v>
      </c>
      <c r="C365" s="27" t="s">
        <v>2044</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29" spans="1:15">
      <c r="A366" s="28" t="s">
        <v>5126</v>
      </c>
      <c r="B366" s="26" t="s">
        <v>2083</v>
      </c>
      <c r="C366" s="27" t="s">
        <v>2084</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29" spans="1:15">
      <c r="A367" s="20" t="s">
        <v>5127</v>
      </c>
      <c r="B367" s="26" t="s">
        <v>2083</v>
      </c>
      <c r="C367" s="27" t="s">
        <v>2084</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29" spans="1:15">
      <c r="A368" s="20" t="s">
        <v>3808</v>
      </c>
      <c r="B368" s="26" t="s">
        <v>2083</v>
      </c>
      <c r="C368" s="27" t="s">
        <v>2084</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29" spans="1:15">
      <c r="A369" s="28" t="s">
        <v>3050</v>
      </c>
      <c r="B369" s="26" t="s">
        <v>2083</v>
      </c>
      <c r="C369" s="27" t="s">
        <v>2084</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59.22</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29" spans="1:15">
      <c r="A370" s="20" t="s">
        <v>5128</v>
      </c>
      <c r="B370" s="26" t="s">
        <v>2083</v>
      </c>
      <c r="C370" s="27" t="s">
        <v>2084</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29" spans="1:15">
      <c r="A371" s="20" t="s">
        <v>5129</v>
      </c>
      <c r="B371" s="26" t="s">
        <v>2083</v>
      </c>
      <c r="C371" s="27" t="s">
        <v>2084</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29" spans="1:15">
      <c r="A372" s="20" t="s">
        <v>5130</v>
      </c>
      <c r="B372" s="26" t="s">
        <v>2083</v>
      </c>
      <c r="C372" s="27" t="s">
        <v>2084</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29" spans="1:15">
      <c r="A373" s="20" t="s">
        <v>5131</v>
      </c>
      <c r="B373" s="26" t="s">
        <v>2083</v>
      </c>
      <c r="C373" s="27" t="s">
        <v>2084</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29" spans="1:15">
      <c r="A374" s="20" t="s">
        <v>5132</v>
      </c>
      <c r="B374" s="26" t="s">
        <v>2083</v>
      </c>
      <c r="C374" s="27" t="s">
        <v>2084</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29" spans="1:15">
      <c r="A375" s="20" t="s">
        <v>5133</v>
      </c>
      <c r="B375" s="26" t="s">
        <v>2083</v>
      </c>
      <c r="C375" s="27" t="s">
        <v>2084</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29" spans="1:15">
      <c r="A376" s="28" t="s">
        <v>5134</v>
      </c>
      <c r="B376" s="26" t="s">
        <v>2083</v>
      </c>
      <c r="C376" s="27" t="s">
        <v>2084</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29" spans="1:15">
      <c r="A377" s="20" t="s">
        <v>5135</v>
      </c>
      <c r="B377" s="26" t="s">
        <v>2083</v>
      </c>
      <c r="C377" s="27" t="s">
        <v>2084</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29" spans="1:15">
      <c r="A378" s="20" t="s">
        <v>5136</v>
      </c>
      <c r="B378" s="26" t="s">
        <v>2083</v>
      </c>
      <c r="C378" s="27" t="s">
        <v>2084</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29" spans="1:15">
      <c r="A379" s="20" t="s">
        <v>5137</v>
      </c>
      <c r="B379" s="26" t="s">
        <v>2083</v>
      </c>
      <c r="C379" s="27" t="s">
        <v>2084</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29" spans="1:15">
      <c r="A380" s="20" t="s">
        <v>5138</v>
      </c>
      <c r="B380" s="26" t="s">
        <v>2083</v>
      </c>
      <c r="C380" s="27" t="s">
        <v>2084</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29" spans="1:15">
      <c r="A381" s="20" t="s">
        <v>5139</v>
      </c>
      <c r="B381" s="26" t="s">
        <v>2083</v>
      </c>
      <c r="C381" s="27" t="s">
        <v>2084</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29" spans="1:15">
      <c r="A382" s="20" t="s">
        <v>5140</v>
      </c>
      <c r="B382" s="26" t="s">
        <v>2083</v>
      </c>
      <c r="C382" s="27" t="s">
        <v>2084</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29" spans="1:15">
      <c r="A383" s="20" t="s">
        <v>5141</v>
      </c>
      <c r="B383" s="26" t="s">
        <v>2083</v>
      </c>
      <c r="C383" s="27" t="s">
        <v>2084</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29" spans="1:15">
      <c r="A384" s="28" t="s">
        <v>5142</v>
      </c>
      <c r="B384" s="26" t="s">
        <v>2083</v>
      </c>
      <c r="C384" s="27" t="s">
        <v>2084</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29" spans="1:15">
      <c r="A385" s="28" t="s">
        <v>5143</v>
      </c>
      <c r="B385" s="26" t="s">
        <v>2083</v>
      </c>
      <c r="C385" s="27" t="s">
        <v>2084</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29" spans="1:15">
      <c r="A386" s="20" t="s">
        <v>5144</v>
      </c>
      <c r="B386" s="26" t="s">
        <v>2083</v>
      </c>
      <c r="C386" s="27" t="s">
        <v>2084</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29" spans="1:15">
      <c r="A387" s="20" t="s">
        <v>5145</v>
      </c>
      <c r="B387" s="26" t="s">
        <v>2083</v>
      </c>
      <c r="C387" s="27" t="s">
        <v>2084</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29" spans="1:15">
      <c r="A388" s="20" t="s">
        <v>5146</v>
      </c>
      <c r="B388" s="26" t="s">
        <v>2083</v>
      </c>
      <c r="C388" s="27" t="s">
        <v>2084</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29" spans="1:15">
      <c r="A389" s="20" t="s">
        <v>5147</v>
      </c>
      <c r="B389" s="26" t="s">
        <v>2083</v>
      </c>
      <c r="C389" s="27" t="s">
        <v>2084</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29" spans="1:15">
      <c r="A390" s="20" t="s">
        <v>5148</v>
      </c>
      <c r="B390" s="26" t="s">
        <v>2083</v>
      </c>
      <c r="C390" s="27" t="s">
        <v>2084</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29" spans="1:15">
      <c r="A391" s="28" t="s">
        <v>3475</v>
      </c>
      <c r="B391" s="26" t="s">
        <v>2083</v>
      </c>
      <c r="C391" s="27" t="s">
        <v>2084</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29" spans="1:15">
      <c r="A392" s="28" t="s">
        <v>5149</v>
      </c>
      <c r="B392" s="26" t="s">
        <v>2083</v>
      </c>
      <c r="C392" s="27" t="s">
        <v>2084</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29" spans="1:15">
      <c r="A393" s="28" t="s">
        <v>5150</v>
      </c>
      <c r="B393" s="26" t="s">
        <v>2083</v>
      </c>
      <c r="C393" s="27" t="s">
        <v>2084</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29" spans="1:15">
      <c r="A394" s="28" t="s">
        <v>3644</v>
      </c>
      <c r="B394" s="26" t="s">
        <v>2083</v>
      </c>
      <c r="C394" s="27" t="s">
        <v>2084</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29" spans="1:15">
      <c r="A395" s="20" t="s">
        <v>5151</v>
      </c>
      <c r="B395" s="26" t="s">
        <v>2083</v>
      </c>
      <c r="C395" s="27" t="s">
        <v>2084</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29" spans="1:15">
      <c r="A396" s="20" t="s">
        <v>3945</v>
      </c>
      <c r="B396" s="26" t="s">
        <v>2083</v>
      </c>
      <c r="C396" s="27" t="s">
        <v>2084</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29" spans="1:15">
      <c r="A397" s="20" t="s">
        <v>5152</v>
      </c>
      <c r="B397" s="26" t="s">
        <v>2083</v>
      </c>
      <c r="C397" s="27" t="s">
        <v>2084</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29" spans="1:15">
      <c r="A398" s="20" t="s">
        <v>5153</v>
      </c>
      <c r="B398" s="26" t="s">
        <v>2083</v>
      </c>
      <c r="C398" s="27" t="s">
        <v>2084</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29" spans="1:15">
      <c r="A399" s="20" t="s">
        <v>5154</v>
      </c>
      <c r="B399" s="26" t="s">
        <v>2083</v>
      </c>
      <c r="C399" s="27" t="s">
        <v>2084</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29" spans="1:15">
      <c r="A400" s="20" t="s">
        <v>5155</v>
      </c>
      <c r="B400" s="26" t="s">
        <v>2083</v>
      </c>
      <c r="C400" s="27" t="s">
        <v>2084</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29" spans="1:15">
      <c r="A401" s="28" t="s">
        <v>5156</v>
      </c>
      <c r="B401" s="26" t="s">
        <v>2083</v>
      </c>
      <c r="C401" s="27" t="s">
        <v>2084</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29" spans="1:15">
      <c r="A402" s="20" t="s">
        <v>5157</v>
      </c>
      <c r="B402" s="26" t="s">
        <v>2083</v>
      </c>
      <c r="C402" s="27" t="s">
        <v>2084</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29" spans="1:15">
      <c r="A403" s="20" t="s">
        <v>5158</v>
      </c>
      <c r="B403" s="26" t="s">
        <v>2083</v>
      </c>
      <c r="C403" s="27" t="s">
        <v>2084</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29" spans="1:15">
      <c r="A404" s="20" t="s">
        <v>5159</v>
      </c>
      <c r="B404" s="26" t="s">
        <v>2083</v>
      </c>
      <c r="C404" s="27" t="s">
        <v>2084</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29" spans="1:15">
      <c r="A405" s="20" t="s">
        <v>2848</v>
      </c>
      <c r="B405" s="26" t="s">
        <v>2083</v>
      </c>
      <c r="C405" s="27" t="s">
        <v>2084</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30">
        <f>'2-1 采购订单物料明细表报表导出'!H12</f>
        <v>36.96</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29" spans="1:15">
      <c r="A406" s="20" t="s">
        <v>5160</v>
      </c>
      <c r="B406" s="26" t="s">
        <v>2083</v>
      </c>
      <c r="C406" s="27" t="s">
        <v>2084</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29" spans="1:15">
      <c r="A407" s="20" t="s">
        <v>5161</v>
      </c>
      <c r="B407" s="26" t="s">
        <v>2083</v>
      </c>
      <c r="C407" s="27" t="s">
        <v>2084</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29" spans="1:15">
      <c r="A408" s="20" t="s">
        <v>5162</v>
      </c>
      <c r="B408" s="26" t="s">
        <v>2083</v>
      </c>
      <c r="C408" s="27" t="s">
        <v>2084</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29" spans="1:15">
      <c r="A409" s="20" t="s">
        <v>5163</v>
      </c>
      <c r="B409" s="26" t="s">
        <v>2083</v>
      </c>
      <c r="C409" s="27" t="s">
        <v>2084</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29" spans="1:15">
      <c r="A410" s="20" t="s">
        <v>5164</v>
      </c>
      <c r="B410" s="26" t="s">
        <v>2083</v>
      </c>
      <c r="C410" s="27" t="s">
        <v>2084</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29" spans="1:15">
      <c r="A411" s="20" t="s">
        <v>5165</v>
      </c>
      <c r="B411" s="26" t="s">
        <v>2083</v>
      </c>
      <c r="C411" s="27" t="s">
        <v>2084</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29" spans="1:15">
      <c r="A412" s="28" t="s">
        <v>5166</v>
      </c>
      <c r="B412" s="26" t="s">
        <v>2083</v>
      </c>
      <c r="C412" s="27" t="s">
        <v>2084</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29" spans="1:15">
      <c r="A413" s="28" t="s">
        <v>5167</v>
      </c>
      <c r="B413" s="26" t="s">
        <v>2083</v>
      </c>
      <c r="C413" s="27" t="s">
        <v>2084</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29" spans="1:15">
      <c r="A414" s="20" t="s">
        <v>2844</v>
      </c>
      <c r="B414" s="26" t="s">
        <v>2083</v>
      </c>
      <c r="C414" s="27" t="s">
        <v>2084</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30">
        <f>'2-1 采购订单物料明细表报表导出'!H11</f>
        <v>34.8</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29" spans="1:15">
      <c r="A415" s="20" t="s">
        <v>5168</v>
      </c>
      <c r="B415" s="26" t="s">
        <v>2083</v>
      </c>
      <c r="C415" s="27" t="s">
        <v>2084</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29" spans="1:15">
      <c r="A416" s="20" t="s">
        <v>5169</v>
      </c>
      <c r="B416" s="26" t="s">
        <v>2083</v>
      </c>
      <c r="C416" s="27" t="s">
        <v>2084</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29" spans="1:15">
      <c r="A417" s="20" t="s">
        <v>5170</v>
      </c>
      <c r="B417" s="26" t="s">
        <v>2083</v>
      </c>
      <c r="C417" s="27" t="s">
        <v>2084</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29" spans="1:15">
      <c r="A418" s="20" t="s">
        <v>5171</v>
      </c>
      <c r="B418" s="26" t="s">
        <v>2083</v>
      </c>
      <c r="C418" s="27" t="s">
        <v>2084</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29" spans="1:15">
      <c r="A419" s="28" t="s">
        <v>3640</v>
      </c>
      <c r="B419" s="26" t="s">
        <v>2083</v>
      </c>
      <c r="C419" s="27" t="s">
        <v>2084</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29" spans="1:15">
      <c r="A420" s="28" t="s">
        <v>5172</v>
      </c>
      <c r="B420" s="26" t="s">
        <v>2083</v>
      </c>
      <c r="C420" s="27" t="s">
        <v>2084</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29" spans="1:15">
      <c r="A421" s="20" t="s">
        <v>5173</v>
      </c>
      <c r="B421" s="26" t="s">
        <v>2083</v>
      </c>
      <c r="C421" s="27" t="s">
        <v>2084</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29" spans="1:15">
      <c r="A422" s="20" t="s">
        <v>5174</v>
      </c>
      <c r="B422" s="26" t="s">
        <v>2083</v>
      </c>
      <c r="C422" s="27" t="s">
        <v>2084</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29" spans="1:15">
      <c r="A423" s="20" t="s">
        <v>5175</v>
      </c>
      <c r="B423" s="26" t="s">
        <v>2083</v>
      </c>
      <c r="C423" s="27" t="s">
        <v>2084</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29" spans="1:15">
      <c r="A424" s="28" t="s">
        <v>2834</v>
      </c>
      <c r="B424" s="26" t="s">
        <v>2083</v>
      </c>
      <c r="C424" s="27" t="s">
        <v>2084</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30">
        <f>'2-1 采购订单物料明细表报表导出'!H9</f>
        <v>52.2</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29" spans="1:15">
      <c r="A425" s="20" t="s">
        <v>5176</v>
      </c>
      <c r="B425" s="26" t="s">
        <v>2083</v>
      </c>
      <c r="C425" s="27" t="s">
        <v>2084</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29" spans="1:15">
      <c r="A426" s="28" t="s">
        <v>3056</v>
      </c>
      <c r="B426" s="26" t="s">
        <v>2083</v>
      </c>
      <c r="C426" s="27" t="s">
        <v>2084</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33.75</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29" spans="1:15">
      <c r="A427" s="28" t="s">
        <v>5177</v>
      </c>
      <c r="B427" s="26" t="s">
        <v>2083</v>
      </c>
      <c r="C427" s="27" t="s">
        <v>2084</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29" spans="1:15">
      <c r="A428" s="20" t="s">
        <v>5178</v>
      </c>
      <c r="B428" s="26" t="s">
        <v>2083</v>
      </c>
      <c r="C428" s="27" t="s">
        <v>2084</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29" spans="1:15">
      <c r="A429" s="20" t="s">
        <v>5179</v>
      </c>
      <c r="B429" s="26" t="s">
        <v>2083</v>
      </c>
      <c r="C429" s="27" t="s">
        <v>2084</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29" spans="1:15">
      <c r="A430" s="20" t="s">
        <v>5180</v>
      </c>
      <c r="B430" s="26" t="s">
        <v>2083</v>
      </c>
      <c r="C430" s="27" t="s">
        <v>2084</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29" spans="1:15">
      <c r="A431" s="20" t="s">
        <v>3158</v>
      </c>
      <c r="B431" s="26" t="s">
        <v>2083</v>
      </c>
      <c r="C431" s="27" t="s">
        <v>2084</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29" spans="1:15">
      <c r="A432" s="20" t="s">
        <v>5181</v>
      </c>
      <c r="B432" s="26" t="s">
        <v>2083</v>
      </c>
      <c r="C432" s="27" t="s">
        <v>2084</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29" spans="1:15">
      <c r="A433" s="20" t="s">
        <v>5182</v>
      </c>
      <c r="B433" s="26" t="s">
        <v>2083</v>
      </c>
      <c r="C433" s="27" t="s">
        <v>2084</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29" spans="1:15">
      <c r="A434" s="20" t="s">
        <v>5183</v>
      </c>
      <c r="B434" s="26" t="s">
        <v>2083</v>
      </c>
      <c r="C434" s="27" t="s">
        <v>2084</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29" spans="1:15">
      <c r="A435" s="28" t="s">
        <v>5184</v>
      </c>
      <c r="B435" s="26" t="s">
        <v>2083</v>
      </c>
      <c r="C435" s="27" t="s">
        <v>2084</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29" spans="1:15">
      <c r="A436" s="28" t="s">
        <v>5185</v>
      </c>
      <c r="B436" s="26" t="s">
        <v>2083</v>
      </c>
      <c r="C436" s="27" t="s">
        <v>2084</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29" spans="1:15">
      <c r="A437" s="20" t="s">
        <v>5186</v>
      </c>
      <c r="B437" s="26" t="s">
        <v>2083</v>
      </c>
      <c r="C437" s="27" t="s">
        <v>2084</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29" spans="1:15">
      <c r="A438" s="20" t="s">
        <v>5187</v>
      </c>
      <c r="B438" s="26" t="s">
        <v>2083</v>
      </c>
      <c r="C438" s="27" t="s">
        <v>2084</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29" spans="1:15">
      <c r="A439" s="20" t="s">
        <v>5188</v>
      </c>
      <c r="B439" s="26" t="s">
        <v>2083</v>
      </c>
      <c r="C439" s="27" t="s">
        <v>2084</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29" spans="1:15">
      <c r="A440" s="20" t="s">
        <v>5189</v>
      </c>
      <c r="B440" s="26" t="s">
        <v>2083</v>
      </c>
      <c r="C440" s="27" t="s">
        <v>2084</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29" spans="1:15">
      <c r="A441" s="20" t="s">
        <v>5190</v>
      </c>
      <c r="B441" s="26" t="s">
        <v>2083</v>
      </c>
      <c r="C441" s="27" t="s">
        <v>2084</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29" spans="1:15">
      <c r="A442" s="20" t="s">
        <v>5191</v>
      </c>
      <c r="B442" s="26" t="s">
        <v>2083</v>
      </c>
      <c r="C442" s="27" t="s">
        <v>2084</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29" spans="1:15">
      <c r="A443" s="20" t="s">
        <v>5192</v>
      </c>
      <c r="B443" s="26" t="s">
        <v>2083</v>
      </c>
      <c r="C443" s="27" t="s">
        <v>2084</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29" spans="1:15">
      <c r="A444" s="20" t="s">
        <v>5193</v>
      </c>
      <c r="B444" s="26" t="s">
        <v>2083</v>
      </c>
      <c r="C444" s="27" t="s">
        <v>2084</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29" spans="1:15">
      <c r="A445" s="28" t="s">
        <v>5194</v>
      </c>
      <c r="B445" s="26" t="s">
        <v>2083</v>
      </c>
      <c r="C445" s="27" t="s">
        <v>2084</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29" spans="1:15">
      <c r="A446" s="20" t="s">
        <v>5195</v>
      </c>
      <c r="B446" s="26" t="s">
        <v>2083</v>
      </c>
      <c r="C446" s="27" t="s">
        <v>2084</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29" spans="1:15">
      <c r="A447" s="20" t="s">
        <v>5196</v>
      </c>
      <c r="B447" s="26" t="s">
        <v>2083</v>
      </c>
      <c r="C447" s="27" t="s">
        <v>2084</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29" spans="1:15">
      <c r="A448" s="29" t="s">
        <v>5197</v>
      </c>
      <c r="B448" s="26" t="s">
        <v>2083</v>
      </c>
      <c r="C448" s="27" t="s">
        <v>2084</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29" spans="1:15">
      <c r="A449" s="20" t="s">
        <v>5198</v>
      </c>
      <c r="B449" s="26" t="s">
        <v>2083</v>
      </c>
      <c r="C449" s="27" t="s">
        <v>2084</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29" spans="1:15">
      <c r="A450" s="20" t="s">
        <v>3712</v>
      </c>
      <c r="B450" s="26" t="s">
        <v>2083</v>
      </c>
      <c r="C450" s="27" t="s">
        <v>2084</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29" spans="1:15">
      <c r="A451" s="20" t="s">
        <v>5199</v>
      </c>
      <c r="B451" s="26" t="s">
        <v>2083</v>
      </c>
      <c r="C451" s="27" t="s">
        <v>2084</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29" spans="1:15">
      <c r="A452" s="20" t="s">
        <v>5200</v>
      </c>
      <c r="B452" s="26" t="s">
        <v>2083</v>
      </c>
      <c r="C452" s="27" t="s">
        <v>2084</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29" spans="1:15">
      <c r="A453" s="20" t="s">
        <v>5201</v>
      </c>
      <c r="B453" s="26" t="s">
        <v>2083</v>
      </c>
      <c r="C453" s="27" t="s">
        <v>2084</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29" spans="1:15">
      <c r="A454" s="20" t="s">
        <v>5202</v>
      </c>
      <c r="B454" s="26" t="s">
        <v>2083</v>
      </c>
      <c r="C454" s="27" t="s">
        <v>2084</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29" spans="1:15">
      <c r="A455" s="20" t="s">
        <v>5203</v>
      </c>
      <c r="B455" s="26" t="s">
        <v>2083</v>
      </c>
      <c r="C455" s="27" t="s">
        <v>2084</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29" spans="1:15">
      <c r="A456" s="20" t="s">
        <v>3471</v>
      </c>
      <c r="B456" s="26" t="s">
        <v>2083</v>
      </c>
      <c r="C456" s="27" t="s">
        <v>2084</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29" spans="1:15">
      <c r="A457" s="20" t="s">
        <v>5204</v>
      </c>
      <c r="B457" s="26" t="s">
        <v>2083</v>
      </c>
      <c r="C457" s="27" t="s">
        <v>2084</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29" spans="1:15">
      <c r="A458" s="20" t="s">
        <v>5205</v>
      </c>
      <c r="B458" s="26" t="s">
        <v>2083</v>
      </c>
      <c r="C458" s="27" t="s">
        <v>2084</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29" spans="1:15">
      <c r="A459" s="20" t="s">
        <v>5206</v>
      </c>
      <c r="B459" s="26" t="s">
        <v>2083</v>
      </c>
      <c r="C459" s="27" t="s">
        <v>2084</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29" spans="1:15">
      <c r="A460" s="20" t="s">
        <v>5207</v>
      </c>
      <c r="B460" s="26" t="s">
        <v>2083</v>
      </c>
      <c r="C460" s="27" t="s">
        <v>2084</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29" spans="1:15">
      <c r="A461" s="20" t="s">
        <v>5208</v>
      </c>
      <c r="B461" s="26" t="s">
        <v>2083</v>
      </c>
      <c r="C461" s="27" t="s">
        <v>2084</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29" spans="1:15">
      <c r="A462" s="28" t="s">
        <v>5209</v>
      </c>
      <c r="B462" s="26" t="s">
        <v>2083</v>
      </c>
      <c r="C462" s="27" t="s">
        <v>2084</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29" spans="1:15">
      <c r="A463" s="20" t="s">
        <v>5210</v>
      </c>
      <c r="B463" s="26" t="s">
        <v>2083</v>
      </c>
      <c r="C463" s="27" t="s">
        <v>2084</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29" spans="1:15">
      <c r="A464" s="20" t="s">
        <v>5211</v>
      </c>
      <c r="B464" s="26" t="s">
        <v>2083</v>
      </c>
      <c r="C464" s="27" t="s">
        <v>2084</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29" spans="1:15">
      <c r="A465" s="20" t="s">
        <v>3897</v>
      </c>
      <c r="B465" s="26" t="s">
        <v>2083</v>
      </c>
      <c r="C465" s="27" t="s">
        <v>2084</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29" spans="1:15">
      <c r="A466" s="20" t="s">
        <v>5212</v>
      </c>
      <c r="B466" s="26" t="s">
        <v>2083</v>
      </c>
      <c r="C466" s="27" t="s">
        <v>2084</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29" spans="1:15">
      <c r="A467" s="20" t="s">
        <v>5213</v>
      </c>
      <c r="B467" s="26" t="s">
        <v>2083</v>
      </c>
      <c r="C467" s="27" t="s">
        <v>2084</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29" spans="1:15">
      <c r="A468" s="20" t="s">
        <v>5214</v>
      </c>
      <c r="B468" s="26" t="s">
        <v>2083</v>
      </c>
      <c r="C468" s="27" t="s">
        <v>2084</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29" spans="1:15">
      <c r="A469" s="20" t="s">
        <v>5215</v>
      </c>
      <c r="B469" s="26" t="s">
        <v>2083</v>
      </c>
      <c r="C469" s="27" t="s">
        <v>2084</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29" spans="1:15">
      <c r="A470" s="20" t="s">
        <v>3479</v>
      </c>
      <c r="B470" s="26" t="s">
        <v>2083</v>
      </c>
      <c r="C470" s="27" t="s">
        <v>2084</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29" spans="1:15">
      <c r="A471" s="20" t="s">
        <v>5216</v>
      </c>
      <c r="B471" s="26" t="s">
        <v>2083</v>
      </c>
      <c r="C471" s="27" t="s">
        <v>2084</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29" spans="1:15">
      <c r="A472" s="28" t="s">
        <v>5217</v>
      </c>
      <c r="B472" s="26" t="s">
        <v>2083</v>
      </c>
      <c r="C472" s="27" t="s">
        <v>2084</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29" spans="1:15">
      <c r="A473" s="20" t="s">
        <v>5218</v>
      </c>
      <c r="B473" s="26" t="s">
        <v>2083</v>
      </c>
      <c r="C473" s="27" t="s">
        <v>2084</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29" spans="1:15">
      <c r="A474" s="20" t="s">
        <v>5219</v>
      </c>
      <c r="B474" s="26" t="s">
        <v>2083</v>
      </c>
      <c r="C474" s="27" t="s">
        <v>2084</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29" spans="1:15">
      <c r="A475" s="20" t="s">
        <v>5220</v>
      </c>
      <c r="B475" s="26" t="s">
        <v>2083</v>
      </c>
      <c r="C475" s="27" t="s">
        <v>2084</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29" spans="1:15">
      <c r="A476" s="20" t="s">
        <v>5221</v>
      </c>
      <c r="B476" s="26" t="s">
        <v>2083</v>
      </c>
      <c r="C476" s="27" t="s">
        <v>2084</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29" spans="1:15">
      <c r="A477" s="28" t="s">
        <v>5222</v>
      </c>
      <c r="B477" s="26" t="s">
        <v>2083</v>
      </c>
      <c r="C477" s="27" t="s">
        <v>2084</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29" spans="1:15">
      <c r="A478" s="28" t="s">
        <v>5223</v>
      </c>
      <c r="B478" s="26" t="s">
        <v>2083</v>
      </c>
      <c r="C478" s="27" t="s">
        <v>2084</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29" spans="1:15">
      <c r="A479" s="20" t="s">
        <v>3964</v>
      </c>
      <c r="B479" s="26" t="s">
        <v>2083</v>
      </c>
      <c r="C479" s="27" t="s">
        <v>2084</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29" spans="1:15">
      <c r="A480" s="28" t="s">
        <v>5224</v>
      </c>
      <c r="B480" s="26" t="s">
        <v>2083</v>
      </c>
      <c r="C480" s="27" t="s">
        <v>2084</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29" spans="1:15">
      <c r="A481" s="20" t="s">
        <v>5225</v>
      </c>
      <c r="B481" s="26" t="s">
        <v>2043</v>
      </c>
      <c r="C481" s="27" t="s">
        <v>2044</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29" spans="1:15">
      <c r="A482" s="20" t="s">
        <v>5226</v>
      </c>
      <c r="B482" s="26" t="s">
        <v>2043</v>
      </c>
      <c r="C482" s="27" t="s">
        <v>2044</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29" spans="1:15">
      <c r="A483" s="20" t="s">
        <v>5227</v>
      </c>
      <c r="B483" s="26" t="s">
        <v>2043</v>
      </c>
      <c r="C483" s="27" t="s">
        <v>2044</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29" spans="1:15">
      <c r="A484" s="20" t="s">
        <v>5228</v>
      </c>
      <c r="B484" s="26" t="s">
        <v>2043</v>
      </c>
      <c r="C484" s="27" t="s">
        <v>2044</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29" spans="1:15">
      <c r="A485" s="20" t="s">
        <v>3636</v>
      </c>
      <c r="B485" s="26" t="s">
        <v>2043</v>
      </c>
      <c r="C485" s="27" t="s">
        <v>2044</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29" spans="1:15">
      <c r="A486" s="20" t="s">
        <v>5229</v>
      </c>
      <c r="B486" s="26" t="s">
        <v>2043</v>
      </c>
      <c r="C486" s="27" t="s">
        <v>2044</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29" spans="1:15">
      <c r="A487" s="20" t="s">
        <v>5230</v>
      </c>
      <c r="B487" s="26" t="s">
        <v>2043</v>
      </c>
      <c r="C487" s="27" t="s">
        <v>2044</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29" spans="1:15">
      <c r="A488" s="20" t="s">
        <v>5231</v>
      </c>
      <c r="B488" s="26" t="s">
        <v>2043</v>
      </c>
      <c r="C488" s="27" t="s">
        <v>2044</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29" spans="1:15">
      <c r="A489" s="20" t="s">
        <v>3333</v>
      </c>
      <c r="B489" s="26" t="s">
        <v>2043</v>
      </c>
      <c r="C489" s="27" t="s">
        <v>2044</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29" spans="1:15">
      <c r="A490" s="20" t="s">
        <v>5232</v>
      </c>
      <c r="B490" s="26" t="s">
        <v>2043</v>
      </c>
      <c r="C490" s="27" t="s">
        <v>2044</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29" spans="1:15">
      <c r="A491" s="20" t="s">
        <v>5233</v>
      </c>
      <c r="B491" s="26" t="s">
        <v>2043</v>
      </c>
      <c r="C491" s="27" t="s">
        <v>2044</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29" spans="1:15">
      <c r="A492" s="20" t="s">
        <v>5234</v>
      </c>
      <c r="B492" s="26" t="s">
        <v>2043</v>
      </c>
      <c r="C492" s="27" t="s">
        <v>2044</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29" spans="1:15">
      <c r="A493" s="20" t="s">
        <v>5235</v>
      </c>
      <c r="B493" s="26" t="s">
        <v>2043</v>
      </c>
      <c r="C493" s="27" t="s">
        <v>2044</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29" spans="1:15">
      <c r="A494" s="20" t="s">
        <v>5236</v>
      </c>
      <c r="B494" s="26" t="s">
        <v>2043</v>
      </c>
      <c r="C494" s="27" t="s">
        <v>2044</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29" spans="1:15">
      <c r="A495" s="20" t="s">
        <v>5237</v>
      </c>
      <c r="B495" s="26" t="s">
        <v>2043</v>
      </c>
      <c r="C495" s="27" t="s">
        <v>2044</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29" spans="1:15">
      <c r="A496" s="20" t="s">
        <v>5238</v>
      </c>
      <c r="B496" s="26" t="s">
        <v>2043</v>
      </c>
      <c r="C496" s="27" t="s">
        <v>2044</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29" spans="1:15">
      <c r="A497" s="20" t="s">
        <v>5239</v>
      </c>
      <c r="B497" s="26" t="s">
        <v>2043</v>
      </c>
      <c r="C497" s="27" t="s">
        <v>2044</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29" spans="1:15">
      <c r="A498" s="20" t="s">
        <v>5240</v>
      </c>
      <c r="B498" s="26" t="s">
        <v>2043</v>
      </c>
      <c r="C498" s="27" t="s">
        <v>2044</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29" spans="1:15">
      <c r="A499" s="20" t="s">
        <v>5241</v>
      </c>
      <c r="B499" s="26" t="s">
        <v>2083</v>
      </c>
      <c r="C499" s="27" t="s">
        <v>2084</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29" spans="1:15">
      <c r="A500" s="20" t="s">
        <v>5242</v>
      </c>
      <c r="B500" s="26" t="s">
        <v>2083</v>
      </c>
      <c r="C500" s="27" t="s">
        <v>2084</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29" spans="1:15">
      <c r="A501" s="20" t="s">
        <v>5243</v>
      </c>
      <c r="B501" s="26" t="s">
        <v>2083</v>
      </c>
      <c r="C501" s="27" t="s">
        <v>2084</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29" spans="1:15">
      <c r="A502" s="20" t="s">
        <v>5244</v>
      </c>
      <c r="B502" s="26" t="s">
        <v>2083</v>
      </c>
      <c r="C502" s="27" t="s">
        <v>2084</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29" spans="1:15">
      <c r="A503" s="20" t="s">
        <v>5245</v>
      </c>
      <c r="B503" s="26" t="s">
        <v>2083</v>
      </c>
      <c r="C503" s="27" t="s">
        <v>2084</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29" spans="1:15">
      <c r="A504" s="20" t="s">
        <v>5246</v>
      </c>
      <c r="B504" s="26" t="s">
        <v>2083</v>
      </c>
      <c r="C504" s="27" t="s">
        <v>2084</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29" spans="1:15">
      <c r="A505" s="20" t="s">
        <v>5247</v>
      </c>
      <c r="B505" s="26" t="s">
        <v>2083</v>
      </c>
      <c r="C505" s="27" t="s">
        <v>2084</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29" spans="1:15">
      <c r="A506" s="20" t="s">
        <v>5248</v>
      </c>
      <c r="B506" s="26" t="s">
        <v>2083</v>
      </c>
      <c r="C506" s="27" t="s">
        <v>2084</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29" spans="1:15">
      <c r="A507" s="20" t="s">
        <v>5249</v>
      </c>
      <c r="B507" s="26" t="s">
        <v>2083</v>
      </c>
      <c r="C507" s="27" t="s">
        <v>2084</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29" spans="1:15">
      <c r="A508" s="20" t="s">
        <v>5250</v>
      </c>
      <c r="B508" s="26" t="s">
        <v>2083</v>
      </c>
      <c r="C508" s="27" t="s">
        <v>2084</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29" spans="1:15">
      <c r="A509" s="20" t="s">
        <v>5251</v>
      </c>
      <c r="B509" s="26" t="s">
        <v>2083</v>
      </c>
      <c r="C509" s="27" t="s">
        <v>2084</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29" spans="1:15">
      <c r="A510" s="20" t="s">
        <v>5252</v>
      </c>
      <c r="B510" s="26" t="s">
        <v>2083</v>
      </c>
      <c r="C510" s="27" t="s">
        <v>2084</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29" spans="1:15">
      <c r="A511" s="20" t="s">
        <v>5253</v>
      </c>
      <c r="B511" s="26" t="s">
        <v>2083</v>
      </c>
      <c r="C511" s="27" t="s">
        <v>2084</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29" spans="1:15">
      <c r="A512" s="20" t="s">
        <v>5254</v>
      </c>
      <c r="B512" s="26" t="s">
        <v>2083</v>
      </c>
      <c r="C512" s="27" t="s">
        <v>2084</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29" spans="1:15">
      <c r="A513" s="20" t="s">
        <v>5255</v>
      </c>
      <c r="B513" s="26" t="s">
        <v>2083</v>
      </c>
      <c r="C513" s="27" t="s">
        <v>2084</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29" spans="1:15">
      <c r="A514" s="20" t="s">
        <v>5256</v>
      </c>
      <c r="B514" s="26" t="s">
        <v>2083</v>
      </c>
      <c r="C514" s="27" t="s">
        <v>2084</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29" spans="1:15">
      <c r="A515" s="20" t="s">
        <v>5257</v>
      </c>
      <c r="B515" s="26" t="s">
        <v>2083</v>
      </c>
      <c r="C515" s="27" t="s">
        <v>2084</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29" spans="1:15">
      <c r="A516" s="20" t="s">
        <v>5258</v>
      </c>
      <c r="B516" s="26" t="s">
        <v>2083</v>
      </c>
      <c r="C516" s="27" t="s">
        <v>2084</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29" spans="1:15">
      <c r="A517" s="28" t="s">
        <v>5259</v>
      </c>
      <c r="B517" s="26" t="s">
        <v>2083</v>
      </c>
      <c r="C517" s="27" t="s">
        <v>2084</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29" spans="1:15">
      <c r="A518" s="20" t="s">
        <v>5260</v>
      </c>
      <c r="B518" s="26" t="s">
        <v>2083</v>
      </c>
      <c r="C518" s="27" t="s">
        <v>2084</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29" spans="1:15">
      <c r="A519" s="20" t="s">
        <v>5261</v>
      </c>
      <c r="B519" s="26" t="s">
        <v>2083</v>
      </c>
      <c r="C519" s="27" t="s">
        <v>2084</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29" spans="1:15">
      <c r="A520" s="28" t="s">
        <v>2909</v>
      </c>
      <c r="B520" s="26" t="s">
        <v>2083</v>
      </c>
      <c r="C520" s="27" t="s">
        <v>2084</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840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840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29" spans="1:15">
      <c r="A521" s="20" t="s">
        <v>5262</v>
      </c>
      <c r="B521" s="21" t="s">
        <v>2273</v>
      </c>
      <c r="C521" s="22" t="s">
        <v>2274</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29" spans="1:15">
      <c r="A522" s="20" t="s">
        <v>5263</v>
      </c>
      <c r="B522" s="21" t="s">
        <v>2273</v>
      </c>
      <c r="C522" s="22" t="s">
        <v>2274</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29" spans="1:15">
      <c r="A523" s="20" t="s">
        <v>5264</v>
      </c>
      <c r="B523" s="21" t="s">
        <v>2273</v>
      </c>
      <c r="C523" s="22" t="s">
        <v>2274</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29" spans="1:15">
      <c r="A524" s="20" t="s">
        <v>2917</v>
      </c>
      <c r="B524" s="21" t="s">
        <v>2273</v>
      </c>
      <c r="C524" s="22" t="s">
        <v>2274</v>
      </c>
      <c r="D524" s="23" cm="1">
        <f t="array" ref="D524">SUM(IF((LEFT('2-1 采购订单物料明细表报表导出'!$K:$K,7)=D$1)*('2-1 采购订单物料明细表报表导出'!$D:$D=$A524),'2-1 采购订单物料明细表报表导出'!$H:$H,0))</f>
        <v>138</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140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138</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29" spans="1:15">
      <c r="A525" s="20" t="s">
        <v>5265</v>
      </c>
      <c r="B525" s="21" t="s">
        <v>2273</v>
      </c>
      <c r="C525" s="22" t="s">
        <v>2274</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29" spans="1:15">
      <c r="A526" s="20" t="s">
        <v>5266</v>
      </c>
      <c r="B526" s="21" t="s">
        <v>2273</v>
      </c>
      <c r="C526" s="22" t="s">
        <v>2274</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29" spans="1:15">
      <c r="A527" s="20" t="s">
        <v>5267</v>
      </c>
      <c r="B527" s="21" t="s">
        <v>2273</v>
      </c>
      <c r="C527" s="22" t="s">
        <v>2274</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29" spans="1:15">
      <c r="A528" s="20" t="s">
        <v>5268</v>
      </c>
      <c r="B528" s="21" t="s">
        <v>2273</v>
      </c>
      <c r="C528" s="22" t="s">
        <v>2274</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29" spans="1:15">
      <c r="A529" s="20" t="s">
        <v>5269</v>
      </c>
      <c r="B529" s="21" t="s">
        <v>2273</v>
      </c>
      <c r="C529" s="22" t="s">
        <v>2274</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29" spans="1:15">
      <c r="A530" s="20" t="s">
        <v>3774</v>
      </c>
      <c r="B530" s="21" t="s">
        <v>2273</v>
      </c>
      <c r="C530" s="22" t="s">
        <v>2274</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29" spans="1:15">
      <c r="A531" s="20" t="s">
        <v>5270</v>
      </c>
      <c r="B531" s="21" t="s">
        <v>2273</v>
      </c>
      <c r="C531" s="22" t="s">
        <v>2274</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29" spans="1:15">
      <c r="A532" s="20" t="s">
        <v>5271</v>
      </c>
      <c r="B532" s="26" t="s">
        <v>1674</v>
      </c>
      <c r="C532" s="27" t="s">
        <v>5272</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29" spans="1:15">
      <c r="A533" s="20" t="s">
        <v>2873</v>
      </c>
      <c r="B533" s="26" t="s">
        <v>1674</v>
      </c>
      <c r="C533" s="27" t="s">
        <v>5272</v>
      </c>
      <c r="D533" s="23" cm="1">
        <f t="array" ref="D533">SUM(IF((LEFT('2-1 采购订单物料明细表报表导出'!$K:$K,7)=D$1)*('2-1 采购订单物料明细表报表导出'!$D:$D=$A533),'2-1 采购订单物料明细表报表导出'!$H:$H,0))</f>
        <v>5236.3</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12.6</v>
      </c>
      <c r="H533" s="23" cm="1">
        <f t="array" ref="H533">SUM(IF((LEFT('2-1 采购订单物料明细表报表导出'!$K:$K,7)=H$1)*('2-1 采购订单物料明细表报表导出'!$D:$D=$A533),'2-1 采购订单物料明细表报表导出'!$H:$H,0))</f>
        <v>5192</v>
      </c>
      <c r="I533" s="23" cm="1">
        <f t="array" ref="I533">SUM(IF((LEFT('2-1 采购订单物料明细表报表导出'!$K:$K,7)=I$1)*('2-1 采购订单物料明细表报表导出'!$D:$D=$A533),'2-1 采购订单物料明细表报表导出'!$H:$H,0))</f>
        <v>9.2</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29" spans="1:15">
      <c r="A534" s="28" t="s">
        <v>3852</v>
      </c>
      <c r="B534" s="26" t="s">
        <v>1674</v>
      </c>
      <c r="C534" s="27" t="s">
        <v>5272</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29" spans="1:15">
      <c r="A535" s="29" t="s">
        <v>3524</v>
      </c>
      <c r="B535" s="26" t="s">
        <v>1674</v>
      </c>
      <c r="C535" s="27" t="s">
        <v>5272</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29" spans="1:15">
      <c r="A536" s="20" t="s">
        <v>3040</v>
      </c>
      <c r="B536" s="26" t="s">
        <v>1674</v>
      </c>
      <c r="C536" s="27" t="s">
        <v>5272</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109</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29" spans="1:15">
      <c r="A537" s="20" t="s">
        <v>5273</v>
      </c>
      <c r="B537" s="26" t="s">
        <v>1674</v>
      </c>
      <c r="C537" s="27" t="s">
        <v>5272</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29" spans="1:15">
      <c r="A538" s="20" t="s">
        <v>5274</v>
      </c>
      <c r="B538" s="26" t="s">
        <v>1674</v>
      </c>
      <c r="C538" s="27" t="s">
        <v>5272</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29" spans="1:15">
      <c r="A539" s="20" t="s">
        <v>5275</v>
      </c>
      <c r="B539" s="26" t="s">
        <v>1674</v>
      </c>
      <c r="C539" s="27" t="s">
        <v>5272</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29" spans="1:15">
      <c r="A540" s="20" t="s">
        <v>2923</v>
      </c>
      <c r="B540" s="26" t="s">
        <v>1674</v>
      </c>
      <c r="C540" s="27" t="s">
        <v>5272</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56.4</v>
      </c>
      <c r="H540" s="23" cm="1">
        <f t="array" ref="H540">SUM(IF((LEFT('2-1 采购订单物料明细表报表导出'!$K:$K,7)=H$1)*('2-1 采购订单物料明细表报表导出'!$D:$D=$A540),'2-1 采购订单物料明细表报表导出'!$H:$H,0))</f>
        <v>500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29" spans="1:15">
      <c r="A541" s="20" t="s">
        <v>5276</v>
      </c>
      <c r="B541" s="26" t="s">
        <v>1674</v>
      </c>
      <c r="C541" s="27" t="s">
        <v>5272</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29" spans="1:15">
      <c r="A542" s="28" t="s">
        <v>5277</v>
      </c>
      <c r="B542" s="26" t="s">
        <v>1674</v>
      </c>
      <c r="C542" s="27" t="s">
        <v>5272</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29" spans="1:15">
      <c r="A543" s="28" t="s">
        <v>5278</v>
      </c>
      <c r="B543" s="26" t="s">
        <v>1674</v>
      </c>
      <c r="C543" s="27" t="s">
        <v>5272</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29" spans="1:15">
      <c r="A544" s="28" t="s">
        <v>5279</v>
      </c>
      <c r="B544" s="26" t="s">
        <v>1674</v>
      </c>
      <c r="C544" s="27" t="s">
        <v>5272</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29" spans="1:15">
      <c r="A545" s="28" t="s">
        <v>5280</v>
      </c>
      <c r="B545" s="26" t="s">
        <v>1674</v>
      </c>
      <c r="C545" s="27" t="s">
        <v>5272</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29" spans="1:15">
      <c r="A546" s="28" t="s">
        <v>5281</v>
      </c>
      <c r="B546" s="26" t="s">
        <v>1674</v>
      </c>
      <c r="C546" s="27" t="s">
        <v>5272</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29" spans="1:15">
      <c r="A547" s="20" t="s">
        <v>5282</v>
      </c>
      <c r="B547" s="26" t="s">
        <v>1814</v>
      </c>
      <c r="C547" s="27" t="s">
        <v>1815</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29" spans="1:15">
      <c r="A548" s="20" t="s">
        <v>5283</v>
      </c>
      <c r="B548" s="26" t="s">
        <v>1814</v>
      </c>
      <c r="C548" s="27" t="s">
        <v>1815</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29" spans="1:15">
      <c r="A549" s="20" t="s">
        <v>5284</v>
      </c>
      <c r="B549" s="26" t="s">
        <v>1814</v>
      </c>
      <c r="C549" s="27" t="s">
        <v>1815</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29" spans="1:15">
      <c r="A550" s="20" t="s">
        <v>5285</v>
      </c>
      <c r="B550" s="26" t="s">
        <v>1814</v>
      </c>
      <c r="C550" s="27" t="s">
        <v>1815</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29" spans="1:15">
      <c r="A551" s="20" t="s">
        <v>5286</v>
      </c>
      <c r="B551" s="26" t="s">
        <v>1814</v>
      </c>
      <c r="C551" s="27" t="s">
        <v>1815</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29" spans="1:15">
      <c r="A552" s="20" t="s">
        <v>5287</v>
      </c>
      <c r="B552" s="26" t="s">
        <v>1814</v>
      </c>
      <c r="C552" s="27" t="s">
        <v>1815</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29" spans="1:15">
      <c r="A553" s="20" t="s">
        <v>5288</v>
      </c>
      <c r="B553" s="26" t="s">
        <v>1814</v>
      </c>
      <c r="C553" s="27" t="s">
        <v>1815</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29" spans="1:15">
      <c r="A554" s="28" t="s">
        <v>5289</v>
      </c>
      <c r="B554" s="26" t="s">
        <v>1802</v>
      </c>
      <c r="C554" s="27" t="s">
        <v>1803</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29" spans="1:15">
      <c r="A555" s="28" t="s">
        <v>5290</v>
      </c>
      <c r="B555" s="26" t="s">
        <v>1802</v>
      </c>
      <c r="C555" s="27" t="s">
        <v>1803</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29" spans="1:15">
      <c r="A556" s="28" t="s">
        <v>5291</v>
      </c>
      <c r="B556" s="26" t="s">
        <v>1802</v>
      </c>
      <c r="C556" s="27" t="s">
        <v>1803</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29" spans="1:15">
      <c r="A557" s="28" t="s">
        <v>5292</v>
      </c>
      <c r="B557" s="26" t="s">
        <v>1802</v>
      </c>
      <c r="C557" s="27" t="s">
        <v>1803</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29" spans="1:15">
      <c r="A558" s="28" t="s">
        <v>5293</v>
      </c>
      <c r="B558" s="26" t="s">
        <v>1802</v>
      </c>
      <c r="C558" s="27" t="s">
        <v>1803</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29" spans="1:15">
      <c r="A559" s="28" t="s">
        <v>5294</v>
      </c>
      <c r="B559" s="26" t="s">
        <v>1802</v>
      </c>
      <c r="C559" s="27" t="s">
        <v>1803</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29" spans="1:15">
      <c r="A560" s="28" t="s">
        <v>5295</v>
      </c>
      <c r="B560" s="26" t="s">
        <v>1802</v>
      </c>
      <c r="C560" s="27" t="s">
        <v>1803</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29" spans="1:15">
      <c r="A561" s="28" t="s">
        <v>5296</v>
      </c>
      <c r="B561" s="26" t="s">
        <v>1802</v>
      </c>
      <c r="C561" s="27" t="s">
        <v>1803</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29" spans="1:15">
      <c r="A562" s="28" t="s">
        <v>5297</v>
      </c>
      <c r="B562" s="26" t="s">
        <v>1802</v>
      </c>
      <c r="C562" s="27" t="s">
        <v>1803</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29" spans="1:15">
      <c r="A563" s="28" t="s">
        <v>5298</v>
      </c>
      <c r="B563" s="26" t="s">
        <v>1802</v>
      </c>
      <c r="C563" s="27" t="s">
        <v>1803</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29" spans="1:15">
      <c r="A564" s="28" t="s">
        <v>5299</v>
      </c>
      <c r="B564" s="26" t="s">
        <v>1802</v>
      </c>
      <c r="C564" s="27" t="s">
        <v>1803</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29" spans="1:15">
      <c r="A565" s="28" t="s">
        <v>5300</v>
      </c>
      <c r="B565" s="26" t="s">
        <v>1802</v>
      </c>
      <c r="C565" s="27" t="s">
        <v>1803</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29" spans="1:15">
      <c r="A566" s="20" t="s">
        <v>5301</v>
      </c>
      <c r="B566" s="26" t="s">
        <v>1802</v>
      </c>
      <c r="C566" s="27" t="s">
        <v>1803</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29" spans="1:15">
      <c r="A567" s="20" t="s">
        <v>5302</v>
      </c>
      <c r="B567" s="26" t="s">
        <v>1802</v>
      </c>
      <c r="C567" s="27" t="s">
        <v>1803</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29" spans="1:15">
      <c r="A568" s="28" t="s">
        <v>5303</v>
      </c>
      <c r="B568" s="26" t="s">
        <v>1802</v>
      </c>
      <c r="C568" s="27" t="s">
        <v>1803</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29" spans="1:15">
      <c r="A569" s="28" t="s">
        <v>5304</v>
      </c>
      <c r="B569" s="26" t="s">
        <v>1802</v>
      </c>
      <c r="C569" s="27" t="s">
        <v>1803</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29" spans="1:15">
      <c r="A570" s="28" t="s">
        <v>5305</v>
      </c>
      <c r="B570" s="26" t="s">
        <v>1802</v>
      </c>
      <c r="C570" s="27" t="s">
        <v>1803</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29" spans="1:15">
      <c r="A571" s="28" t="s">
        <v>5306</v>
      </c>
      <c r="B571" s="26" t="s">
        <v>1802</v>
      </c>
      <c r="C571" s="27" t="s">
        <v>1803</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29" spans="1:15">
      <c r="A572" s="28" t="s">
        <v>5307</v>
      </c>
      <c r="B572" s="26" t="s">
        <v>1802</v>
      </c>
      <c r="C572" s="27" t="s">
        <v>1803</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29" spans="1:15">
      <c r="A573" s="28" t="s">
        <v>5308</v>
      </c>
      <c r="B573" s="26" t="s">
        <v>1802</v>
      </c>
      <c r="C573" s="27" t="s">
        <v>1803</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29" spans="1:15">
      <c r="A574" s="28" t="s">
        <v>5309</v>
      </c>
      <c r="B574" s="26" t="s">
        <v>1802</v>
      </c>
      <c r="C574" s="27" t="s">
        <v>1803</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29" spans="1:15">
      <c r="A575" s="28" t="s">
        <v>5310</v>
      </c>
      <c r="B575" s="26" t="s">
        <v>1802</v>
      </c>
      <c r="C575" s="27" t="s">
        <v>1803</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29" spans="1:15">
      <c r="A576" s="28" t="s">
        <v>3632</v>
      </c>
      <c r="B576" s="26" t="s">
        <v>1802</v>
      </c>
      <c r="C576" s="27" t="s">
        <v>1803</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29" spans="1:15">
      <c r="A577" s="28" t="s">
        <v>5311</v>
      </c>
      <c r="B577" s="26" t="s">
        <v>1802</v>
      </c>
      <c r="C577" s="27" t="s">
        <v>1803</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29" spans="1:15">
      <c r="A578" s="20" t="s">
        <v>5312</v>
      </c>
      <c r="B578" s="26" t="s">
        <v>1802</v>
      </c>
      <c r="C578" s="27" t="s">
        <v>1803</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29" spans="1:15">
      <c r="A579" s="20" t="s">
        <v>5313</v>
      </c>
      <c r="B579" s="26" t="s">
        <v>1802</v>
      </c>
      <c r="C579" s="27" t="s">
        <v>1803</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29" spans="1:15">
      <c r="A580" s="20" t="s">
        <v>3190</v>
      </c>
      <c r="B580" s="26" t="s">
        <v>1802</v>
      </c>
      <c r="C580" s="27" t="s">
        <v>1803</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29" spans="1:15">
      <c r="A581" s="20" t="s">
        <v>5314</v>
      </c>
      <c r="B581" s="26" t="s">
        <v>1802</v>
      </c>
      <c r="C581" s="27" t="s">
        <v>1803</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29" spans="1:15">
      <c r="A582" s="20" t="s">
        <v>5315</v>
      </c>
      <c r="B582" s="26" t="s">
        <v>1802</v>
      </c>
      <c r="C582" s="27" t="s">
        <v>1803</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29" spans="1:15">
      <c r="A583" s="20" t="s">
        <v>5316</v>
      </c>
      <c r="B583" s="26" t="s">
        <v>1802</v>
      </c>
      <c r="C583" s="27" t="s">
        <v>1803</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29" spans="1:15">
      <c r="A584" s="28" t="s">
        <v>5317</v>
      </c>
      <c r="B584" s="26" t="s">
        <v>1802</v>
      </c>
      <c r="C584" s="27" t="s">
        <v>1803</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29" spans="1:15">
      <c r="A585" s="20" t="s">
        <v>5318</v>
      </c>
      <c r="B585" s="26" t="s">
        <v>1802</v>
      </c>
      <c r="C585" s="27" t="s">
        <v>1803</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29" spans="1:15">
      <c r="A586" s="20" t="s">
        <v>5319</v>
      </c>
      <c r="B586" s="26" t="s">
        <v>1802</v>
      </c>
      <c r="C586" s="27" t="s">
        <v>1803</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29" spans="1:15">
      <c r="A587" s="20" t="s">
        <v>5320</v>
      </c>
      <c r="B587" s="26" t="s">
        <v>1802</v>
      </c>
      <c r="C587" s="27" t="s">
        <v>1803</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29" spans="1:15">
      <c r="A588" s="20" t="s">
        <v>5321</v>
      </c>
      <c r="B588" s="26" t="s">
        <v>1814</v>
      </c>
      <c r="C588" s="27" t="s">
        <v>1815</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29" spans="1:15">
      <c r="A589" s="20" t="s">
        <v>5322</v>
      </c>
      <c r="B589" s="26" t="s">
        <v>1814</v>
      </c>
      <c r="C589" s="27" t="s">
        <v>1815</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29" spans="1:15">
      <c r="A590" s="20" t="s">
        <v>5323</v>
      </c>
      <c r="B590" s="26" t="s">
        <v>1814</v>
      </c>
      <c r="C590" s="27" t="s">
        <v>1815</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29" spans="1:15">
      <c r="A591" s="20" t="s">
        <v>5324</v>
      </c>
      <c r="B591" s="26" t="s">
        <v>1841</v>
      </c>
      <c r="C591" s="27" t="s">
        <v>1842</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29" spans="1:15">
      <c r="A592" s="20" t="s">
        <v>5325</v>
      </c>
      <c r="B592" s="26" t="s">
        <v>1841</v>
      </c>
      <c r="C592" s="27" t="s">
        <v>1842</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29" spans="1:15">
      <c r="A593" s="20" t="s">
        <v>5326</v>
      </c>
      <c r="B593" s="26" t="s">
        <v>1841</v>
      </c>
      <c r="C593" s="27" t="s">
        <v>1842</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29" spans="1:15">
      <c r="A594" s="20" t="s">
        <v>5327</v>
      </c>
      <c r="B594" s="26" t="s">
        <v>1841</v>
      </c>
      <c r="C594" s="27" t="s">
        <v>1842</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29" spans="1:15">
      <c r="A595" s="20" t="s">
        <v>3222</v>
      </c>
      <c r="B595" s="26" t="s">
        <v>1841</v>
      </c>
      <c r="C595" s="27" t="s">
        <v>1842</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29" spans="1:15">
      <c r="A596" s="20" t="s">
        <v>5328</v>
      </c>
      <c r="B596" s="26" t="s">
        <v>1841</v>
      </c>
      <c r="C596" s="27" t="s">
        <v>1842</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29" spans="1:15">
      <c r="A597" s="20" t="s">
        <v>5329</v>
      </c>
      <c r="B597" s="26" t="s">
        <v>1841</v>
      </c>
      <c r="C597" s="27" t="s">
        <v>1842</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29" spans="1:15">
      <c r="A598" s="20" t="s">
        <v>5330</v>
      </c>
      <c r="B598" s="26" t="s">
        <v>1841</v>
      </c>
      <c r="C598" s="27" t="s">
        <v>1842</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29" spans="1:15">
      <c r="A599" s="20" t="s">
        <v>5331</v>
      </c>
      <c r="B599" s="26" t="s">
        <v>1841</v>
      </c>
      <c r="C599" s="27" t="s">
        <v>1842</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29" spans="1:15">
      <c r="A600" s="20" t="s">
        <v>5332</v>
      </c>
      <c r="B600" s="26" t="s">
        <v>1841</v>
      </c>
      <c r="C600" s="27" t="s">
        <v>1842</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29" spans="1:15">
      <c r="A601" s="20" t="s">
        <v>2970</v>
      </c>
      <c r="B601" s="26" t="s">
        <v>1841</v>
      </c>
      <c r="C601" s="27" t="s">
        <v>1842</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474.5</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29" spans="1:15">
      <c r="A602" s="20" t="s">
        <v>3867</v>
      </c>
      <c r="B602" s="26" t="s">
        <v>1841</v>
      </c>
      <c r="C602" s="27" t="s">
        <v>1842</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29" spans="1:15">
      <c r="A603" s="20" t="s">
        <v>5333</v>
      </c>
      <c r="B603" s="26" t="s">
        <v>1841</v>
      </c>
      <c r="C603" s="27" t="s">
        <v>1842</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29" spans="1:15">
      <c r="A604" s="20" t="s">
        <v>5334</v>
      </c>
      <c r="B604" s="26" t="s">
        <v>1841</v>
      </c>
      <c r="C604" s="27" t="s">
        <v>1842</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29" spans="1:15">
      <c r="A605" s="20" t="s">
        <v>5335</v>
      </c>
      <c r="B605" s="26" t="s">
        <v>1747</v>
      </c>
      <c r="C605" s="27" t="s">
        <v>1748</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29" spans="1:15">
      <c r="A606" s="20" t="s">
        <v>4169</v>
      </c>
      <c r="B606" s="26" t="s">
        <v>1747</v>
      </c>
      <c r="C606" s="27" t="s">
        <v>1748</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29" spans="1:15">
      <c r="A607" s="20" t="s">
        <v>5336</v>
      </c>
      <c r="B607" s="26" t="s">
        <v>1747</v>
      </c>
      <c r="C607" s="27" t="s">
        <v>1748</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29" spans="1:15">
      <c r="A608" s="29" t="s">
        <v>5337</v>
      </c>
      <c r="B608" s="26" t="s">
        <v>1747</v>
      </c>
      <c r="C608" s="27" t="s">
        <v>1748</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29" spans="1:15">
      <c r="A609" s="20" t="s">
        <v>5338</v>
      </c>
      <c r="B609" s="26" t="s">
        <v>1747</v>
      </c>
      <c r="C609" s="27" t="s">
        <v>1748</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29" spans="1:15">
      <c r="A610" s="20" t="s">
        <v>5339</v>
      </c>
      <c r="B610" s="26" t="s">
        <v>1747</v>
      </c>
      <c r="C610" s="27" t="s">
        <v>1748</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29" spans="1:15">
      <c r="A611" s="20" t="s">
        <v>3389</v>
      </c>
      <c r="B611" s="26" t="s">
        <v>1747</v>
      </c>
      <c r="C611" s="27" t="s">
        <v>1748</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29" spans="1:15">
      <c r="A612" s="20" t="s">
        <v>5340</v>
      </c>
      <c r="B612" s="26" t="s">
        <v>1747</v>
      </c>
      <c r="C612" s="27" t="s">
        <v>1748</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29" spans="1:15">
      <c r="A613" s="20" t="s">
        <v>3931</v>
      </c>
      <c r="B613" s="26" t="s">
        <v>1747</v>
      </c>
      <c r="C613" s="27" t="s">
        <v>1748</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29" spans="1:15">
      <c r="A614" s="20" t="s">
        <v>5341</v>
      </c>
      <c r="B614" s="26" t="s">
        <v>1747</v>
      </c>
      <c r="C614" s="27" t="s">
        <v>1748</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29" spans="1:15">
      <c r="A615" s="20" t="s">
        <v>5342</v>
      </c>
      <c r="B615" s="26" t="s">
        <v>1734</v>
      </c>
      <c r="C615" s="27" t="s">
        <v>1735</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29" spans="1:15">
      <c r="A616" s="20" t="s">
        <v>5343</v>
      </c>
      <c r="B616" s="26" t="s">
        <v>1734</v>
      </c>
      <c r="C616" s="27" t="s">
        <v>1735</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29" spans="1:15">
      <c r="A617" s="20" t="s">
        <v>2892</v>
      </c>
      <c r="B617" s="26" t="s">
        <v>1734</v>
      </c>
      <c r="C617" s="27" t="s">
        <v>1735</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26.4</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29" spans="1:15">
      <c r="A618" s="20" t="s">
        <v>2900</v>
      </c>
      <c r="B618" s="26" t="s">
        <v>1734</v>
      </c>
      <c r="C618" s="27" t="s">
        <v>1735</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72</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29" spans="1:15">
      <c r="A619" s="20" t="s">
        <v>4131</v>
      </c>
      <c r="B619" s="26" t="s">
        <v>1734</v>
      </c>
      <c r="C619" s="27" t="s">
        <v>1735</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29" spans="1:15">
      <c r="A620" s="20" t="s">
        <v>5344</v>
      </c>
      <c r="B620" s="26" t="s">
        <v>1734</v>
      </c>
      <c r="C620" s="27" t="s">
        <v>1735</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29" spans="1:15">
      <c r="A621" s="20" t="s">
        <v>5345</v>
      </c>
      <c r="B621" s="26" t="s">
        <v>1734</v>
      </c>
      <c r="C621" s="27" t="s">
        <v>1735</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29" spans="1:15">
      <c r="A622" s="20" t="s">
        <v>2953</v>
      </c>
      <c r="B622" s="26" t="s">
        <v>1734</v>
      </c>
      <c r="C622" s="27" t="s">
        <v>1735</v>
      </c>
      <c r="D622" s="23" cm="1">
        <f t="array" ref="D622">SUM(IF((LEFT('2-1 采购订单物料明细表报表导出'!$K:$K,7)=D$1)*('2-1 采购订单物料明细表报表导出'!$D:$D=$A622),'2-1 采购订单物料明细表报表导出'!$H:$H,0))</f>
        <v>18</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12.4</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15.5</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29" spans="1:15">
      <c r="A623" s="20" t="s">
        <v>3910</v>
      </c>
      <c r="B623" s="26" t="s">
        <v>1734</v>
      </c>
      <c r="C623" s="27" t="s">
        <v>1735</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29" spans="1:15">
      <c r="A624" s="20" t="s">
        <v>3846</v>
      </c>
      <c r="B624" s="26" t="s">
        <v>1734</v>
      </c>
      <c r="C624" s="27" t="s">
        <v>1735</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29" spans="1:15">
      <c r="A625" s="28" t="s">
        <v>5346</v>
      </c>
      <c r="B625" s="26" t="s">
        <v>1734</v>
      </c>
      <c r="C625" s="27" t="s">
        <v>1735</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29" spans="1:15">
      <c r="A626" s="20" t="s">
        <v>5347</v>
      </c>
      <c r="B626" s="26" t="s">
        <v>1734</v>
      </c>
      <c r="C626" s="27" t="s">
        <v>1735</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29" spans="1:15">
      <c r="A627" s="20" t="s">
        <v>5348</v>
      </c>
      <c r="B627" s="26" t="s">
        <v>1734</v>
      </c>
      <c r="C627" s="27" t="s">
        <v>1735</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29" spans="1:15">
      <c r="A628" s="20" t="s">
        <v>3142</v>
      </c>
      <c r="B628" s="26" t="s">
        <v>1734</v>
      </c>
      <c r="C628" s="27" t="s">
        <v>1735</v>
      </c>
      <c r="D628" s="23" cm="1">
        <f t="array" ref="D628">SUM(IF((LEFT('2-1 采购订单物料明细表报表导出'!$K:$K,7)=D$1)*('2-1 采购订单物料明细表报表导出'!$D:$D=$A628),'2-1 采购订单物料明细表报表导出'!$H:$H,0))</f>
        <v>15.8</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29" spans="1:15">
      <c r="A629" s="20" t="s">
        <v>5349</v>
      </c>
      <c r="B629" s="26" t="s">
        <v>1734</v>
      </c>
      <c r="C629" s="27" t="s">
        <v>1735</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29" spans="1:15">
      <c r="A630" s="20" t="s">
        <v>3435</v>
      </c>
      <c r="B630" s="26" t="s">
        <v>1734</v>
      </c>
      <c r="C630" s="27" t="s">
        <v>1735</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29" spans="1:15">
      <c r="A631" s="20" t="s">
        <v>2878</v>
      </c>
      <c r="B631" s="26" t="s">
        <v>1734</v>
      </c>
      <c r="C631" s="27" t="s">
        <v>1735</v>
      </c>
      <c r="D631" s="23" cm="1">
        <f t="array" ref="D631">SUM(IF((LEFT('2-1 采购订单物料明细表报表导出'!$K:$K,7)=D$1)*('2-1 采购订单物料明细表报表导出'!$D:$D=$A631),'2-1 采购订单物料明细表报表导出'!$H:$H,0))</f>
        <v>31.2</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85</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29" spans="1:15">
      <c r="A632" s="20" t="s">
        <v>5350</v>
      </c>
      <c r="B632" s="26" t="s">
        <v>1734</v>
      </c>
      <c r="C632" s="27" t="s">
        <v>1735</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29" spans="1:15">
      <c r="A633" s="20" t="s">
        <v>5351</v>
      </c>
      <c r="B633" s="26" t="s">
        <v>1734</v>
      </c>
      <c r="C633" s="27" t="s">
        <v>1735</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29" spans="1:15">
      <c r="A634" s="20" t="s">
        <v>3228</v>
      </c>
      <c r="B634" s="26" t="s">
        <v>1734</v>
      </c>
      <c r="C634" s="27" t="s">
        <v>1735</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29" spans="1:15">
      <c r="A635" s="20" t="s">
        <v>3000</v>
      </c>
      <c r="B635" s="26" t="s">
        <v>1734</v>
      </c>
      <c r="C635" s="27" t="s">
        <v>1735</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136.8</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29" spans="1:15">
      <c r="A636" s="20" t="s">
        <v>5352</v>
      </c>
      <c r="B636" s="26" t="s">
        <v>1734</v>
      </c>
      <c r="C636" s="27" t="s">
        <v>1735</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29" spans="1:15">
      <c r="A637" s="20" t="s">
        <v>5353</v>
      </c>
      <c r="B637" s="26" t="s">
        <v>1734</v>
      </c>
      <c r="C637" s="27" t="s">
        <v>1735</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29" spans="1:15">
      <c r="A638" s="20" t="s">
        <v>5354</v>
      </c>
      <c r="B638" s="26" t="s">
        <v>1734</v>
      </c>
      <c r="C638" s="27" t="s">
        <v>1735</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29" spans="1:15">
      <c r="A639" s="20" t="s">
        <v>3013</v>
      </c>
      <c r="B639" s="26" t="s">
        <v>1734</v>
      </c>
      <c r="C639" s="27" t="s">
        <v>1735</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55</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29" spans="1:15">
      <c r="A640" s="20" t="s">
        <v>5355</v>
      </c>
      <c r="B640" s="26" t="s">
        <v>1734</v>
      </c>
      <c r="C640" s="27" t="s">
        <v>1735</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29" spans="1:15">
      <c r="A641" s="20" t="s">
        <v>5356</v>
      </c>
      <c r="B641" s="26" t="s">
        <v>1734</v>
      </c>
      <c r="C641" s="27" t="s">
        <v>1735</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29" spans="1:15">
      <c r="A642" s="20" t="s">
        <v>5357</v>
      </c>
      <c r="B642" s="26" t="s">
        <v>1734</v>
      </c>
      <c r="C642" s="27" t="s">
        <v>1735</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29" spans="1:15">
      <c r="A643" s="20" t="s">
        <v>3400</v>
      </c>
      <c r="B643" s="26" t="s">
        <v>1734</v>
      </c>
      <c r="C643" s="27" t="s">
        <v>1735</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29" spans="1:15">
      <c r="A644" s="20" t="s">
        <v>2867</v>
      </c>
      <c r="B644" s="26" t="s">
        <v>1734</v>
      </c>
      <c r="C644" s="27" t="s">
        <v>1735</v>
      </c>
      <c r="D644" s="23" cm="1">
        <f t="array" ref="D644">SUM(IF((LEFT('2-1 采购订单物料明细表报表导出'!$K:$K,7)=D$1)*('2-1 采购订单物料明细表报表导出'!$D:$D=$A644),'2-1 采购订单物料明细表报表导出'!$H:$H,0))</f>
        <v>364</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55.2</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29" spans="1:15">
      <c r="A645" s="28" t="s">
        <v>5358</v>
      </c>
      <c r="B645" s="26" t="s">
        <v>1734</v>
      </c>
      <c r="C645" s="27" t="s">
        <v>1735</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29" spans="1:15">
      <c r="A646" s="20" t="s">
        <v>5359</v>
      </c>
      <c r="B646" s="26" t="s">
        <v>1734</v>
      </c>
      <c r="C646" s="27" t="s">
        <v>1735</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29" spans="1:15">
      <c r="A647" s="20" t="s">
        <v>5360</v>
      </c>
      <c r="B647" s="26" t="s">
        <v>1734</v>
      </c>
      <c r="C647" s="27" t="s">
        <v>1735</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29" spans="1:15">
      <c r="A648" s="20" t="s">
        <v>5361</v>
      </c>
      <c r="B648" s="26" t="s">
        <v>1734</v>
      </c>
      <c r="C648" s="27" t="s">
        <v>1735</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29" spans="1:15">
      <c r="A649" s="20" t="s">
        <v>5362</v>
      </c>
      <c r="B649" s="26" t="s">
        <v>1734</v>
      </c>
      <c r="C649" s="27" t="s">
        <v>1735</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29" spans="1:15">
      <c r="A650" s="20" t="s">
        <v>5363</v>
      </c>
      <c r="B650" s="26" t="s">
        <v>1734</v>
      </c>
      <c r="C650" s="27" t="s">
        <v>1735</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29" spans="1:15">
      <c r="A651" s="28" t="s">
        <v>3826</v>
      </c>
      <c r="B651" s="26" t="s">
        <v>1747</v>
      </c>
      <c r="C651" s="27" t="s">
        <v>1748</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29" spans="1:15">
      <c r="A652" s="28" t="s">
        <v>5364</v>
      </c>
      <c r="B652" s="26" t="s">
        <v>1747</v>
      </c>
      <c r="C652" s="27" t="s">
        <v>1748</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29" spans="1:15">
      <c r="A653" s="20" t="s">
        <v>2948</v>
      </c>
      <c r="B653" s="26" t="s">
        <v>1747</v>
      </c>
      <c r="C653" s="27" t="s">
        <v>1748</v>
      </c>
      <c r="D653" s="23" cm="1">
        <f t="array" ref="D653">SUM(IF((LEFT('2-1 采购订单物料明细表报表导出'!$K:$K,7)=D$1)*('2-1 采购订单物料明细表报表导出'!$D:$D=$A653),'2-1 采购订单物料明细表报表导出'!$H:$H,0))</f>
        <v>79.85</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100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140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29" spans="1:15">
      <c r="A654" s="28" t="s">
        <v>5365</v>
      </c>
      <c r="B654" s="26" t="s">
        <v>1747</v>
      </c>
      <c r="C654" s="27" t="s">
        <v>1748</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29" spans="1:15">
      <c r="A655" s="28" t="s">
        <v>3822</v>
      </c>
      <c r="B655" s="26" t="s">
        <v>1747</v>
      </c>
      <c r="C655" s="27" t="s">
        <v>1748</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29" spans="1:15">
      <c r="A656" s="28" t="s">
        <v>5366</v>
      </c>
      <c r="B656" s="26" t="s">
        <v>1747</v>
      </c>
      <c r="C656" s="27" t="s">
        <v>1748</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29" spans="1:15">
      <c r="A657" s="28" t="s">
        <v>5367</v>
      </c>
      <c r="B657" s="26" t="s">
        <v>1747</v>
      </c>
      <c r="C657" s="27" t="s">
        <v>1748</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29" spans="1:15">
      <c r="A658" s="28" t="s">
        <v>5368</v>
      </c>
      <c r="B658" s="26" t="s">
        <v>1747</v>
      </c>
      <c r="C658" s="27" t="s">
        <v>1748</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29" spans="1:15">
      <c r="A659" s="28" t="s">
        <v>5369</v>
      </c>
      <c r="B659" s="26" t="s">
        <v>1747</v>
      </c>
      <c r="C659" s="27" t="s">
        <v>1748</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29" spans="1:15">
      <c r="A660" s="20" t="s">
        <v>2958</v>
      </c>
      <c r="B660" s="26" t="s">
        <v>1747</v>
      </c>
      <c r="C660" s="27" t="s">
        <v>1748</v>
      </c>
      <c r="D660" s="23" cm="1">
        <f t="array" ref="D660">SUM(IF((LEFT('2-1 采购订单物料明细表报表导出'!$K:$K,7)=D$1)*('2-1 采购订单物料明细表报表导出'!$D:$D=$A660),'2-1 采购订单物料明细表报表导出'!$H:$H,0))</f>
        <v>106</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106</v>
      </c>
      <c r="G660" s="23" cm="1">
        <f t="array" ref="G660">SUM(IF((LEFT('2-1 采购订单物料明细表报表导出'!$K:$K,7)=G$1)*('2-1 采购订单物料明细表报表导出'!$D:$D=$A660),'2-1 采购订单物料明细表报表导出'!$H:$H,0))</f>
        <v>265</v>
      </c>
      <c r="H660" s="23" cm="1">
        <f t="array" ref="H660">SUM(IF((LEFT('2-1 采购订单物料明细表报表导出'!$K:$K,7)=H$1)*('2-1 采购订单物料明细表报表导出'!$D:$D=$A660),'2-1 采购订单物料明细表报表导出'!$H:$H,0))</f>
        <v>354</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29" spans="1:15">
      <c r="A661" s="28" t="s">
        <v>5370</v>
      </c>
      <c r="B661" s="26" t="s">
        <v>1747</v>
      </c>
      <c r="C661" s="27" t="s">
        <v>1748</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29" spans="1:15">
      <c r="A662" s="28" t="s">
        <v>5371</v>
      </c>
      <c r="B662" s="26" t="s">
        <v>1747</v>
      </c>
      <c r="C662" s="27" t="s">
        <v>1748</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29" spans="1:15">
      <c r="A663" s="28" t="s">
        <v>4185</v>
      </c>
      <c r="B663" s="26" t="s">
        <v>1747</v>
      </c>
      <c r="C663" s="27" t="s">
        <v>1748</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29" spans="1:15">
      <c r="A664" s="20" t="s">
        <v>3008</v>
      </c>
      <c r="B664" s="26" t="s">
        <v>1747</v>
      </c>
      <c r="C664" s="27" t="s">
        <v>1748</v>
      </c>
      <c r="D664" s="23" cm="1">
        <f t="array" ref="D664">SUM(IF((LEFT('2-1 采购订单物料明细表报表导出'!$K:$K,7)=D$1)*('2-1 采购订单物料明细表报表导出'!$D:$D=$A664),'2-1 采购订单物料明细表报表导出'!$H:$H,0))</f>
        <v>29.8</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26</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29" spans="1:15">
      <c r="A665" s="20" t="s">
        <v>2883</v>
      </c>
      <c r="B665" s="26" t="s">
        <v>1747</v>
      </c>
      <c r="C665" s="27" t="s">
        <v>1748</v>
      </c>
      <c r="D665" s="23" cm="1">
        <f t="array" ref="D665">SUM(IF((LEFT('2-1 采购订单物料明细表报表导出'!$K:$K,7)=D$1)*('2-1 采购订单物料明细表报表导出'!$D:$D=$A665),'2-1 采购订单物料明细表报表导出'!$H:$H,0))</f>
        <v>452.92</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52.92</v>
      </c>
      <c r="G665" s="23" cm="1">
        <f t="array" ref="G665">SUM(IF((LEFT('2-1 采购订单物料明细表报表导出'!$K:$K,7)=G$1)*('2-1 采购订单物料明细表报表导出'!$D:$D=$A665),'2-1 采购订单物料明细表报表导出'!$H:$H,0))</f>
        <v>378.01</v>
      </c>
      <c r="H665" s="23" cm="1">
        <f t="array" ref="H665">SUM(IF((LEFT('2-1 采购订单物料明细表报表导出'!$K:$K,7)=H$1)*('2-1 采购订单物料明细表报表导出'!$D:$D=$A665),'2-1 采购订单物料明细表报表导出'!$H:$H,0))</f>
        <v>175.5</v>
      </c>
      <c r="I665" s="23" cm="1">
        <f t="array" ref="I665">SUM(IF((LEFT('2-1 采购订单物料明细表报表导出'!$K:$K,7)=I$1)*('2-1 采购订单物料明细表报表导出'!$D:$D=$A665),'2-1 采购订单物料明细表报表导出'!$H:$H,0))</f>
        <v>250.59</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29" spans="1:15">
      <c r="A666" s="28" t="s">
        <v>5372</v>
      </c>
      <c r="B666" s="26" t="s">
        <v>1747</v>
      </c>
      <c r="C666" s="27" t="s">
        <v>1748</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29" spans="1:15">
      <c r="A667" s="28" t="s">
        <v>5373</v>
      </c>
      <c r="B667" s="26" t="s">
        <v>1747</v>
      </c>
      <c r="C667" s="27" t="s">
        <v>1748</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29" spans="1:15">
      <c r="A668" s="20" t="s">
        <v>2939</v>
      </c>
      <c r="B668" s="26" t="s">
        <v>1747</v>
      </c>
      <c r="C668" s="27" t="s">
        <v>1748</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153</v>
      </c>
      <c r="H668" s="23" cm="1">
        <f t="array" ref="H668">SUM(IF((LEFT('2-1 采购订单物料明细表报表导出'!$K:$K,7)=H$1)*('2-1 采购订单物料明细表报表导出'!$D:$D=$A668),'2-1 采购订单物料明细表报表导出'!$H:$H,0))</f>
        <v>153</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29" spans="1:15">
      <c r="A669" s="20" t="s">
        <v>5374</v>
      </c>
      <c r="B669" s="26" t="s">
        <v>1747</v>
      </c>
      <c r="C669" s="27" t="s">
        <v>1748</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29" spans="1:15">
      <c r="A670" s="28" t="s">
        <v>5375</v>
      </c>
      <c r="B670" s="26" t="s">
        <v>1747</v>
      </c>
      <c r="C670" s="27" t="s">
        <v>1748</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29" spans="1:15">
      <c r="A671" s="28" t="s">
        <v>5376</v>
      </c>
      <c r="B671" s="26" t="s">
        <v>1747</v>
      </c>
      <c r="C671" s="27" t="s">
        <v>1748</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29" spans="1:15">
      <c r="A672" s="28" t="s">
        <v>5377</v>
      </c>
      <c r="B672" s="26" t="s">
        <v>1747</v>
      </c>
      <c r="C672" s="27" t="s">
        <v>1748</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29" spans="1:15">
      <c r="A673" s="28" t="s">
        <v>5378</v>
      </c>
      <c r="B673" s="26" t="s">
        <v>1747</v>
      </c>
      <c r="C673" s="27" t="s">
        <v>1748</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29" spans="1:15">
      <c r="A674" s="28" t="s">
        <v>4154</v>
      </c>
      <c r="B674" s="26" t="s">
        <v>1747</v>
      </c>
      <c r="C674" s="27" t="s">
        <v>1748</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28" t="s">
        <v>3981</v>
      </c>
      <c r="B675" s="26" t="s">
        <v>1747</v>
      </c>
      <c r="C675" s="27" t="s">
        <v>1748</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29" spans="1:15">
      <c r="A676" s="28" t="s">
        <v>5379</v>
      </c>
      <c r="B676" s="26" t="s">
        <v>1747</v>
      </c>
      <c r="C676" s="27" t="s">
        <v>1748</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29" spans="1:15">
      <c r="A677" s="28" t="s">
        <v>5380</v>
      </c>
      <c r="B677" s="26" t="s">
        <v>1747</v>
      </c>
      <c r="C677" s="27" t="s">
        <v>1748</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29" spans="1:15">
      <c r="A678" s="28" t="s">
        <v>4160</v>
      </c>
      <c r="B678" s="26" t="s">
        <v>1747</v>
      </c>
      <c r="C678" s="27" t="s">
        <v>1748</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29" spans="1:15">
      <c r="A679" s="28" t="s">
        <v>5381</v>
      </c>
      <c r="B679" s="26" t="s">
        <v>1747</v>
      </c>
      <c r="C679" s="27" t="s">
        <v>1748</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28" t="s">
        <v>5382</v>
      </c>
      <c r="B680" s="26" t="s">
        <v>1747</v>
      </c>
      <c r="C680" s="27" t="s">
        <v>1748</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29" spans="1:15">
      <c r="A681" s="28" t="s">
        <v>4000</v>
      </c>
      <c r="B681" s="26" t="s">
        <v>1747</v>
      </c>
      <c r="C681" s="27" t="s">
        <v>1748</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29" spans="1:15">
      <c r="A682" s="28" t="s">
        <v>5383</v>
      </c>
      <c r="B682" s="26" t="s">
        <v>1747</v>
      </c>
      <c r="C682" s="27" t="s">
        <v>1748</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29" spans="1:15">
      <c r="A683" s="28" t="s">
        <v>3833</v>
      </c>
      <c r="B683" s="26" t="s">
        <v>1747</v>
      </c>
      <c r="C683" s="27" t="s">
        <v>1748</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29" spans="1:15">
      <c r="A684" s="28" t="s">
        <v>5384</v>
      </c>
      <c r="B684" s="26" t="s">
        <v>1747</v>
      </c>
      <c r="C684" s="27" t="s">
        <v>1748</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29" spans="1:15">
      <c r="A685" s="28" t="s">
        <v>5385</v>
      </c>
      <c r="B685" s="26" t="s">
        <v>1747</v>
      </c>
      <c r="C685" s="27" t="s">
        <v>1748</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29" spans="1:15">
      <c r="A686" s="28" t="s">
        <v>5386</v>
      </c>
      <c r="B686" s="26" t="s">
        <v>1747</v>
      </c>
      <c r="C686" s="27" t="s">
        <v>1748</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29" spans="1:15">
      <c r="A687" s="28" t="s">
        <v>5387</v>
      </c>
      <c r="B687" s="26" t="s">
        <v>1747</v>
      </c>
      <c r="C687" s="27" t="s">
        <v>1748</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29" spans="1:15">
      <c r="A688" s="28" t="s">
        <v>5388</v>
      </c>
      <c r="B688" s="26" t="s">
        <v>1747</v>
      </c>
      <c r="C688" s="27" t="s">
        <v>1748</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29" spans="1:15">
      <c r="A689" s="28" t="s">
        <v>5389</v>
      </c>
      <c r="B689" s="26" t="s">
        <v>1747</v>
      </c>
      <c r="C689" s="27" t="s">
        <v>1748</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28" t="s">
        <v>5390</v>
      </c>
      <c r="B690" s="26" t="s">
        <v>1747</v>
      </c>
      <c r="C690" s="27" t="s">
        <v>1748</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29" spans="1:15">
      <c r="A691" s="28" t="s">
        <v>5391</v>
      </c>
      <c r="B691" s="26" t="s">
        <v>1747</v>
      </c>
      <c r="C691" s="27" t="s">
        <v>1748</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29" spans="1:15">
      <c r="A692" s="28" t="s">
        <v>5392</v>
      </c>
      <c r="B692" s="26" t="s">
        <v>1747</v>
      </c>
      <c r="C692" s="27" t="s">
        <v>1748</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29" spans="1:15">
      <c r="A693" s="28" t="s">
        <v>5393</v>
      </c>
      <c r="B693" s="26" t="s">
        <v>1747</v>
      </c>
      <c r="C693" s="27" t="s">
        <v>1748</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29" spans="1:15">
      <c r="A694" s="28" t="s">
        <v>5394</v>
      </c>
      <c r="B694" s="26" t="s">
        <v>1747</v>
      </c>
      <c r="C694" s="27" t="s">
        <v>1748</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29" spans="1:15">
      <c r="A695" s="28" t="s">
        <v>5395</v>
      </c>
      <c r="B695" s="26" t="s">
        <v>1747</v>
      </c>
      <c r="C695" s="27" t="s">
        <v>1748</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29" spans="1:15">
      <c r="A696" s="28" t="s">
        <v>3974</v>
      </c>
      <c r="B696" s="26" t="s">
        <v>1747</v>
      </c>
      <c r="C696" s="27" t="s">
        <v>1748</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29" spans="1:15">
      <c r="A697" s="28" t="s">
        <v>5396</v>
      </c>
      <c r="B697" s="26" t="s">
        <v>1747</v>
      </c>
      <c r="C697" s="27" t="s">
        <v>1748</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29" spans="1:15">
      <c r="A698" s="28" t="s">
        <v>4012</v>
      </c>
      <c r="B698" s="26" t="s">
        <v>1747</v>
      </c>
      <c r="C698" s="27" t="s">
        <v>1748</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29" spans="1:15">
      <c r="A699" s="20" t="s">
        <v>5397</v>
      </c>
      <c r="B699" s="31" t="s">
        <v>1714</v>
      </c>
      <c r="C699" s="32" t="s">
        <v>1715</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29" spans="1:15">
      <c r="A700" s="20" t="s">
        <v>5398</v>
      </c>
      <c r="B700" s="31" t="s">
        <v>1714</v>
      </c>
      <c r="C700" s="32" t="s">
        <v>1715</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29" spans="1:15">
      <c r="A701" s="20" t="s">
        <v>5399</v>
      </c>
      <c r="B701" s="31" t="s">
        <v>1714</v>
      </c>
      <c r="C701" s="32" t="s">
        <v>1715</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29" spans="1:15">
      <c r="A702" s="20" t="s">
        <v>5400</v>
      </c>
      <c r="B702" s="31" t="s">
        <v>1714</v>
      </c>
      <c r="C702" s="32" t="s">
        <v>1715</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29" spans="1:15">
      <c r="A703" s="20" t="s">
        <v>5401</v>
      </c>
      <c r="B703" s="31" t="s">
        <v>1714</v>
      </c>
      <c r="C703" s="32" t="s">
        <v>1715</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29" spans="1:15">
      <c r="A704" s="28" t="s">
        <v>5402</v>
      </c>
      <c r="B704" s="31" t="s">
        <v>1714</v>
      </c>
      <c r="C704" s="32" t="s">
        <v>1715</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29" spans="1:15">
      <c r="A705" s="20" t="s">
        <v>4203</v>
      </c>
      <c r="B705" s="31" t="s">
        <v>1714</v>
      </c>
      <c r="C705" s="32" t="s">
        <v>1715</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29" spans="1:15">
      <c r="A706" s="20" t="s">
        <v>5403</v>
      </c>
      <c r="B706" s="31" t="s">
        <v>1714</v>
      </c>
      <c r="C706" s="32" t="s">
        <v>1715</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29" spans="1:15">
      <c r="A707" s="20" t="s">
        <v>3428</v>
      </c>
      <c r="B707" s="31" t="s">
        <v>1714</v>
      </c>
      <c r="C707" s="32" t="s">
        <v>1715</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29" spans="1:15">
      <c r="A708" s="20" t="s">
        <v>5404</v>
      </c>
      <c r="B708" s="31" t="s">
        <v>1714</v>
      </c>
      <c r="C708" s="32" t="s">
        <v>1715</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29" spans="1:15">
      <c r="A709" s="20" t="s">
        <v>3194</v>
      </c>
      <c r="B709" s="31" t="s">
        <v>1714</v>
      </c>
      <c r="C709" s="32" t="s">
        <v>1715</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29" spans="1:15">
      <c r="A710" s="20" t="s">
        <v>5405</v>
      </c>
      <c r="B710" s="31" t="s">
        <v>1714</v>
      </c>
      <c r="C710" s="32" t="s">
        <v>1715</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28" t="s">
        <v>5406</v>
      </c>
      <c r="B711" s="31" t="s">
        <v>1714</v>
      </c>
      <c r="C711" s="32" t="s">
        <v>1715</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28" t="s">
        <v>3841</v>
      </c>
      <c r="B712" s="31" t="s">
        <v>1714</v>
      </c>
      <c r="C712" s="32" t="s">
        <v>1715</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28" t="s">
        <v>5407</v>
      </c>
      <c r="B713" s="31" t="s">
        <v>1714</v>
      </c>
      <c r="C713" s="32" t="s">
        <v>1715</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29" spans="1:15">
      <c r="A714" s="20" t="s">
        <v>5408</v>
      </c>
      <c r="B714" s="31" t="s">
        <v>1747</v>
      </c>
      <c r="C714" s="32" t="s">
        <v>1748</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29" spans="1:15">
      <c r="A715" s="20" t="s">
        <v>5409</v>
      </c>
      <c r="B715" s="31" t="s">
        <v>1747</v>
      </c>
      <c r="C715" s="32" t="s">
        <v>1748</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29" spans="1:15">
      <c r="A716" s="20" t="s">
        <v>5410</v>
      </c>
      <c r="B716" s="31" t="s">
        <v>1747</v>
      </c>
      <c r="C716" s="32" t="s">
        <v>1748</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29" spans="1:15">
      <c r="A717" s="28" t="s">
        <v>5411</v>
      </c>
      <c r="B717" s="31" t="s">
        <v>1747</v>
      </c>
      <c r="C717" s="32" t="s">
        <v>1748</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29" spans="1:15">
      <c r="A718" s="20" t="s">
        <v>5412</v>
      </c>
      <c r="B718" s="31" t="s">
        <v>1747</v>
      </c>
      <c r="C718" s="32" t="s">
        <v>1748</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29" spans="1:15">
      <c r="A719" s="20" t="s">
        <v>5413</v>
      </c>
      <c r="B719" s="31" t="s">
        <v>1747</v>
      </c>
      <c r="C719" s="32" t="s">
        <v>1748</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29" spans="1:15">
      <c r="A720" s="20" t="s">
        <v>5414</v>
      </c>
      <c r="B720" s="31" t="s">
        <v>1747</v>
      </c>
      <c r="C720" s="32" t="s">
        <v>1748</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29" spans="1:15">
      <c r="A721" s="20" t="s">
        <v>5415</v>
      </c>
      <c r="B721" s="31" t="s">
        <v>1747</v>
      </c>
      <c r="C721" s="32" t="s">
        <v>1748</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29" spans="1:15">
      <c r="A722" s="20" t="s">
        <v>5416</v>
      </c>
      <c r="B722" s="31" t="s">
        <v>1747</v>
      </c>
      <c r="C722" s="32" t="s">
        <v>1748</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29" spans="1:15">
      <c r="A723" s="20" t="s">
        <v>5417</v>
      </c>
      <c r="B723" s="31" t="s">
        <v>1747</v>
      </c>
      <c r="C723" s="32" t="s">
        <v>1748</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28" t="s">
        <v>5418</v>
      </c>
      <c r="B724" s="31" t="s">
        <v>1747</v>
      </c>
      <c r="C724" s="32" t="s">
        <v>1748</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28" t="s">
        <v>4142</v>
      </c>
      <c r="B725" s="31" t="s">
        <v>1747</v>
      </c>
      <c r="C725" s="32" t="s">
        <v>1748</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29" spans="1:15">
      <c r="A726" s="28" t="s">
        <v>3785</v>
      </c>
      <c r="B726" s="31" t="s">
        <v>1747</v>
      </c>
      <c r="C726" s="32" t="s">
        <v>1748</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29" spans="1:15">
      <c r="A727" s="28" t="s">
        <v>5419</v>
      </c>
      <c r="B727" s="31" t="s">
        <v>1747</v>
      </c>
      <c r="C727" s="32" t="s">
        <v>1748</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29" spans="1:15">
      <c r="A728" s="28" t="s">
        <v>5420</v>
      </c>
      <c r="B728" s="31" t="s">
        <v>1747</v>
      </c>
      <c r="C728" s="32" t="s">
        <v>1748</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28" t="s">
        <v>5421</v>
      </c>
      <c r="B729" s="31" t="s">
        <v>1747</v>
      </c>
      <c r="C729" s="32" t="s">
        <v>1748</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28" t="s">
        <v>5422</v>
      </c>
      <c r="B730" s="31" t="s">
        <v>1747</v>
      </c>
      <c r="C730" s="32" t="s">
        <v>1748</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28" t="s">
        <v>5423</v>
      </c>
      <c r="B731" s="31" t="s">
        <v>1747</v>
      </c>
      <c r="C731" s="32" t="s">
        <v>1748</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28" t="s">
        <v>5424</v>
      </c>
      <c r="B732" s="31" t="s">
        <v>1747</v>
      </c>
      <c r="C732" s="32" t="s">
        <v>1748</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28" t="s">
        <v>5425</v>
      </c>
      <c r="B733" s="31" t="s">
        <v>1747</v>
      </c>
      <c r="C733" s="32" t="s">
        <v>1748</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29" spans="1:15">
      <c r="A734" s="28" t="s">
        <v>5426</v>
      </c>
      <c r="B734" s="31" t="s">
        <v>1747</v>
      </c>
      <c r="C734" s="32" t="s">
        <v>1748</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29" spans="1:15">
      <c r="A735" s="28" t="s">
        <v>5427</v>
      </c>
      <c r="B735" s="31" t="s">
        <v>1747</v>
      </c>
      <c r="C735" s="32" t="s">
        <v>1748</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28" t="s">
        <v>5428</v>
      </c>
      <c r="B736" s="31" t="s">
        <v>1747</v>
      </c>
      <c r="C736" s="32" t="s">
        <v>1748</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28" t="s">
        <v>5429</v>
      </c>
      <c r="B737" s="31" t="s">
        <v>1747</v>
      </c>
      <c r="C737" s="32" t="s">
        <v>1748</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28" t="s">
        <v>5430</v>
      </c>
      <c r="B738" s="31" t="s">
        <v>1747</v>
      </c>
      <c r="C738" s="32" t="s">
        <v>1748</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28" t="s">
        <v>5431</v>
      </c>
      <c r="B739" s="31" t="s">
        <v>1747</v>
      </c>
      <c r="C739" s="32" t="s">
        <v>1748</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28" t="s">
        <v>5432</v>
      </c>
      <c r="B740" s="31" t="s">
        <v>1747</v>
      </c>
      <c r="C740" s="32" t="s">
        <v>1748</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28" t="s">
        <v>5433</v>
      </c>
      <c r="B741" s="31" t="s">
        <v>1747</v>
      </c>
      <c r="C741" s="32" t="s">
        <v>1748</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28" t="s">
        <v>5434</v>
      </c>
      <c r="B742" s="31" t="s">
        <v>1747</v>
      </c>
      <c r="C742" s="32" t="s">
        <v>1748</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28" t="s">
        <v>5435</v>
      </c>
      <c r="B743" s="31" t="s">
        <v>1747</v>
      </c>
      <c r="C743" s="32" t="s">
        <v>1748</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29" spans="1:15">
      <c r="A744" s="28" t="s">
        <v>5436</v>
      </c>
      <c r="B744" s="31" t="s">
        <v>1747</v>
      </c>
      <c r="C744" s="32" t="s">
        <v>1748</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28" t="s">
        <v>3233</v>
      </c>
      <c r="B745" s="31" t="s">
        <v>1747</v>
      </c>
      <c r="C745" s="32" t="s">
        <v>1748</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28" t="s">
        <v>5437</v>
      </c>
      <c r="B746" s="31" t="s">
        <v>1747</v>
      </c>
      <c r="C746" s="32" t="s">
        <v>1748</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28" t="s">
        <v>5438</v>
      </c>
      <c r="B747" s="31" t="s">
        <v>1747</v>
      </c>
      <c r="C747" s="32" t="s">
        <v>1748</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28" t="s">
        <v>3813</v>
      </c>
      <c r="B748" s="31" t="s">
        <v>1747</v>
      </c>
      <c r="C748" s="32" t="s">
        <v>1748</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28" t="s">
        <v>3164</v>
      </c>
      <c r="B749" s="31" t="s">
        <v>1747</v>
      </c>
      <c r="C749" s="32" t="s">
        <v>1748</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29" spans="1:15">
      <c r="A750" s="20" t="s">
        <v>5439</v>
      </c>
      <c r="B750" s="26" t="s">
        <v>1909</v>
      </c>
      <c r="C750" s="27" t="s">
        <v>1910</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29" spans="1:15">
      <c r="A751" s="20" t="s">
        <v>5440</v>
      </c>
      <c r="B751" s="26" t="s">
        <v>1909</v>
      </c>
      <c r="C751" s="27" t="s">
        <v>1910</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29" spans="1:15">
      <c r="A752" s="20" t="s">
        <v>5441</v>
      </c>
      <c r="B752" s="26" t="s">
        <v>1909</v>
      </c>
      <c r="C752" s="27" t="s">
        <v>1910</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29" spans="1:15">
      <c r="A753" s="20" t="s">
        <v>5442</v>
      </c>
      <c r="B753" s="26" t="s">
        <v>1909</v>
      </c>
      <c r="C753" s="27" t="s">
        <v>1910</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29" spans="1:15">
      <c r="A754" s="20" t="s">
        <v>5443</v>
      </c>
      <c r="B754" s="26" t="s">
        <v>1909</v>
      </c>
      <c r="C754" s="27" t="s">
        <v>1910</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29" spans="1:15">
      <c r="A755" s="20" t="s">
        <v>5444</v>
      </c>
      <c r="B755" s="26" t="s">
        <v>1909</v>
      </c>
      <c r="C755" s="27" t="s">
        <v>1910</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29" spans="1:15">
      <c r="A756" s="20" t="s">
        <v>5445</v>
      </c>
      <c r="B756" s="26" t="s">
        <v>1909</v>
      </c>
      <c r="C756" s="27" t="s">
        <v>1910</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29" spans="1:15">
      <c r="A757" s="20" t="s">
        <v>4105</v>
      </c>
      <c r="B757" s="26" t="s">
        <v>1909</v>
      </c>
      <c r="C757" s="27" t="s">
        <v>1910</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29" spans="1:15">
      <c r="A758" s="20" t="s">
        <v>5446</v>
      </c>
      <c r="B758" s="26" t="s">
        <v>1909</v>
      </c>
      <c r="C758" s="27" t="s">
        <v>1910</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29" spans="1:15">
      <c r="A759" s="20" t="s">
        <v>5447</v>
      </c>
      <c r="B759" s="26" t="s">
        <v>1909</v>
      </c>
      <c r="C759" s="27" t="s">
        <v>1910</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29" spans="1:15">
      <c r="A760" s="20" t="s">
        <v>5448</v>
      </c>
      <c r="B760" s="26" t="s">
        <v>1909</v>
      </c>
      <c r="C760" s="27" t="s">
        <v>1910</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29" spans="1:15">
      <c r="A761" s="20" t="s">
        <v>5449</v>
      </c>
      <c r="B761" s="31" t="s">
        <v>1909</v>
      </c>
      <c r="C761" s="32" t="s">
        <v>1910</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29" spans="1:15">
      <c r="A762" s="20" t="s">
        <v>5450</v>
      </c>
      <c r="B762" s="31" t="s">
        <v>1909</v>
      </c>
      <c r="C762" s="32" t="s">
        <v>1910</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29" spans="1:15">
      <c r="A763" s="20" t="s">
        <v>5451</v>
      </c>
      <c r="B763" s="31" t="s">
        <v>1909</v>
      </c>
      <c r="C763" s="32" t="s">
        <v>1910</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29" spans="1:15">
      <c r="A764" s="33" t="s">
        <v>5452</v>
      </c>
      <c r="B764" s="31" t="s">
        <v>1909</v>
      </c>
      <c r="C764" s="32" t="s">
        <v>1910</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29" spans="1:15">
      <c r="A765" s="33" t="s">
        <v>5453</v>
      </c>
      <c r="B765" s="31" t="s">
        <v>1935</v>
      </c>
      <c r="C765" s="32" t="s">
        <v>1936</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29" spans="1:15">
      <c r="A766" s="33" t="s">
        <v>5454</v>
      </c>
      <c r="B766" s="31" t="s">
        <v>1935</v>
      </c>
      <c r="C766" s="32" t="s">
        <v>1936</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29" spans="1:15">
      <c r="A767" s="33" t="s">
        <v>5455</v>
      </c>
      <c r="B767" s="31" t="s">
        <v>1935</v>
      </c>
      <c r="C767" s="32" t="s">
        <v>1936</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29" spans="1:15">
      <c r="A768" s="33" t="s">
        <v>5456</v>
      </c>
      <c r="B768" s="31" t="s">
        <v>1935</v>
      </c>
      <c r="C768" s="32" t="s">
        <v>1936</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29" spans="1:15">
      <c r="A769" s="33" t="s">
        <v>5457</v>
      </c>
      <c r="B769" s="31" t="s">
        <v>1935</v>
      </c>
      <c r="C769" s="32" t="s">
        <v>1936</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29" spans="1:15">
      <c r="A770" s="33" t="s">
        <v>5458</v>
      </c>
      <c r="B770" s="31" t="s">
        <v>1935</v>
      </c>
      <c r="C770" s="32" t="s">
        <v>1936</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29" spans="1:15">
      <c r="A771" s="33" t="s">
        <v>5459</v>
      </c>
      <c r="B771" s="31" t="s">
        <v>1935</v>
      </c>
      <c r="C771" s="32" t="s">
        <v>1936</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29" spans="1:15">
      <c r="A772" s="33" t="s">
        <v>3033</v>
      </c>
      <c r="B772" s="31" t="s">
        <v>1935</v>
      </c>
      <c r="C772" s="32" t="s">
        <v>1936</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34.25</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29" spans="1:15">
      <c r="A773" s="34" t="s">
        <v>3088</v>
      </c>
      <c r="B773" s="31" t="s">
        <v>1935</v>
      </c>
      <c r="C773" s="32" t="s">
        <v>1936</v>
      </c>
      <c r="D773" s="23" cm="1">
        <f t="array" ref="D773">SUM(IF((LEFT('2-1 采购订单物料明细表报表导出'!$K:$K,7)=D$1)*('2-1 采购订单物料明细表报表导出'!$D:$D=$A773),'2-1 采购订单物料明细表报表导出'!$H:$H,0))</f>
        <v>270.86</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29" spans="1:15">
      <c r="A774" s="33" t="s">
        <v>5460</v>
      </c>
      <c r="B774" s="31" t="s">
        <v>1935</v>
      </c>
      <c r="C774" s="32" t="s">
        <v>1936</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29" spans="1:15">
      <c r="A775" s="33" t="s">
        <v>5461</v>
      </c>
      <c r="B775" s="31" t="s">
        <v>1935</v>
      </c>
      <c r="C775" s="32" t="s">
        <v>1936</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29" spans="1:15">
      <c r="A776" s="33" t="s">
        <v>5462</v>
      </c>
      <c r="B776" s="31" t="s">
        <v>1935</v>
      </c>
      <c r="C776" s="32" t="s">
        <v>1936</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29" spans="1:15">
      <c r="A777" s="33" t="s">
        <v>5463</v>
      </c>
      <c r="B777" s="31" t="s">
        <v>1935</v>
      </c>
      <c r="C777" s="32" t="s">
        <v>1936</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29" spans="1:15">
      <c r="A778" s="33" t="s">
        <v>5464</v>
      </c>
      <c r="B778" s="31" t="s">
        <v>1935</v>
      </c>
      <c r="C778" s="32" t="s">
        <v>1936</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34" t="s">
        <v>5465</v>
      </c>
      <c r="B779" s="31" t="s">
        <v>1935</v>
      </c>
      <c r="C779" s="32" t="s">
        <v>1936</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34" t="s">
        <v>5466</v>
      </c>
      <c r="B780" s="31" t="s">
        <v>1935</v>
      </c>
      <c r="C780" s="32" t="s">
        <v>1936</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34" t="s">
        <v>5467</v>
      </c>
      <c r="B781" s="31" t="s">
        <v>1935</v>
      </c>
      <c r="C781" s="32" t="s">
        <v>1936</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34" t="s">
        <v>2852</v>
      </c>
      <c r="B782" s="31" t="s">
        <v>1935</v>
      </c>
      <c r="C782" s="32" t="s">
        <v>1936</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30">
        <f>'2-1 采购订单物料明细表报表导出'!H13</f>
        <v>13.05</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34" t="s">
        <v>4098</v>
      </c>
      <c r="B783" s="31" t="s">
        <v>1935</v>
      </c>
      <c r="C783" s="32" t="s">
        <v>1936</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34" t="s">
        <v>5468</v>
      </c>
      <c r="B784" s="31" t="s">
        <v>1935</v>
      </c>
      <c r="C784" s="32" t="s">
        <v>1936</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34" t="s">
        <v>5469</v>
      </c>
      <c r="B785" s="31" t="s">
        <v>1935</v>
      </c>
      <c r="C785" s="32" t="s">
        <v>1936</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34" t="s">
        <v>5470</v>
      </c>
      <c r="B786" s="31" t="s">
        <v>1935</v>
      </c>
      <c r="C786" s="32" t="s">
        <v>1936</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34" t="s">
        <v>5471</v>
      </c>
      <c r="B787" s="31" t="s">
        <v>1935</v>
      </c>
      <c r="C787" s="32" t="s">
        <v>1936</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29" spans="1:15">
      <c r="A788" s="33" t="s">
        <v>5472</v>
      </c>
      <c r="B788" s="31" t="s">
        <v>1961</v>
      </c>
      <c r="C788" s="32" t="s">
        <v>1962</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29" spans="1:15">
      <c r="A789" s="33" t="s">
        <v>5473</v>
      </c>
      <c r="B789" s="31" t="s">
        <v>1961</v>
      </c>
      <c r="C789" s="32" t="s">
        <v>1962</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29" spans="1:15">
      <c r="A790" s="33" t="s">
        <v>5474</v>
      </c>
      <c r="B790" s="31" t="s">
        <v>1961</v>
      </c>
      <c r="C790" s="32" t="s">
        <v>1962</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29" spans="1:15">
      <c r="A791" s="33" t="s">
        <v>5475</v>
      </c>
      <c r="B791" s="31" t="s">
        <v>1961</v>
      </c>
      <c r="C791" s="32" t="s">
        <v>1962</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29" spans="1:15">
      <c r="A792" s="33" t="s">
        <v>5476</v>
      </c>
      <c r="B792" s="31" t="s">
        <v>1961</v>
      </c>
      <c r="C792" s="32" t="s">
        <v>1962</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29" spans="1:15">
      <c r="A793" s="33" t="s">
        <v>5477</v>
      </c>
      <c r="B793" s="31" t="s">
        <v>1961</v>
      </c>
      <c r="C793" s="32" t="s">
        <v>1962</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29" spans="1:15">
      <c r="A794" s="33" t="s">
        <v>5478</v>
      </c>
      <c r="B794" s="31" t="s">
        <v>1961</v>
      </c>
      <c r="C794" s="32" t="s">
        <v>1962</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29" spans="1:15">
      <c r="A795" s="33" t="s">
        <v>5479</v>
      </c>
      <c r="B795" s="31" t="s">
        <v>1961</v>
      </c>
      <c r="C795" s="32" t="s">
        <v>1962</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29" spans="1:15">
      <c r="A796" s="33" t="s">
        <v>5480</v>
      </c>
      <c r="B796" s="31" t="s">
        <v>1961</v>
      </c>
      <c r="C796" s="32" t="s">
        <v>1962</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29" spans="1:15">
      <c r="A797" s="33" t="s">
        <v>5481</v>
      </c>
      <c r="B797" s="31" t="s">
        <v>1961</v>
      </c>
      <c r="C797" s="32" t="s">
        <v>1962</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29" spans="1:15">
      <c r="A798" s="33" t="s">
        <v>5482</v>
      </c>
      <c r="B798" s="31" t="s">
        <v>1961</v>
      </c>
      <c r="C798" s="32" t="s">
        <v>1962</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29" spans="1:15">
      <c r="A799" s="33" t="s">
        <v>5483</v>
      </c>
      <c r="B799" s="31" t="s">
        <v>1961</v>
      </c>
      <c r="C799" s="32" t="s">
        <v>1962</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29" spans="1:15">
      <c r="A800" s="33" t="s">
        <v>5484</v>
      </c>
      <c r="B800" s="31" t="s">
        <v>1961</v>
      </c>
      <c r="C800" s="32" t="s">
        <v>1962</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29" spans="1:15">
      <c r="A801" s="33" t="s">
        <v>5485</v>
      </c>
      <c r="B801" s="31" t="s">
        <v>1961</v>
      </c>
      <c r="C801" s="32" t="s">
        <v>1962</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29" spans="1:15">
      <c r="A802" s="33" t="s">
        <v>5486</v>
      </c>
      <c r="B802" s="31" t="s">
        <v>1961</v>
      </c>
      <c r="C802" s="32" t="s">
        <v>1962</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29" spans="1:15">
      <c r="A803" s="33" t="s">
        <v>5487</v>
      </c>
      <c r="B803" s="31" t="s">
        <v>1961</v>
      </c>
      <c r="C803" s="32" t="s">
        <v>1962</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29" spans="1:15">
      <c r="A804" s="33" t="s">
        <v>5488</v>
      </c>
      <c r="B804" s="31" t="s">
        <v>1961</v>
      </c>
      <c r="C804" s="32" t="s">
        <v>1962</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29" spans="1:15">
      <c r="A805" s="33" t="s">
        <v>5489</v>
      </c>
      <c r="B805" s="31" t="s">
        <v>1961</v>
      </c>
      <c r="C805" s="32" t="s">
        <v>1962</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29" spans="1:15">
      <c r="A806" s="33" t="s">
        <v>5490</v>
      </c>
      <c r="B806" s="31" t="s">
        <v>1961</v>
      </c>
      <c r="C806" s="32" t="s">
        <v>1962</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29" spans="1:15">
      <c r="A807" s="33" t="s">
        <v>5491</v>
      </c>
      <c r="B807" s="31" t="s">
        <v>1961</v>
      </c>
      <c r="C807" s="32" t="s">
        <v>1962</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29" spans="1:15">
      <c r="A808" s="33" t="s">
        <v>5492</v>
      </c>
      <c r="B808" s="31" t="s">
        <v>1884</v>
      </c>
      <c r="C808" s="32" t="s">
        <v>1885</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29" spans="1:15">
      <c r="A809" s="33" t="s">
        <v>5493</v>
      </c>
      <c r="B809" s="31" t="s">
        <v>1884</v>
      </c>
      <c r="C809" s="32" t="s">
        <v>1885</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29" spans="1:15">
      <c r="A810" s="33" t="s">
        <v>5494</v>
      </c>
      <c r="B810" s="31" t="s">
        <v>1884</v>
      </c>
      <c r="C810" s="32" t="s">
        <v>1885</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29" spans="1:15">
      <c r="A811" s="33" t="s">
        <v>5495</v>
      </c>
      <c r="B811" s="31" t="s">
        <v>1884</v>
      </c>
      <c r="C811" s="32" t="s">
        <v>1885</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29" spans="1:15">
      <c r="A812" s="33" t="s">
        <v>5496</v>
      </c>
      <c r="B812" s="31" t="s">
        <v>1884</v>
      </c>
      <c r="C812" s="32" t="s">
        <v>1885</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29" spans="1:15">
      <c r="A813" s="33" t="s">
        <v>5497</v>
      </c>
      <c r="B813" s="31" t="s">
        <v>1884</v>
      </c>
      <c r="C813" s="32" t="s">
        <v>1885</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29" spans="1:15">
      <c r="A814" s="33" t="s">
        <v>5498</v>
      </c>
      <c r="B814" s="31" t="s">
        <v>1884</v>
      </c>
      <c r="C814" s="32" t="s">
        <v>1885</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29" spans="1:15">
      <c r="A815" s="33" t="s">
        <v>5499</v>
      </c>
      <c r="B815" s="31" t="s">
        <v>1884</v>
      </c>
      <c r="C815" s="32" t="s">
        <v>1885</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29" spans="1:15">
      <c r="A816" s="33" t="s">
        <v>5500</v>
      </c>
      <c r="B816" s="31" t="s">
        <v>1884</v>
      </c>
      <c r="C816" s="32" t="s">
        <v>1885</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29" spans="1:15">
      <c r="A817" s="33" t="s">
        <v>5501</v>
      </c>
      <c r="B817" s="31" t="s">
        <v>1884</v>
      </c>
      <c r="C817" s="32" t="s">
        <v>1885</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29" spans="1:15">
      <c r="A818" s="33" t="s">
        <v>5502</v>
      </c>
      <c r="B818" s="31" t="s">
        <v>1884</v>
      </c>
      <c r="C818" s="32" t="s">
        <v>1885</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29" spans="1:15">
      <c r="A819" s="34" t="s">
        <v>5503</v>
      </c>
      <c r="B819" s="31" t="s">
        <v>1884</v>
      </c>
      <c r="C819" s="32" t="s">
        <v>1885</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29" spans="1:15">
      <c r="A820" s="33" t="s">
        <v>5504</v>
      </c>
      <c r="B820" s="31" t="s">
        <v>1884</v>
      </c>
      <c r="C820" s="32" t="s">
        <v>1885</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29" spans="1:15">
      <c r="A821" s="33" t="s">
        <v>5505</v>
      </c>
      <c r="B821" s="31" t="s">
        <v>1884</v>
      </c>
      <c r="C821" s="32" t="s">
        <v>1885</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29" spans="1:15">
      <c r="A822" s="33" t="s">
        <v>5506</v>
      </c>
      <c r="B822" s="31" t="s">
        <v>1884</v>
      </c>
      <c r="C822" s="32" t="s">
        <v>1885</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29" spans="1:15">
      <c r="A823" s="33" t="s">
        <v>5507</v>
      </c>
      <c r="B823" s="31" t="s">
        <v>1884</v>
      </c>
      <c r="C823" s="32" t="s">
        <v>1885</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29" spans="1:15">
      <c r="A824" s="33" t="s">
        <v>5508</v>
      </c>
      <c r="B824" s="31" t="s">
        <v>1884</v>
      </c>
      <c r="C824" s="32" t="s">
        <v>1885</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29" spans="1:15">
      <c r="A825" s="33" t="s">
        <v>5509</v>
      </c>
      <c r="B825" s="31" t="s">
        <v>1884</v>
      </c>
      <c r="C825" s="32" t="s">
        <v>1885</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29" spans="1:15">
      <c r="A826" s="33" t="s">
        <v>5510</v>
      </c>
      <c r="B826" s="31" t="s">
        <v>1884</v>
      </c>
      <c r="C826" s="32" t="s">
        <v>1885</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29" spans="1:15">
      <c r="A827" s="33" t="s">
        <v>5511</v>
      </c>
      <c r="B827" s="31" t="s">
        <v>1884</v>
      </c>
      <c r="C827" s="32" t="s">
        <v>1885</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29" spans="1:15">
      <c r="A828" s="33" t="s">
        <v>5512</v>
      </c>
      <c r="B828" s="31" t="s">
        <v>1884</v>
      </c>
      <c r="C828" s="32" t="s">
        <v>1885</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29" spans="1:15">
      <c r="A829" s="33" t="s">
        <v>5513</v>
      </c>
      <c r="B829" s="31" t="s">
        <v>1884</v>
      </c>
      <c r="C829" s="32" t="s">
        <v>1885</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29" spans="1:15">
      <c r="A830" s="33" t="s">
        <v>5514</v>
      </c>
      <c r="B830" s="31" t="s">
        <v>1884</v>
      </c>
      <c r="C830" s="32" t="s">
        <v>1885</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29" spans="1:15">
      <c r="A831" s="33" t="s">
        <v>5515</v>
      </c>
      <c r="B831" s="31" t="s">
        <v>1884</v>
      </c>
      <c r="C831" s="32" t="s">
        <v>1885</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29" spans="1:15">
      <c r="A832" s="33" t="s">
        <v>5516</v>
      </c>
      <c r="B832" s="31" t="s">
        <v>1884</v>
      </c>
      <c r="C832" s="32" t="s">
        <v>1885</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29" spans="1:15">
      <c r="A833" s="33" t="s">
        <v>5517</v>
      </c>
      <c r="B833" s="31" t="s">
        <v>1884</v>
      </c>
      <c r="C833" s="32" t="s">
        <v>1885</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29" spans="1:15">
      <c r="A834" s="33" t="s">
        <v>5518</v>
      </c>
      <c r="B834" s="31" t="s">
        <v>1884</v>
      </c>
      <c r="C834" s="32" t="s">
        <v>1885</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29" spans="1:15">
      <c r="A835" s="33" t="s">
        <v>5519</v>
      </c>
      <c r="B835" s="31" t="s">
        <v>1884</v>
      </c>
      <c r="C835" s="32" t="s">
        <v>1885</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29" spans="1:15">
      <c r="A836" s="33" t="s">
        <v>3817</v>
      </c>
      <c r="B836" s="31" t="s">
        <v>1884</v>
      </c>
      <c r="C836" s="32" t="s">
        <v>1885</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29" spans="1:15">
      <c r="A837" s="33" t="s">
        <v>5520</v>
      </c>
      <c r="B837" s="31" t="s">
        <v>1884</v>
      </c>
      <c r="C837" s="32" t="s">
        <v>1885</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29" spans="1:15">
      <c r="A838" s="33" t="s">
        <v>5521</v>
      </c>
      <c r="B838" s="31" t="s">
        <v>1884</v>
      </c>
      <c r="C838" s="32" t="s">
        <v>1885</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29" spans="1:15">
      <c r="A839" s="34" t="s">
        <v>5522</v>
      </c>
      <c r="B839" s="31" t="s">
        <v>1884</v>
      </c>
      <c r="C839" s="32" t="s">
        <v>1885</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29" spans="1:15">
      <c r="A840" s="33" t="s">
        <v>5523</v>
      </c>
      <c r="B840" s="31" t="s">
        <v>1868</v>
      </c>
      <c r="C840" s="32" t="s">
        <v>1869</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29" spans="1:15">
      <c r="A841" s="33" t="s">
        <v>5524</v>
      </c>
      <c r="B841" s="31" t="s">
        <v>1868</v>
      </c>
      <c r="C841" s="32" t="s">
        <v>1869</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29" spans="1:15">
      <c r="A842" s="34" t="s">
        <v>5525</v>
      </c>
      <c r="B842" s="31" t="s">
        <v>1868</v>
      </c>
      <c r="C842" s="32" t="s">
        <v>1869</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29" spans="1:15">
      <c r="A843" s="33" t="s">
        <v>5526</v>
      </c>
      <c r="B843" s="31" t="s">
        <v>1868</v>
      </c>
      <c r="C843" s="32" t="s">
        <v>1869</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29" spans="1:15">
      <c r="A844" s="33" t="s">
        <v>5527</v>
      </c>
      <c r="B844" s="31" t="s">
        <v>1868</v>
      </c>
      <c r="C844" s="32" t="s">
        <v>1869</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29" spans="1:15">
      <c r="A845" s="33" t="s">
        <v>5528</v>
      </c>
      <c r="B845" s="31" t="s">
        <v>1868</v>
      </c>
      <c r="C845" s="32" t="s">
        <v>1869</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29" spans="1:15">
      <c r="A846" s="33" t="s">
        <v>5529</v>
      </c>
      <c r="B846" s="31" t="s">
        <v>1868</v>
      </c>
      <c r="C846" s="32" t="s">
        <v>1869</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29" spans="1:15">
      <c r="A847" s="33" t="s">
        <v>5530</v>
      </c>
      <c r="B847" s="31" t="s">
        <v>1868</v>
      </c>
      <c r="C847" s="32" t="s">
        <v>1869</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29" spans="1:15">
      <c r="A848" s="33" t="s">
        <v>5531</v>
      </c>
      <c r="B848" s="31" t="s">
        <v>1868</v>
      </c>
      <c r="C848" s="32" t="s">
        <v>1869</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29" spans="1:15">
      <c r="A849" s="33" t="s">
        <v>5532</v>
      </c>
      <c r="B849" s="31" t="s">
        <v>1868</v>
      </c>
      <c r="C849" s="32" t="s">
        <v>1869</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29" spans="1:15">
      <c r="A850" s="33" t="s">
        <v>4044</v>
      </c>
      <c r="B850" s="31" t="s">
        <v>1868</v>
      </c>
      <c r="C850" s="32" t="s">
        <v>1869</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29" spans="1:15">
      <c r="A851" s="33" t="s">
        <v>5533</v>
      </c>
      <c r="B851" s="31" t="s">
        <v>1868</v>
      </c>
      <c r="C851" s="32" t="s">
        <v>1869</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29" spans="1:15">
      <c r="A852" s="33" t="s">
        <v>5534</v>
      </c>
      <c r="B852" s="31" t="s">
        <v>1575</v>
      </c>
      <c r="C852" s="32" t="s">
        <v>1576</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29" spans="1:15">
      <c r="A853" s="33" t="s">
        <v>5535</v>
      </c>
      <c r="B853" s="31" t="s">
        <v>1575</v>
      </c>
      <c r="C853" s="32" t="s">
        <v>1576</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29" spans="1:15">
      <c r="A854" s="33" t="s">
        <v>5536</v>
      </c>
      <c r="B854" s="31" t="s">
        <v>1618</v>
      </c>
      <c r="C854" s="32" t="s">
        <v>1619</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29" spans="1:15">
      <c r="A855" s="33" t="s">
        <v>5537</v>
      </c>
      <c r="B855" s="31" t="s">
        <v>1618</v>
      </c>
      <c r="C855" s="32" t="s">
        <v>1619</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29" spans="1:15">
      <c r="A856" s="33" t="s">
        <v>5538</v>
      </c>
      <c r="B856" s="31" t="s">
        <v>1618</v>
      </c>
      <c r="C856" s="32" t="s">
        <v>1619</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29" spans="1:15">
      <c r="A857" s="33" t="s">
        <v>5539</v>
      </c>
      <c r="B857" s="31" t="s">
        <v>1618</v>
      </c>
      <c r="C857" s="32" t="s">
        <v>1619</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29" spans="1:15">
      <c r="A858" s="33" t="s">
        <v>5540</v>
      </c>
      <c r="B858" s="31" t="s">
        <v>1618</v>
      </c>
      <c r="C858" s="32" t="s">
        <v>1619</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29" spans="1:15">
      <c r="A859" s="33" t="s">
        <v>5541</v>
      </c>
      <c r="B859" s="31" t="s">
        <v>1618</v>
      </c>
      <c r="C859" s="32" t="s">
        <v>1619</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29" spans="1:15">
      <c r="A860" s="33" t="s">
        <v>5542</v>
      </c>
      <c r="B860" s="31" t="s">
        <v>1618</v>
      </c>
      <c r="C860" s="32" t="s">
        <v>1619</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29" spans="1:15">
      <c r="A861" s="33" t="s">
        <v>5543</v>
      </c>
      <c r="B861" s="31" t="s">
        <v>1618</v>
      </c>
      <c r="C861" s="32" t="s">
        <v>1619</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29" spans="1:15">
      <c r="A862" s="33" t="s">
        <v>3743</v>
      </c>
      <c r="B862" s="31" t="s">
        <v>1618</v>
      </c>
      <c r="C862" s="32" t="s">
        <v>1619</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29" spans="1:15">
      <c r="A863" s="33" t="s">
        <v>5544</v>
      </c>
      <c r="B863" s="31" t="s">
        <v>1651</v>
      </c>
      <c r="C863" s="32" t="s">
        <v>1652</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29" spans="1:15">
      <c r="A864" s="33" t="s">
        <v>5545</v>
      </c>
      <c r="B864" s="31" t="s">
        <v>1651</v>
      </c>
      <c r="C864" s="32" t="s">
        <v>1652</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29" spans="1:15">
      <c r="A865" s="33" t="s">
        <v>5546</v>
      </c>
      <c r="B865" s="31" t="s">
        <v>1651</v>
      </c>
      <c r="C865" s="32" t="s">
        <v>1652</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29" spans="1:15">
      <c r="A866" s="33" t="s">
        <v>5547</v>
      </c>
      <c r="B866" s="31" t="s">
        <v>1651</v>
      </c>
      <c r="C866" s="32" t="s">
        <v>1652</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29" spans="1:15">
      <c r="A867" s="33" t="s">
        <v>5548</v>
      </c>
      <c r="B867" s="31" t="s">
        <v>1651</v>
      </c>
      <c r="C867" s="32" t="s">
        <v>1652</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29" spans="1:15">
      <c r="A868" s="33" t="s">
        <v>5549</v>
      </c>
      <c r="B868" s="31" t="s">
        <v>1651</v>
      </c>
      <c r="C868" s="32" t="s">
        <v>1652</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29" spans="1:15">
      <c r="A869" s="33" t="s">
        <v>5550</v>
      </c>
      <c r="B869" s="31" t="s">
        <v>1651</v>
      </c>
      <c r="C869" s="32" t="s">
        <v>1652</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29" spans="1:15">
      <c r="A870" s="33" t="s">
        <v>5551</v>
      </c>
      <c r="B870" s="31" t="s">
        <v>1575</v>
      </c>
      <c r="C870" s="32" t="s">
        <v>1576</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29" spans="1:15">
      <c r="A871" s="33" t="s">
        <v>5552</v>
      </c>
      <c r="B871" s="31" t="s">
        <v>1575</v>
      </c>
      <c r="C871" s="32" t="s">
        <v>1576</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29" spans="1:15">
      <c r="A872" s="33" t="s">
        <v>5553</v>
      </c>
      <c r="B872" s="31" t="s">
        <v>1575</v>
      </c>
      <c r="C872" s="32" t="s">
        <v>1576</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29" spans="1:15">
      <c r="A873" s="33" t="s">
        <v>5554</v>
      </c>
      <c r="B873" s="31" t="s">
        <v>1575</v>
      </c>
      <c r="C873" s="32" t="s">
        <v>1576</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29" spans="1:15">
      <c r="A874" s="33" t="s">
        <v>5555</v>
      </c>
      <c r="B874" s="31" t="s">
        <v>1651</v>
      </c>
      <c r="C874" s="32" t="s">
        <v>1652</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29" spans="1:15">
      <c r="A875" s="33" t="s">
        <v>3757</v>
      </c>
      <c r="B875" s="31" t="s">
        <v>1651</v>
      </c>
      <c r="C875" s="32" t="s">
        <v>1652</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29" spans="1:15">
      <c r="A876" s="33" t="s">
        <v>5556</v>
      </c>
      <c r="B876" s="31" t="s">
        <v>1651</v>
      </c>
      <c r="C876" s="32" t="s">
        <v>1652</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29" spans="1:15">
      <c r="A877" s="33" t="s">
        <v>5557</v>
      </c>
      <c r="B877" s="31" t="s">
        <v>1651</v>
      </c>
      <c r="C877" s="32" t="s">
        <v>1652</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29" spans="1:15">
      <c r="A878" s="33" t="s">
        <v>5558</v>
      </c>
      <c r="B878" s="31" t="s">
        <v>1651</v>
      </c>
      <c r="C878" s="32" t="s">
        <v>1652</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29" spans="1:15">
      <c r="A879" s="34" t="s">
        <v>5559</v>
      </c>
      <c r="B879" s="31" t="s">
        <v>1651</v>
      </c>
      <c r="C879" s="32" t="s">
        <v>1652</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29" spans="1:15">
      <c r="A880" s="33" t="s">
        <v>5560</v>
      </c>
      <c r="B880" s="31" t="s">
        <v>1651</v>
      </c>
      <c r="C880" s="32" t="s">
        <v>1652</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29" spans="1:15">
      <c r="A881" s="33" t="s">
        <v>5561</v>
      </c>
      <c r="B881" s="31" t="s">
        <v>1651</v>
      </c>
      <c r="C881" s="32" t="s">
        <v>1652</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29" spans="1:15">
      <c r="A882" s="33" t="s">
        <v>5562</v>
      </c>
      <c r="B882" s="31" t="s">
        <v>1651</v>
      </c>
      <c r="C882" s="32" t="s">
        <v>1652</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29" spans="1:15">
      <c r="A883" s="33" t="s">
        <v>5563</v>
      </c>
      <c r="B883" s="31" t="s">
        <v>1651</v>
      </c>
      <c r="C883" s="32" t="s">
        <v>1652</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29" spans="1:15">
      <c r="A884" s="33" t="s">
        <v>5564</v>
      </c>
      <c r="B884" s="31" t="s">
        <v>1575</v>
      </c>
      <c r="C884" s="32" t="s">
        <v>1576</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29" spans="1:15">
      <c r="A885" s="33" t="s">
        <v>5565</v>
      </c>
      <c r="B885" s="31" t="s">
        <v>1575</v>
      </c>
      <c r="C885" s="32" t="s">
        <v>1576</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29" spans="1:15">
      <c r="A886" s="33" t="s">
        <v>5566</v>
      </c>
      <c r="B886" s="31" t="s">
        <v>1575</v>
      </c>
      <c r="C886" s="32" t="s">
        <v>1576</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29" spans="1:15">
      <c r="A887" s="33" t="s">
        <v>5567</v>
      </c>
      <c r="B887" s="31" t="s">
        <v>1575</v>
      </c>
      <c r="C887" s="32" t="s">
        <v>1576</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29" spans="1:15">
      <c r="A888" s="33" t="s">
        <v>5568</v>
      </c>
      <c r="B888" s="31" t="s">
        <v>1575</v>
      </c>
      <c r="C888" s="32" t="s">
        <v>1576</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29" spans="1:15">
      <c r="A889" s="33" t="s">
        <v>5569</v>
      </c>
      <c r="B889" s="31" t="s">
        <v>1575</v>
      </c>
      <c r="C889" s="32" t="s">
        <v>1576</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29" spans="1:15">
      <c r="A890" s="33" t="s">
        <v>3459</v>
      </c>
      <c r="B890" s="31" t="s">
        <v>1575</v>
      </c>
      <c r="C890" s="32" t="s">
        <v>1576</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29" spans="1:15">
      <c r="A891" s="33" t="s">
        <v>5570</v>
      </c>
      <c r="B891" s="31" t="s">
        <v>1575</v>
      </c>
      <c r="C891" s="32" t="s">
        <v>1576</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29" spans="1:15">
      <c r="A892" s="33" t="s">
        <v>5571</v>
      </c>
      <c r="B892" s="31" t="s">
        <v>1575</v>
      </c>
      <c r="C892" s="32" t="s">
        <v>1576</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29" spans="1:15">
      <c r="A893" s="33" t="s">
        <v>5572</v>
      </c>
      <c r="B893" s="31" t="s">
        <v>1575</v>
      </c>
      <c r="C893" s="32" t="s">
        <v>1576</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29" spans="1:15">
      <c r="A894" s="33" t="s">
        <v>5573</v>
      </c>
      <c r="B894" s="31" t="s">
        <v>1575</v>
      </c>
      <c r="C894" s="32" t="s">
        <v>1576</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29" spans="1:15">
      <c r="A895" s="33" t="s">
        <v>5574</v>
      </c>
      <c r="B895" s="31" t="s">
        <v>1575</v>
      </c>
      <c r="C895" s="32" t="s">
        <v>1576</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29" spans="1:15">
      <c r="A896" s="33" t="s">
        <v>5575</v>
      </c>
      <c r="B896" s="31" t="s">
        <v>1575</v>
      </c>
      <c r="C896" s="32" t="s">
        <v>1576</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29" spans="1:15">
      <c r="A897" s="33" t="s">
        <v>5576</v>
      </c>
      <c r="B897" s="31" t="s">
        <v>1674</v>
      </c>
      <c r="C897" s="32" t="s">
        <v>5272</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29" spans="1:15">
      <c r="A898" s="33" t="s">
        <v>5577</v>
      </c>
      <c r="B898" s="31" t="s">
        <v>1674</v>
      </c>
      <c r="C898" s="32" t="s">
        <v>5272</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29" spans="1:15">
      <c r="A899" s="33" t="s">
        <v>5578</v>
      </c>
      <c r="B899" s="31" t="s">
        <v>1674</v>
      </c>
      <c r="C899" s="32" t="s">
        <v>5272</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29" spans="1:15">
      <c r="A900" s="33" t="s">
        <v>5579</v>
      </c>
      <c r="B900" s="31" t="s">
        <v>1674</v>
      </c>
      <c r="C900" s="32" t="s">
        <v>5272</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29" spans="1:15">
      <c r="A901" s="33" t="s">
        <v>5580</v>
      </c>
      <c r="B901" s="31" t="s">
        <v>1674</v>
      </c>
      <c r="C901" s="32" t="s">
        <v>5272</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29" spans="1:15">
      <c r="A902" s="33" t="s">
        <v>5581</v>
      </c>
      <c r="B902" s="31" t="s">
        <v>1674</v>
      </c>
      <c r="C902" s="32" t="s">
        <v>5272</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29" spans="1:15">
      <c r="A903" s="33" t="s">
        <v>5582</v>
      </c>
      <c r="B903" s="31" t="s">
        <v>1674</v>
      </c>
      <c r="C903" s="32" t="s">
        <v>5272</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29" spans="1:15">
      <c r="A904" s="33" t="s">
        <v>5583</v>
      </c>
      <c r="B904" s="31" t="s">
        <v>1674</v>
      </c>
      <c r="C904" s="32" t="s">
        <v>5272</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29" spans="1:15">
      <c r="A905" s="33" t="s">
        <v>5584</v>
      </c>
      <c r="B905" s="31" t="s">
        <v>1674</v>
      </c>
      <c r="C905" s="32" t="s">
        <v>5272</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29" spans="1:15">
      <c r="A906" s="33" t="s">
        <v>5585</v>
      </c>
      <c r="B906" s="31" t="s">
        <v>1674</v>
      </c>
      <c r="C906" s="32" t="s">
        <v>5272</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29" spans="1:15">
      <c r="A907" s="33" t="s">
        <v>5586</v>
      </c>
      <c r="B907" s="31" t="s">
        <v>1674</v>
      </c>
      <c r="C907" s="32" t="s">
        <v>5272</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29" spans="1:15">
      <c r="A908" s="33" t="s">
        <v>5587</v>
      </c>
      <c r="B908" s="31" t="s">
        <v>1674</v>
      </c>
      <c r="C908" s="32" t="s">
        <v>5272</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29" spans="1:15">
      <c r="A909" s="33" t="s">
        <v>5588</v>
      </c>
      <c r="B909" s="31" t="s">
        <v>1674</v>
      </c>
      <c r="C909" s="32" t="s">
        <v>5272</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29" spans="1:15">
      <c r="A910" s="33" t="s">
        <v>5589</v>
      </c>
      <c r="B910" s="31" t="s">
        <v>1674</v>
      </c>
      <c r="C910" s="32" t="s">
        <v>5272</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29" spans="1:15">
      <c r="A911" s="33" t="s">
        <v>5590</v>
      </c>
      <c r="B911" s="31" t="s">
        <v>1674</v>
      </c>
      <c r="C911" s="32" t="s">
        <v>5272</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29" spans="1:15">
      <c r="A912" s="33" t="s">
        <v>5591</v>
      </c>
      <c r="B912" s="31" t="s">
        <v>1674</v>
      </c>
      <c r="C912" s="32" t="s">
        <v>5272</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29" spans="1:15">
      <c r="A913" s="34" t="s">
        <v>5592</v>
      </c>
      <c r="B913" s="31" t="s">
        <v>1674</v>
      </c>
      <c r="C913" s="32" t="s">
        <v>5272</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29" spans="1:15">
      <c r="A914" s="33" t="s">
        <v>5593</v>
      </c>
      <c r="B914" s="31" t="s">
        <v>1674</v>
      </c>
      <c r="C914" s="32" t="s">
        <v>5272</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29" spans="1:15">
      <c r="A915" s="33" t="s">
        <v>5594</v>
      </c>
      <c r="B915" s="31" t="s">
        <v>1575</v>
      </c>
      <c r="C915" s="32" t="s">
        <v>1576</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29" spans="1:15">
      <c r="A916" s="33" t="s">
        <v>5595</v>
      </c>
      <c r="B916" s="31" t="s">
        <v>1575</v>
      </c>
      <c r="C916" s="32" t="s">
        <v>1576</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29" spans="1:15">
      <c r="A917" s="33" t="s">
        <v>5596</v>
      </c>
      <c r="B917" s="31" t="s">
        <v>1575</v>
      </c>
      <c r="C917" s="32" t="s">
        <v>1576</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29" spans="1:15">
      <c r="A918" s="33" t="s">
        <v>5597</v>
      </c>
      <c r="B918" s="31" t="s">
        <v>1575</v>
      </c>
      <c r="C918" s="32" t="s">
        <v>1576</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29" spans="1:15">
      <c r="A919" s="33" t="s">
        <v>5598</v>
      </c>
      <c r="B919" s="31" t="s">
        <v>1575</v>
      </c>
      <c r="C919" s="32" t="s">
        <v>1576</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29" spans="1:15">
      <c r="A920" s="33" t="s">
        <v>5599</v>
      </c>
      <c r="B920" s="31" t="s">
        <v>1575</v>
      </c>
      <c r="C920" s="32" t="s">
        <v>1576</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29" spans="1:15">
      <c r="A921" s="33" t="s">
        <v>5600</v>
      </c>
      <c r="B921" s="31" t="s">
        <v>1575</v>
      </c>
      <c r="C921" s="32" t="s">
        <v>1576</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29" spans="1:15">
      <c r="A922" s="33" t="s">
        <v>5601</v>
      </c>
      <c r="B922" s="31" t="s">
        <v>1575</v>
      </c>
      <c r="C922" s="32" t="s">
        <v>1576</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29" spans="1:15">
      <c r="A923" s="33" t="s">
        <v>5602</v>
      </c>
      <c r="B923" s="31" t="s">
        <v>1575</v>
      </c>
      <c r="C923" s="32" t="s">
        <v>1576</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29" spans="1:15">
      <c r="A924" s="33" t="s">
        <v>5603</v>
      </c>
      <c r="B924" s="31" t="s">
        <v>1575</v>
      </c>
      <c r="C924" s="32" t="s">
        <v>1576</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29" spans="1:15">
      <c r="A925" s="33" t="s">
        <v>5604</v>
      </c>
      <c r="B925" s="31" t="s">
        <v>1575</v>
      </c>
      <c r="C925" s="32" t="s">
        <v>1576</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29" spans="1:15">
      <c r="A926" s="33" t="s">
        <v>5605</v>
      </c>
      <c r="B926" s="31" t="s">
        <v>1575</v>
      </c>
      <c r="C926" s="32" t="s">
        <v>1576</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29" spans="1:15">
      <c r="A927" s="33" t="s">
        <v>3649</v>
      </c>
      <c r="B927" s="31" t="s">
        <v>1575</v>
      </c>
      <c r="C927" s="32" t="s">
        <v>1576</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29" spans="1:15">
      <c r="A928" s="33" t="s">
        <v>3274</v>
      </c>
      <c r="B928" s="31" t="s">
        <v>1575</v>
      </c>
      <c r="C928" s="32" t="s">
        <v>1576</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29" spans="1:15">
      <c r="A929" s="33" t="s">
        <v>5606</v>
      </c>
      <c r="B929" s="31" t="s">
        <v>1575</v>
      </c>
      <c r="C929" s="32" t="s">
        <v>1576</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29" spans="1:15">
      <c r="A930" s="33" t="s">
        <v>5607</v>
      </c>
      <c r="B930" s="31" t="s">
        <v>1575</v>
      </c>
      <c r="C930" s="32" t="s">
        <v>1576</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29" spans="1:15">
      <c r="A931" s="33" t="s">
        <v>5608</v>
      </c>
      <c r="B931" s="31" t="s">
        <v>1575</v>
      </c>
      <c r="C931" s="32" t="s">
        <v>1576</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29" spans="1:15">
      <c r="A932" s="33" t="s">
        <v>5609</v>
      </c>
      <c r="B932" s="31" t="s">
        <v>1575</v>
      </c>
      <c r="C932" s="32" t="s">
        <v>1576</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5" t="s">
        <v>2822</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5681.12</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3" t="s">
        <v>5610</v>
      </c>
      <c r="B934" s="18"/>
      <c r="C934" s="36" t="s">
        <v>4813</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29" spans="1:15">
      <c r="A935" s="35" t="s">
        <v>5611</v>
      </c>
      <c r="B935" s="26" t="s">
        <v>2083</v>
      </c>
      <c r="C935" s="27" t="s">
        <v>2084</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29" spans="1:15">
      <c r="A936" s="35" t="s">
        <v>5612</v>
      </c>
      <c r="B936" s="26" t="s">
        <v>2083</v>
      </c>
      <c r="C936" s="27" t="s">
        <v>2084</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29" spans="1:15">
      <c r="A937" s="35" t="s">
        <v>5613</v>
      </c>
      <c r="B937" s="26" t="s">
        <v>2083</v>
      </c>
      <c r="C937" s="27" t="s">
        <v>2084</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29" spans="1:15">
      <c r="A938" s="35" t="s">
        <v>5614</v>
      </c>
      <c r="B938" s="26" t="s">
        <v>2083</v>
      </c>
      <c r="C938" s="27" t="s">
        <v>2084</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29" spans="1:15">
      <c r="A939" s="35" t="s">
        <v>5615</v>
      </c>
      <c r="B939" s="26" t="s">
        <v>2083</v>
      </c>
      <c r="C939" s="27" t="s">
        <v>2084</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29" spans="1:15">
      <c r="A940" s="35" t="s">
        <v>5616</v>
      </c>
      <c r="B940" s="26" t="s">
        <v>2083</v>
      </c>
      <c r="C940" s="27" t="s">
        <v>2084</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29" spans="1:15">
      <c r="A941" s="35" t="s">
        <v>5617</v>
      </c>
      <c r="B941" s="26" t="s">
        <v>2083</v>
      </c>
      <c r="C941" s="27" t="s">
        <v>2084</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29" spans="1:15">
      <c r="A942" s="35" t="s">
        <v>5618</v>
      </c>
      <c r="B942" s="26" t="s">
        <v>2083</v>
      </c>
      <c r="C942" s="27" t="s">
        <v>2084</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29" spans="1:15">
      <c r="A943" s="35" t="s">
        <v>5619</v>
      </c>
      <c r="B943" s="26" t="s">
        <v>2083</v>
      </c>
      <c r="C943" s="27" t="s">
        <v>2084</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29" spans="1:15">
      <c r="A944" s="35" t="s">
        <v>5620</v>
      </c>
      <c r="B944" s="26" t="s">
        <v>2083</v>
      </c>
      <c r="C944" s="27" t="s">
        <v>2084</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29" spans="1:15">
      <c r="A945" s="35" t="s">
        <v>5621</v>
      </c>
      <c r="B945" s="26" t="s">
        <v>2083</v>
      </c>
      <c r="C945" s="27" t="s">
        <v>2084</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29" spans="1:15">
      <c r="A946" s="35" t="s">
        <v>5622</v>
      </c>
      <c r="B946" s="26" t="s">
        <v>2083</v>
      </c>
      <c r="C946" s="27" t="s">
        <v>2084</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29" spans="1:15">
      <c r="A947" s="35" t="s">
        <v>5623</v>
      </c>
      <c r="B947" s="26" t="s">
        <v>2083</v>
      </c>
      <c r="C947" s="27" t="s">
        <v>2084</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29" spans="1:15">
      <c r="A948" s="35" t="s">
        <v>5624</v>
      </c>
      <c r="B948" s="26" t="s">
        <v>2083</v>
      </c>
      <c r="C948" s="27" t="s">
        <v>2084</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29" spans="1:15">
      <c r="A949" s="35" t="s">
        <v>5625</v>
      </c>
      <c r="B949" s="26" t="s">
        <v>2083</v>
      </c>
      <c r="C949" s="27" t="s">
        <v>2084</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29" spans="1:15">
      <c r="A950" s="35" t="s">
        <v>5626</v>
      </c>
      <c r="B950" s="26" t="s">
        <v>2083</v>
      </c>
      <c r="C950" s="27" t="s">
        <v>2084</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29" spans="1:15">
      <c r="A951" s="35" t="s">
        <v>5627</v>
      </c>
      <c r="B951" s="26" t="s">
        <v>2083</v>
      </c>
      <c r="C951" s="27" t="s">
        <v>2084</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29" spans="1:15">
      <c r="A952" s="35" t="s">
        <v>5628</v>
      </c>
      <c r="B952" s="26" t="s">
        <v>2083</v>
      </c>
      <c r="C952" s="27" t="s">
        <v>2084</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J22" sqref="J22"/>
    </sheetView>
  </sheetViews>
  <sheetFormatPr defaultColWidth="9" defaultRowHeight="14"/>
  <cols>
    <col min="1" max="1" width="25.3727272727273" customWidth="1"/>
    <col min="2" max="2" width="19.3727272727273" customWidth="1"/>
    <col min="3" max="14" width="12.8181818181818"/>
  </cols>
  <sheetData>
    <row r="1" customFormat="1" spans="1:14">
      <c r="A1" t="s">
        <v>5675</v>
      </c>
      <c r="C1" t="s">
        <v>714</v>
      </c>
      <c r="D1" t="s">
        <v>715</v>
      </c>
      <c r="E1" t="s">
        <v>716</v>
      </c>
      <c r="F1" t="s">
        <v>717</v>
      </c>
      <c r="G1" t="s">
        <v>718</v>
      </c>
      <c r="H1" t="s">
        <v>719</v>
      </c>
      <c r="I1" t="s">
        <v>720</v>
      </c>
      <c r="J1" t="s">
        <v>721</v>
      </c>
      <c r="K1" t="s">
        <v>722</v>
      </c>
      <c r="L1" t="s">
        <v>723</v>
      </c>
      <c r="M1" t="s">
        <v>724</v>
      </c>
      <c r="N1" t="s">
        <v>725</v>
      </c>
    </row>
    <row r="2" spans="1:14">
      <c r="A2" t="s">
        <v>5676</v>
      </c>
      <c r="B2" t="s">
        <v>5665</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5676</v>
      </c>
      <c r="B3" t="s">
        <v>5666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5676</v>
      </c>
      <c r="B4" t="s">
        <v>5667</v>
      </c>
      <c r="C4" cm="1">
        <f t="array" ref="C4">INDEX('2 过程管理表单'!$8:$8,24+(COLUMN(A1)-1)*3)</f>
        <v>160600</v>
      </c>
      <c r="D4" cm="1">
        <f t="array" ref="D4">INDEX('2 过程管理表单'!$8:$8,24+(COLUMN(B1)-1)*3)</f>
        <v>160600</v>
      </c>
      <c r="E4" cm="1">
        <f t="array" ref="E4">INDEX('2 过程管理表单'!$8:$8,24+(COLUMN(C1)-1)*3)</f>
        <v>160600</v>
      </c>
      <c r="F4" cm="1">
        <f t="array" ref="F4">INDEX('2 过程管理表单'!$8:$8,24+(COLUMN(D1)-1)*3)</f>
        <v>160600</v>
      </c>
      <c r="G4" cm="1">
        <f t="array" ref="G4">INDEX('2 过程管理表单'!$8:$8,24+(COLUMN(E1)-1)*3)</f>
        <v>160600</v>
      </c>
      <c r="H4" cm="1">
        <f t="array" ref="H4">INDEX('2 过程管理表单'!$8:$8,24+(COLUMN(F1)-1)*3)</f>
        <v>160600</v>
      </c>
      <c r="I4" cm="1">
        <f t="array" ref="I4">INDEX('2 过程管理表单'!$8:$8,24+(COLUMN(G1)-1)*3)</f>
        <v>160600</v>
      </c>
      <c r="J4" cm="1">
        <f t="array" ref="J4">INDEX('2 过程管理表单'!$8:$8,24+(COLUMN(H1)-1)*3)</f>
        <v>160600</v>
      </c>
      <c r="K4" cm="1">
        <f t="array" ref="K4">INDEX('2 过程管理表单'!$8:$8,24+(COLUMN(I1)-1)*3)</f>
        <v>160600</v>
      </c>
      <c r="L4" cm="1">
        <f t="array" ref="L4">INDEX('2 过程管理表单'!$8:$8,24+(COLUMN(J1)-1)*3)</f>
        <v>160600</v>
      </c>
      <c r="M4" cm="1">
        <f t="array" ref="M4">INDEX('2 过程管理表单'!$8:$8,24+(COLUMN(K1)-1)*3)</f>
        <v>160600</v>
      </c>
      <c r="N4" cm="1">
        <f t="array" ref="N4">INDEX('2 过程管理表单'!$8:$8,24+(COLUMN(L1)-1)*3)</f>
        <v>160600</v>
      </c>
    </row>
    <row r="5" spans="1:14">
      <c r="A5" t="s">
        <v>5676</v>
      </c>
      <c r="B5" t="s">
        <v>5668</v>
      </c>
      <c r="C5">
        <f t="shared" si="0"/>
        <v>160600</v>
      </c>
      <c r="D5">
        <f t="shared" ref="D5:N5" si="2">C5+D4</f>
        <v>321200</v>
      </c>
      <c r="E5">
        <f t="shared" si="2"/>
        <v>481800</v>
      </c>
      <c r="F5">
        <f t="shared" si="2"/>
        <v>642400</v>
      </c>
      <c r="G5">
        <f t="shared" si="2"/>
        <v>803000</v>
      </c>
      <c r="H5">
        <f t="shared" si="2"/>
        <v>963600</v>
      </c>
      <c r="I5">
        <f t="shared" si="2"/>
        <v>1124200</v>
      </c>
      <c r="J5">
        <f t="shared" si="2"/>
        <v>1284800</v>
      </c>
      <c r="K5">
        <f t="shared" si="2"/>
        <v>1445400</v>
      </c>
      <c r="L5">
        <f t="shared" si="2"/>
        <v>1606000</v>
      </c>
      <c r="M5">
        <f t="shared" si="2"/>
        <v>1766600</v>
      </c>
      <c r="N5">
        <f t="shared" si="2"/>
        <v>1927200</v>
      </c>
    </row>
    <row r="6" spans="1:14">
      <c r="A6" t="s">
        <v>5677</v>
      </c>
      <c r="B6" t="s">
        <v>5665</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5677</v>
      </c>
      <c r="B7" t="s">
        <v>5666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5677</v>
      </c>
      <c r="B8" t="s">
        <v>5667</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5677</v>
      </c>
      <c r="B9" t="s">
        <v>5668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5678</v>
      </c>
      <c r="B10" t="s">
        <v>5665</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5678</v>
      </c>
      <c r="B11" t="s">
        <v>5666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5678</v>
      </c>
      <c r="B12" t="s">
        <v>5667</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5678</v>
      </c>
      <c r="B13" t="s">
        <v>5668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5679</v>
      </c>
      <c r="B14" t="s">
        <v>5665</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5679</v>
      </c>
      <c r="B15" t="s">
        <v>5666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5679</v>
      </c>
      <c r="B16" t="s">
        <v>5667</v>
      </c>
      <c r="C16" cm="1">
        <f t="array" ref="C16">INDEX('2 过程管理表单'!$27:$27,24+(COLUMN(A1)-1)*3)</f>
        <v>12300</v>
      </c>
      <c r="D16" cm="1">
        <f t="array" ref="D16">INDEX('2 过程管理表单'!$27:$27,24+(COLUMN(B1)-1)*3)</f>
        <v>12300</v>
      </c>
      <c r="E16" cm="1">
        <f t="array" ref="E16">INDEX('2 过程管理表单'!$27:$27,24+(COLUMN(C1)-1)*3)</f>
        <v>12300</v>
      </c>
      <c r="F16" cm="1">
        <f t="array" ref="F16">INDEX('2 过程管理表单'!$27:$27,24+(COLUMN(D1)-1)*3)</f>
        <v>12300</v>
      </c>
      <c r="G16" cm="1">
        <f t="array" ref="G16">INDEX('2 过程管理表单'!$27:$27,24+(COLUMN(E1)-1)*3)</f>
        <v>12300</v>
      </c>
      <c r="H16" cm="1">
        <f t="array" ref="H16">INDEX('2 过程管理表单'!$27:$27,24+(COLUMN(F1)-1)*3)</f>
        <v>12300</v>
      </c>
      <c r="I16" cm="1">
        <f t="array" ref="I16">INDEX('2 过程管理表单'!$27:$27,24+(COLUMN(G1)-1)*3)</f>
        <v>12300</v>
      </c>
      <c r="J16" cm="1">
        <f t="array" ref="J16">INDEX('2 过程管理表单'!$27:$27,24+(COLUMN(H1)-1)*3)</f>
        <v>12300</v>
      </c>
      <c r="K16" cm="1">
        <f t="array" ref="K16">INDEX('2 过程管理表单'!$27:$27,24+(COLUMN(I1)-1)*3)</f>
        <v>12300</v>
      </c>
      <c r="L16" cm="1">
        <f t="array" ref="L16">INDEX('2 过程管理表单'!$27:$27,24+(COLUMN(J1)-1)*3)</f>
        <v>12300</v>
      </c>
      <c r="M16" cm="1">
        <f t="array" ref="M16">INDEX('2 过程管理表单'!$27:$27,24+(COLUMN(K1)-1)*3)</f>
        <v>12300</v>
      </c>
      <c r="N16" cm="1">
        <f t="array" ref="N16">INDEX('2 过程管理表单'!$27:$27,24+(COLUMN(L1)-1)*3)</f>
        <v>12300</v>
      </c>
    </row>
    <row r="17" spans="1:14">
      <c r="A17" t="s">
        <v>5679</v>
      </c>
      <c r="B17" t="s">
        <v>5668</v>
      </c>
      <c r="C17">
        <f t="shared" si="8"/>
        <v>12300</v>
      </c>
      <c r="D17">
        <f t="shared" ref="D17:N17" si="10">C17+D16</f>
        <v>24600</v>
      </c>
      <c r="E17">
        <f t="shared" si="10"/>
        <v>36900</v>
      </c>
      <c r="F17">
        <f t="shared" si="10"/>
        <v>49200</v>
      </c>
      <c r="G17">
        <f t="shared" si="10"/>
        <v>61500</v>
      </c>
      <c r="H17">
        <f t="shared" si="10"/>
        <v>73800</v>
      </c>
      <c r="I17">
        <f t="shared" si="10"/>
        <v>86100</v>
      </c>
      <c r="J17">
        <f t="shared" si="10"/>
        <v>98400</v>
      </c>
      <c r="K17">
        <f t="shared" si="10"/>
        <v>110700</v>
      </c>
      <c r="L17">
        <f t="shared" si="10"/>
        <v>123000</v>
      </c>
      <c r="M17">
        <f t="shared" si="10"/>
        <v>135300</v>
      </c>
      <c r="N17">
        <f t="shared" si="10"/>
        <v>147600</v>
      </c>
    </row>
    <row r="18" spans="1:14">
      <c r="A18" t="s">
        <v>5680</v>
      </c>
      <c r="B18" t="s">
        <v>5665</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5680</v>
      </c>
      <c r="B19" t="s">
        <v>5666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5680</v>
      </c>
      <c r="B20" t="s">
        <v>5667</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5680</v>
      </c>
      <c r="B21" t="s">
        <v>5668</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5681</v>
      </c>
      <c r="B22" t="s">
        <v>5665</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5681</v>
      </c>
      <c r="B23" t="s">
        <v>5666</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5681</v>
      </c>
      <c r="B24" t="s">
        <v>5667</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5681</v>
      </c>
      <c r="B25" t="s">
        <v>5668</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5682</v>
      </c>
      <c r="B26" t="s">
        <v>5665</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5682</v>
      </c>
      <c r="B27" t="s">
        <v>5666</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5682</v>
      </c>
      <c r="B28" t="s">
        <v>5667</v>
      </c>
      <c r="C28" cm="1">
        <f t="array" ref="C28">INDEX('2 过程管理表单'!$46:$46,24+(COLUMN(A1)-1)*3)</f>
        <v>18216</v>
      </c>
      <c r="D28" cm="1">
        <f t="array" ref="D28">INDEX('2 过程管理表单'!$46:$46,24+(COLUMN(B1)-1)*3)</f>
        <v>8000</v>
      </c>
      <c r="E28" cm="1">
        <f t="array" ref="E28">INDEX('2 过程管理表单'!$46:$46,24+(COLUMN(C1)-1)*3)</f>
        <v>10850</v>
      </c>
      <c r="F28" cm="1">
        <f t="array" ref="F28">INDEX('2 过程管理表单'!$46:$46,24+(COLUMN(D1)-1)*3)</f>
        <v>8000</v>
      </c>
      <c r="G28" cm="1">
        <f t="array" ref="G28">INDEX('2 过程管理表单'!$46:$46,24+(COLUMN(E1)-1)*3)</f>
        <v>14350</v>
      </c>
      <c r="H28" cm="1">
        <f t="array" ref="H28">INDEX('2 过程管理表单'!$46:$46,24+(COLUMN(F1)-1)*3)</f>
        <v>7400</v>
      </c>
      <c r="I28" cm="1">
        <f t="array" ref="I28">INDEX('2 过程管理表单'!$46:$46,24+(COLUMN(G1)-1)*3)</f>
        <v>6700</v>
      </c>
      <c r="J28" cm="1">
        <f t="array" ref="J28">INDEX('2 过程管理表单'!$46:$46,24+(COLUMN(H1)-1)*3)</f>
        <v>10850</v>
      </c>
      <c r="K28" cm="1">
        <f t="array" ref="K28">INDEX('2 过程管理表单'!$46:$46,24+(COLUMN(I1)-1)*3)</f>
        <v>12500</v>
      </c>
      <c r="L28" cm="1">
        <f t="array" ref="L28">INDEX('2 过程管理表单'!$46:$46,24+(COLUMN(J1)-1)*3)</f>
        <v>10850</v>
      </c>
      <c r="M28" cm="1">
        <f t="array" ref="M28">INDEX('2 过程管理表单'!$46:$46,24+(COLUMN(K1)-1)*3)</f>
        <v>6700</v>
      </c>
      <c r="N28" cm="1">
        <f t="array" ref="N28">INDEX('2 过程管理表单'!$46:$46,24+(COLUMN(L1)-1)*3)</f>
        <v>6700</v>
      </c>
    </row>
    <row r="29" spans="1:14">
      <c r="A29" t="s">
        <v>5682</v>
      </c>
      <c r="B29" t="s">
        <v>5668</v>
      </c>
      <c r="C29">
        <f t="shared" si="16"/>
        <v>18216</v>
      </c>
      <c r="D29">
        <f t="shared" ref="D29:N29" si="18">C29+D28</f>
        <v>26216</v>
      </c>
      <c r="E29">
        <f t="shared" si="18"/>
        <v>37066</v>
      </c>
      <c r="F29">
        <f t="shared" si="18"/>
        <v>45066</v>
      </c>
      <c r="G29">
        <f t="shared" si="18"/>
        <v>59416</v>
      </c>
      <c r="H29">
        <f t="shared" si="18"/>
        <v>66816</v>
      </c>
      <c r="I29">
        <f t="shared" si="18"/>
        <v>73516</v>
      </c>
      <c r="J29">
        <f t="shared" si="18"/>
        <v>84366</v>
      </c>
      <c r="K29">
        <f t="shared" si="18"/>
        <v>96866</v>
      </c>
      <c r="L29">
        <f t="shared" si="18"/>
        <v>107716</v>
      </c>
      <c r="M29">
        <f t="shared" si="18"/>
        <v>114416</v>
      </c>
      <c r="N29">
        <f t="shared" si="18"/>
        <v>121116</v>
      </c>
    </row>
    <row r="30" spans="1:14">
      <c r="A30" t="s">
        <v>5683</v>
      </c>
      <c r="B30" t="s">
        <v>5665</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5683</v>
      </c>
      <c r="B31" t="s">
        <v>5666</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5683</v>
      </c>
      <c r="B32" t="s">
        <v>5667</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5683</v>
      </c>
      <c r="B33" t="s">
        <v>5668</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5684</v>
      </c>
      <c r="B34" t="s">
        <v>5665</v>
      </c>
      <c r="C34" cm="1">
        <f t="array" ref="C34">INDEX('2 过程管理表单'!$58:$58,26+(COLUMN(A1)-1)*3)</f>
        <v>3667.39051094891</v>
      </c>
      <c r="D34" cm="1">
        <f t="array" ref="D34">INDEX('2 过程管理表单'!$58:$58,26+(COLUMN(B1)-1)*3)</f>
        <v>3312.48175182482</v>
      </c>
      <c r="E34" cm="1">
        <f t="array" ref="E34">INDEX('2 过程管理表单'!$58:$58,26+(COLUMN(C1)-1)*3)</f>
        <v>3667.39051094891</v>
      </c>
      <c r="F34" cm="1">
        <f t="array" ref="F34">INDEX('2 过程管理表单'!$58:$58,26+(COLUMN(D1)-1)*3)</f>
        <v>3549.08759124088</v>
      </c>
      <c r="G34" cm="1">
        <f t="array" ref="G34">INDEX('2 过程管理表单'!$58:$58,26+(COLUMN(E1)-1)*3)</f>
        <v>3667.39051094891</v>
      </c>
      <c r="H34" cm="1">
        <f t="array" ref="H34">INDEX('2 过程管理表单'!$58:$58,26+(COLUMN(F1)-1)*3)</f>
        <v>3549.08759124088</v>
      </c>
      <c r="I34" cm="1">
        <f t="array" ref="I34">INDEX('2 过程管理表单'!$58:$58,26+(COLUMN(G1)-1)*3)</f>
        <v>3667.39051094891</v>
      </c>
      <c r="J34" cm="1">
        <f t="array" ref="J34">INDEX('2 过程管理表单'!$58:$58,26+(COLUMN(H1)-1)*3)</f>
        <v>3667.39051094891</v>
      </c>
      <c r="K34" cm="1">
        <f t="array" ref="K34">INDEX('2 过程管理表单'!$58:$58,26+(COLUMN(I1)-1)*3)</f>
        <v>3549.08759124088</v>
      </c>
      <c r="L34" cm="1">
        <f t="array" ref="L34">INDEX('2 过程管理表单'!$58:$58,26+(COLUMN(J1)-1)*3)</f>
        <v>3667.39051094891</v>
      </c>
      <c r="M34" cm="1">
        <f t="array" ref="M34">INDEX('2 过程管理表单'!$58:$58,26+(COLUMN(K1)-1)*3)</f>
        <v>3549.08759124088</v>
      </c>
      <c r="N34" cm="1">
        <f t="array" ref="N34">INDEX('2 过程管理表单'!$58:$58,26+(COLUMN(L1)-1)*3)</f>
        <v>3667.39051094891</v>
      </c>
    </row>
    <row r="35" spans="1:14">
      <c r="A35" t="s">
        <v>5684</v>
      </c>
      <c r="B35" t="s">
        <v>5666</v>
      </c>
      <c r="C35">
        <f t="shared" si="20"/>
        <v>3667.39051094891</v>
      </c>
      <c r="D35">
        <f t="shared" ref="D35:N35" si="22">C35+D34</f>
        <v>6979.87226277373</v>
      </c>
      <c r="E35">
        <f t="shared" si="22"/>
        <v>10647.2627737226</v>
      </c>
      <c r="F35">
        <f t="shared" si="22"/>
        <v>14196.3503649635</v>
      </c>
      <c r="G35">
        <f t="shared" si="22"/>
        <v>17863.7408759124</v>
      </c>
      <c r="H35">
        <f t="shared" si="22"/>
        <v>21412.8284671533</v>
      </c>
      <c r="I35">
        <f t="shared" si="22"/>
        <v>25080.2189781022</v>
      </c>
      <c r="J35">
        <f t="shared" si="22"/>
        <v>28747.6094890511</v>
      </c>
      <c r="K35">
        <f t="shared" si="22"/>
        <v>32296.697080292</v>
      </c>
      <c r="L35">
        <f t="shared" si="22"/>
        <v>35964.0875912409</v>
      </c>
      <c r="M35">
        <f t="shared" si="22"/>
        <v>39513.1751824818</v>
      </c>
      <c r="N35">
        <f t="shared" si="22"/>
        <v>43180.5656934307</v>
      </c>
    </row>
    <row r="36" spans="1:14">
      <c r="A36" t="s">
        <v>5684</v>
      </c>
      <c r="B36" t="s">
        <v>5667</v>
      </c>
      <c r="C36" cm="1">
        <f t="array" ref="C36">INDEX('2 过程管理表单'!$58:$58,24+(COLUMN(A1)-1)*3)</f>
        <v>18867.92416</v>
      </c>
      <c r="D36" cm="1">
        <f t="array" ref="D36">INDEX('2 过程管理表单'!$58:$58,24+(COLUMN(B1)-1)*3)</f>
        <v>18867.92416</v>
      </c>
      <c r="E36" cm="1">
        <f t="array" ref="E36">INDEX('2 过程管理表单'!$58:$58,24+(COLUMN(C1)-1)*3)</f>
        <v>18867.92416</v>
      </c>
      <c r="F36" cm="1">
        <f t="array" ref="F36">INDEX('2 过程管理表单'!$58:$58,24+(COLUMN(D1)-1)*3)</f>
        <v>18867.92416</v>
      </c>
      <c r="G36" cm="1">
        <f t="array" ref="G36">INDEX('2 过程管理表单'!$58:$58,24+(COLUMN(E1)-1)*3)</f>
        <v>18867.92416</v>
      </c>
      <c r="H36" cm="1">
        <f t="array" ref="H36">INDEX('2 过程管理表单'!$58:$58,24+(COLUMN(F1)-1)*3)</f>
        <v>18867.92416</v>
      </c>
      <c r="I36" cm="1">
        <f t="array" ref="I36">INDEX('2 过程管理表单'!$58:$58,24+(COLUMN(G1)-1)*3)</f>
        <v>18867.92416</v>
      </c>
      <c r="J36" cm="1">
        <f t="array" ref="J36">INDEX('2 过程管理表单'!$58:$58,24+(COLUMN(H1)-1)*3)</f>
        <v>18867.92416</v>
      </c>
      <c r="K36" cm="1">
        <f t="array" ref="K36">INDEX('2 过程管理表单'!$58:$58,24+(COLUMN(I1)-1)*3)</f>
        <v>18867.92416</v>
      </c>
      <c r="L36" cm="1">
        <f t="array" ref="L36">INDEX('2 过程管理表单'!$58:$58,24+(COLUMN(J1)-1)*3)</f>
        <v>18867.92416</v>
      </c>
      <c r="M36" cm="1">
        <f t="array" ref="M36">INDEX('2 过程管理表单'!$58:$58,24+(COLUMN(K1)-1)*3)</f>
        <v>18867.92416</v>
      </c>
      <c r="N36" cm="1">
        <f t="array" ref="N36">INDEX('2 过程管理表单'!$58:$58,24+(COLUMN(L1)-1)*3)</f>
        <v>18867.92416</v>
      </c>
    </row>
    <row r="37" spans="1:14">
      <c r="A37" t="s">
        <v>5684</v>
      </c>
      <c r="B37" t="s">
        <v>5668</v>
      </c>
      <c r="C37">
        <f t="shared" si="20"/>
        <v>18867.92416</v>
      </c>
      <c r="D37">
        <f t="shared" ref="D37:N37" si="23">C37+D36</f>
        <v>37735.84832</v>
      </c>
      <c r="E37">
        <f t="shared" si="23"/>
        <v>56603.77248</v>
      </c>
      <c r="F37">
        <f t="shared" si="23"/>
        <v>75471.69664</v>
      </c>
      <c r="G37">
        <f t="shared" si="23"/>
        <v>94339.6208</v>
      </c>
      <c r="H37">
        <f t="shared" si="23"/>
        <v>113207.54496</v>
      </c>
      <c r="I37">
        <f t="shared" si="23"/>
        <v>132075.46912</v>
      </c>
      <c r="J37">
        <f t="shared" si="23"/>
        <v>150943.39328</v>
      </c>
      <c r="K37">
        <f t="shared" si="23"/>
        <v>169811.31744</v>
      </c>
      <c r="L37">
        <f t="shared" si="23"/>
        <v>188679.2416</v>
      </c>
      <c r="M37">
        <f t="shared" si="23"/>
        <v>207547.16576</v>
      </c>
      <c r="N37">
        <f t="shared" si="23"/>
        <v>226415.08992</v>
      </c>
    </row>
    <row r="38" spans="1:14">
      <c r="A38" t="s">
        <v>5685</v>
      </c>
      <c r="B38" t="s">
        <v>5665</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5685</v>
      </c>
      <c r="B39" t="s">
        <v>5666</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5685</v>
      </c>
      <c r="B40" t="s">
        <v>5667</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5685</v>
      </c>
      <c r="B41" t="s">
        <v>5668</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5686</v>
      </c>
      <c r="B42" t="s">
        <v>5665</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5686</v>
      </c>
      <c r="B43" t="s">
        <v>5666</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5686</v>
      </c>
      <c r="B44" t="s">
        <v>5667</v>
      </c>
      <c r="C44" cm="1">
        <f t="array" ref="C44">INDEX('2 过程管理表单'!$71:$71,24+(COLUMN(A1)-1)*3)</f>
        <v>18459</v>
      </c>
      <c r="D44" cm="1">
        <f t="array" ref="D44">INDEX('2 过程管理表单'!$71:$71,24+(COLUMN(B1)-1)*3)</f>
        <v>18459</v>
      </c>
      <c r="E44" cm="1">
        <f t="array" ref="E44">INDEX('2 过程管理表单'!$71:$71,24+(COLUMN(C1)-1)*3)</f>
        <v>18459</v>
      </c>
      <c r="F44" cm="1">
        <f t="array" ref="F44">INDEX('2 过程管理表单'!$71:$71,24+(COLUMN(D1)-1)*3)</f>
        <v>18459</v>
      </c>
      <c r="G44" cm="1">
        <f t="array" ref="G44">INDEX('2 过程管理表单'!$71:$71,24+(COLUMN(E1)-1)*3)</f>
        <v>18459</v>
      </c>
      <c r="H44" cm="1">
        <f t="array" ref="H44">INDEX('2 过程管理表单'!$71:$71,24+(COLUMN(F1)-1)*3)</f>
        <v>18459</v>
      </c>
      <c r="I44" cm="1">
        <f t="array" ref="I44">INDEX('2 过程管理表单'!$71:$71,24+(COLUMN(G1)-1)*3)</f>
        <v>18459</v>
      </c>
      <c r="J44" cm="1">
        <f t="array" ref="J44">INDEX('2 过程管理表单'!$71:$71,24+(COLUMN(H1)-1)*3)</f>
        <v>18459</v>
      </c>
      <c r="K44" cm="1">
        <f t="array" ref="K44">INDEX('2 过程管理表单'!$71:$71,24+(COLUMN(I1)-1)*3)</f>
        <v>18459</v>
      </c>
      <c r="L44" cm="1">
        <f t="array" ref="L44">INDEX('2 过程管理表单'!$71:$71,24+(COLUMN(J1)-1)*3)</f>
        <v>18459</v>
      </c>
      <c r="M44" cm="1">
        <f t="array" ref="M44">INDEX('2 过程管理表单'!$71:$71,24+(COLUMN(K1)-1)*3)</f>
        <v>18459</v>
      </c>
      <c r="N44" cm="1">
        <f t="array" ref="N44">INDEX('2 过程管理表单'!$71:$71,24+(COLUMN(L1)-1)*3)</f>
        <v>18459</v>
      </c>
    </row>
    <row r="45" spans="1:14">
      <c r="A45" t="s">
        <v>5686</v>
      </c>
      <c r="B45" t="s">
        <v>5668</v>
      </c>
      <c r="C45">
        <f t="shared" ref="C45:C49" si="28">C44</f>
        <v>18459</v>
      </c>
      <c r="D45">
        <f t="shared" ref="D45:N45" si="29">C45+D44</f>
        <v>36918</v>
      </c>
      <c r="E45">
        <f t="shared" si="29"/>
        <v>55377</v>
      </c>
      <c r="F45">
        <f t="shared" si="29"/>
        <v>73836</v>
      </c>
      <c r="G45">
        <f t="shared" si="29"/>
        <v>92295</v>
      </c>
      <c r="H45">
        <f t="shared" si="29"/>
        <v>110754</v>
      </c>
      <c r="I45">
        <f t="shared" si="29"/>
        <v>129213</v>
      </c>
      <c r="J45">
        <f t="shared" si="29"/>
        <v>147672</v>
      </c>
      <c r="K45">
        <f t="shared" si="29"/>
        <v>166131</v>
      </c>
      <c r="L45">
        <f t="shared" si="29"/>
        <v>184590</v>
      </c>
      <c r="M45">
        <f t="shared" si="29"/>
        <v>203049</v>
      </c>
      <c r="N45">
        <f t="shared" si="29"/>
        <v>221508</v>
      </c>
    </row>
    <row r="46" spans="1:14">
      <c r="A46" t="s">
        <v>5687</v>
      </c>
      <c r="B46" t="s">
        <v>5665</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5687</v>
      </c>
      <c r="B47" t="s">
        <v>5666</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5687</v>
      </c>
      <c r="B48" t="s">
        <v>5667</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5687</v>
      </c>
      <c r="B49" t="s">
        <v>5668</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5688</v>
      </c>
      <c r="B50" t="s">
        <v>5665</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5688</v>
      </c>
      <c r="B51" t="s">
        <v>5666</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5688</v>
      </c>
      <c r="B52" t="s">
        <v>5667</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5688</v>
      </c>
      <c r="B53" t="s">
        <v>5668</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5689</v>
      </c>
      <c r="B54" t="s">
        <v>5665</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5689</v>
      </c>
      <c r="B55" t="s">
        <v>5666</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5689</v>
      </c>
      <c r="B56" t="s">
        <v>5667</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5689</v>
      </c>
      <c r="B57" t="s">
        <v>5668</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5690</v>
      </c>
      <c r="B58" t="s">
        <v>5665</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5690</v>
      </c>
      <c r="B59" t="s">
        <v>5666</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5690</v>
      </c>
      <c r="B60" t="s">
        <v>5667</v>
      </c>
      <c r="C60" cm="1">
        <f t="array" ref="C60">INDEX('2 过程管理表单'!$96:$96,24+(COLUMN(A1)-1)*3)</f>
        <v>3459.999998</v>
      </c>
      <c r="D60" cm="1">
        <f t="array" ref="D60">INDEX('2 过程管理表单'!$96:$96,24+(COLUMN(B1)-1)*3)</f>
        <v>3459.999998</v>
      </c>
      <c r="E60" cm="1">
        <f t="array" ref="E60">INDEX('2 过程管理表单'!$96:$96,24+(COLUMN(C1)-1)*3)</f>
        <v>3459.999998</v>
      </c>
      <c r="F60" cm="1">
        <f t="array" ref="F60">INDEX('2 过程管理表单'!$96:$96,24+(COLUMN(D1)-1)*3)</f>
        <v>3459.999998</v>
      </c>
      <c r="G60" cm="1">
        <f t="array" ref="G60">INDEX('2 过程管理表单'!$96:$96,24+(COLUMN(E1)-1)*3)</f>
        <v>3459.999998</v>
      </c>
      <c r="H60" cm="1">
        <f t="array" ref="H60">INDEX('2 过程管理表单'!$96:$96,24+(COLUMN(F1)-1)*3)</f>
        <v>3459.999998</v>
      </c>
      <c r="I60" cm="1">
        <f t="array" ref="I60">INDEX('2 过程管理表单'!$96:$96,24+(COLUMN(G1)-1)*3)</f>
        <v>3459.999998</v>
      </c>
      <c r="J60" cm="1">
        <f t="array" ref="J60">INDEX('2 过程管理表单'!$96:$96,24+(COLUMN(H1)-1)*3)</f>
        <v>3459.999998</v>
      </c>
      <c r="K60" cm="1">
        <f t="array" ref="K60">INDEX('2 过程管理表单'!$96:$96,24+(COLUMN(I1)-1)*3)</f>
        <v>3459.999998</v>
      </c>
      <c r="L60" cm="1">
        <f t="array" ref="L60">INDEX('2 过程管理表单'!$96:$96,24+(COLUMN(J1)-1)*3)</f>
        <v>3459.999998</v>
      </c>
      <c r="M60" cm="1">
        <f t="array" ref="M60">INDEX('2 过程管理表单'!$96:$96,24+(COLUMN(K1)-1)*3)</f>
        <v>3459.999998</v>
      </c>
      <c r="N60" cm="1">
        <f t="array" ref="N60">INDEX('2 过程管理表单'!$96:$96,24+(COLUMN(L1)-1)*3)</f>
        <v>3459.999998</v>
      </c>
    </row>
    <row r="61" spans="1:14">
      <c r="A61" t="s">
        <v>5690</v>
      </c>
      <c r="B61" t="s">
        <v>5668</v>
      </c>
      <c r="C61">
        <f t="shared" si="36"/>
        <v>3459.999998</v>
      </c>
      <c r="D61">
        <f t="shared" ref="D61:N61" si="39">C61+D60</f>
        <v>6919.999996</v>
      </c>
      <c r="E61">
        <f t="shared" si="39"/>
        <v>10379.999994</v>
      </c>
      <c r="F61">
        <f t="shared" si="39"/>
        <v>13839.999992</v>
      </c>
      <c r="G61">
        <f t="shared" si="39"/>
        <v>17299.99999</v>
      </c>
      <c r="H61">
        <f t="shared" si="39"/>
        <v>20759.999988</v>
      </c>
      <c r="I61">
        <f t="shared" si="39"/>
        <v>24219.999986</v>
      </c>
      <c r="J61">
        <f t="shared" si="39"/>
        <v>27679.999984</v>
      </c>
      <c r="K61">
        <f t="shared" si="39"/>
        <v>31139.999982</v>
      </c>
      <c r="L61">
        <f t="shared" si="39"/>
        <v>34599.99998</v>
      </c>
      <c r="M61">
        <f t="shared" si="39"/>
        <v>38059.999978</v>
      </c>
      <c r="N61">
        <f t="shared" si="39"/>
        <v>41519.999976</v>
      </c>
    </row>
    <row r="62" spans="1:14">
      <c r="A62" t="s">
        <v>5691</v>
      </c>
      <c r="B62" t="s">
        <v>5665</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5691</v>
      </c>
      <c r="B63" t="s">
        <v>5666</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5691</v>
      </c>
      <c r="B64" t="s">
        <v>5667</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5691</v>
      </c>
      <c r="B65" t="s">
        <v>5668</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5692</v>
      </c>
      <c r="B66" t="s">
        <v>5665</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5692</v>
      </c>
      <c r="B67" t="s">
        <v>5666</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5692</v>
      </c>
      <c r="B68" t="s">
        <v>5667</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5692</v>
      </c>
      <c r="B69" t="s">
        <v>5668</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5693</v>
      </c>
      <c r="B70" t="s">
        <v>5665</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5693</v>
      </c>
      <c r="B71" t="s">
        <v>5666</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5693</v>
      </c>
      <c r="B72" t="s">
        <v>5667</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5693</v>
      </c>
      <c r="B73" t="s">
        <v>5668</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5694</v>
      </c>
      <c r="B74" t="s">
        <v>5665</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5694</v>
      </c>
      <c r="B75" t="s">
        <v>5666</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5694</v>
      </c>
      <c r="B76" t="s">
        <v>5667</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5694</v>
      </c>
      <c r="B77" t="s">
        <v>5668</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5695</v>
      </c>
      <c r="B78" t="s">
        <v>5665</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5695</v>
      </c>
      <c r="B79" t="s">
        <v>5666</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5695</v>
      </c>
      <c r="B80" t="s">
        <v>5667</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5695</v>
      </c>
      <c r="B81" t="s">
        <v>5668</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5696</v>
      </c>
      <c r="B82" t="s">
        <v>5665</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5696</v>
      </c>
      <c r="B83" t="s">
        <v>5666</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5696</v>
      </c>
      <c r="B84" t="s">
        <v>5667</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5696</v>
      </c>
      <c r="B85" t="s">
        <v>5668</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5697</v>
      </c>
      <c r="B86" t="s">
        <v>5665</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5697</v>
      </c>
      <c r="B87" t="s">
        <v>5666</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5697</v>
      </c>
      <c r="B88" t="s">
        <v>5667</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5697</v>
      </c>
      <c r="B89" t="s">
        <v>5668</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5698</v>
      </c>
      <c r="B90" t="s">
        <v>5665</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5698</v>
      </c>
      <c r="B91" t="s">
        <v>5666</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5698</v>
      </c>
      <c r="B92" t="s">
        <v>5667</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5698</v>
      </c>
      <c r="B93" t="s">
        <v>5668</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5699</v>
      </c>
      <c r="B94" t="s">
        <v>5665</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5699</v>
      </c>
      <c r="B95" t="s">
        <v>5666</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5699</v>
      </c>
      <c r="B96" t="s">
        <v>5667</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5699</v>
      </c>
      <c r="B97" t="s">
        <v>5668</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5700</v>
      </c>
      <c r="B98" t="s">
        <v>5665</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5700</v>
      </c>
      <c r="B99" t="s">
        <v>5666</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5700</v>
      </c>
      <c r="B100" t="s">
        <v>5667</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5700</v>
      </c>
      <c r="B101" t="s">
        <v>5668</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5701</v>
      </c>
      <c r="B102" t="s">
        <v>5665</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5701</v>
      </c>
      <c r="B103" t="s">
        <v>5666</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5701</v>
      </c>
      <c r="B104" t="s">
        <v>5667</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5701</v>
      </c>
      <c r="B105" t="s">
        <v>5668</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5702</v>
      </c>
      <c r="B106" t="s">
        <v>5665</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0.0821917808219178</v>
      </c>
      <c r="I106" cm="1">
        <f t="array" ref="I106">INDEX('2 过程管理表单'!$171:$171,26+(COLUMN(G1)-1)*3)</f>
        <v>0.0849315068493151</v>
      </c>
      <c r="J106" cm="1">
        <f t="array" ref="J106">INDEX('2 过程管理表单'!$171:$171,26+(COLUMN(H1)-1)*3)</f>
        <v>0.0849315068493151</v>
      </c>
      <c r="K106" cm="1">
        <f t="array" ref="K106">INDEX('2 过程管理表单'!$171:$171,26+(COLUMN(I1)-1)*3)</f>
        <v>0.0821917808219178</v>
      </c>
      <c r="L106" cm="1">
        <f t="array" ref="L106">INDEX('2 过程管理表单'!$171:$171,26+(COLUMN(J1)-1)*3)</f>
        <v>0.0849315068493151</v>
      </c>
      <c r="M106" cm="1">
        <f t="array" ref="M106">INDEX('2 过程管理表单'!$171:$171,26+(COLUMN(K1)-1)*3)</f>
        <v>0.0821917808219178</v>
      </c>
      <c r="N106" cm="1">
        <f t="array" ref="N106">INDEX('2 过程管理表单'!$171:$171,26+(COLUMN(L1)-1)*3)</f>
        <v>0.0849315068493151</v>
      </c>
    </row>
    <row r="107" spans="1:14">
      <c r="A107" t="s">
        <v>5702</v>
      </c>
      <c r="B107" t="s">
        <v>5666</v>
      </c>
      <c r="C107">
        <f t="shared" si="68"/>
        <v>0</v>
      </c>
      <c r="D107">
        <f t="shared" ref="D107:N107" si="70">C107+D106</f>
        <v>0</v>
      </c>
      <c r="E107">
        <f t="shared" si="70"/>
        <v>0</v>
      </c>
      <c r="F107">
        <f t="shared" si="70"/>
        <v>0</v>
      </c>
      <c r="G107">
        <f t="shared" si="70"/>
        <v>0</v>
      </c>
      <c r="H107">
        <f t="shared" si="70"/>
        <v>0.0821917808219178</v>
      </c>
      <c r="I107">
        <f t="shared" si="70"/>
        <v>0.167123287671233</v>
      </c>
      <c r="J107">
        <f t="shared" si="70"/>
        <v>0.252054794520548</v>
      </c>
      <c r="K107">
        <f t="shared" si="70"/>
        <v>0.334246575342466</v>
      </c>
      <c r="L107">
        <f t="shared" si="70"/>
        <v>0.419178082191781</v>
      </c>
      <c r="M107">
        <f t="shared" si="70"/>
        <v>0.501369863013699</v>
      </c>
      <c r="N107">
        <f t="shared" si="70"/>
        <v>0.586301369863014</v>
      </c>
    </row>
    <row r="108" spans="1:14">
      <c r="A108" t="s">
        <v>5702</v>
      </c>
      <c r="B108" t="s">
        <v>5667</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5702</v>
      </c>
      <c r="B109" t="s">
        <v>5668</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5703</v>
      </c>
      <c r="B110" t="s">
        <v>5665</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5703</v>
      </c>
      <c r="B111" t="s">
        <v>5666</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5703</v>
      </c>
      <c r="B112" t="s">
        <v>5667</v>
      </c>
      <c r="C112">
        <f t="shared" ref="C112:N112" si="75">C4+C16+C28+C44+C60+C72+C88+C100</f>
        <v>213034.999998</v>
      </c>
      <c r="D112">
        <f t="shared" si="75"/>
        <v>202818.999998</v>
      </c>
      <c r="E112">
        <f t="shared" si="75"/>
        <v>205668.999998</v>
      </c>
      <c r="F112">
        <f t="shared" si="75"/>
        <v>202818.999998</v>
      </c>
      <c r="G112">
        <f t="shared" si="75"/>
        <v>209168.999998</v>
      </c>
      <c r="H112">
        <f t="shared" si="75"/>
        <v>202218.999998</v>
      </c>
      <c r="I112">
        <f t="shared" si="75"/>
        <v>201518.999998</v>
      </c>
      <c r="J112">
        <f t="shared" si="75"/>
        <v>205668.999998</v>
      </c>
      <c r="K112">
        <f t="shared" si="75"/>
        <v>207318.999998</v>
      </c>
      <c r="L112">
        <f t="shared" si="75"/>
        <v>205668.999998</v>
      </c>
      <c r="M112">
        <f t="shared" si="75"/>
        <v>201518.999998</v>
      </c>
      <c r="N112">
        <f t="shared" si="75"/>
        <v>201518.999998</v>
      </c>
    </row>
    <row r="113" spans="1:14">
      <c r="A113" t="s">
        <v>5703</v>
      </c>
      <c r="B113" t="s">
        <v>5668</v>
      </c>
      <c r="C113">
        <f t="shared" si="73"/>
        <v>213034.999998</v>
      </c>
      <c r="D113">
        <f t="shared" ref="D113:N113" si="76">C113+D112</f>
        <v>415853.999996</v>
      </c>
      <c r="E113">
        <f t="shared" si="76"/>
        <v>621522.999994</v>
      </c>
      <c r="F113">
        <f t="shared" si="76"/>
        <v>824341.999992</v>
      </c>
      <c r="G113">
        <f t="shared" si="76"/>
        <v>1033510.99999</v>
      </c>
      <c r="H113">
        <f t="shared" si="76"/>
        <v>1235729.999988</v>
      </c>
      <c r="I113">
        <f t="shared" si="76"/>
        <v>1437248.999986</v>
      </c>
      <c r="J113">
        <f t="shared" si="76"/>
        <v>1642917.999984</v>
      </c>
      <c r="K113">
        <f t="shared" si="76"/>
        <v>1850236.999982</v>
      </c>
      <c r="L113">
        <f t="shared" si="76"/>
        <v>2055905.99998</v>
      </c>
      <c r="M113">
        <f t="shared" si="76"/>
        <v>2257424.999978</v>
      </c>
      <c r="N113">
        <f t="shared" si="76"/>
        <v>2458943.999976</v>
      </c>
    </row>
    <row r="114" spans="1:14">
      <c r="A114" t="s">
        <v>5704</v>
      </c>
      <c r="B114" t="s">
        <v>5665</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5704</v>
      </c>
      <c r="B115" t="s">
        <v>5666</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5704</v>
      </c>
      <c r="B116" t="s">
        <v>5667</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5704</v>
      </c>
      <c r="B117" t="s">
        <v>5668</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5705</v>
      </c>
      <c r="B118" t="s">
        <v>5665</v>
      </c>
      <c r="C118">
        <f t="shared" ref="C118:N118" si="82">C10+C22+C34+C38+C50+C54+C66+C78+C82+C94+C106</f>
        <v>3667.39051094891</v>
      </c>
      <c r="D118">
        <f t="shared" si="82"/>
        <v>3312.48175182482</v>
      </c>
      <c r="E118">
        <f t="shared" si="82"/>
        <v>3667.39051094891</v>
      </c>
      <c r="F118">
        <f t="shared" si="82"/>
        <v>3549.08759124088</v>
      </c>
      <c r="G118">
        <f t="shared" si="82"/>
        <v>3667.39051094891</v>
      </c>
      <c r="H118">
        <f t="shared" si="82"/>
        <v>3549.1697830217</v>
      </c>
      <c r="I118">
        <f t="shared" si="82"/>
        <v>3667.47544245576</v>
      </c>
      <c r="J118">
        <f t="shared" si="82"/>
        <v>3667.47544245576</v>
      </c>
      <c r="K118">
        <f t="shared" si="82"/>
        <v>3549.1697830217</v>
      </c>
      <c r="L118">
        <f t="shared" si="82"/>
        <v>3667.47544245576</v>
      </c>
      <c r="M118">
        <f t="shared" si="82"/>
        <v>3549.1697830217</v>
      </c>
      <c r="N118">
        <f t="shared" si="82"/>
        <v>3667.47544245576</v>
      </c>
    </row>
    <row r="119" spans="1:14">
      <c r="A119" t="s">
        <v>5705</v>
      </c>
      <c r="B119" t="s">
        <v>5666</v>
      </c>
      <c r="C119">
        <f t="shared" si="80"/>
        <v>3667.39051094891</v>
      </c>
      <c r="D119">
        <f t="shared" ref="D119:N119" si="83">C119+D118</f>
        <v>6979.87226277373</v>
      </c>
      <c r="E119">
        <f t="shared" si="83"/>
        <v>10647.2627737226</v>
      </c>
      <c r="F119">
        <f t="shared" si="83"/>
        <v>14196.3503649635</v>
      </c>
      <c r="G119">
        <f t="shared" si="83"/>
        <v>17863.7408759124</v>
      </c>
      <c r="H119">
        <f t="shared" si="83"/>
        <v>21412.9106589341</v>
      </c>
      <c r="I119">
        <f t="shared" si="83"/>
        <v>25080.3861013899</v>
      </c>
      <c r="J119">
        <f t="shared" si="83"/>
        <v>28747.8615438457</v>
      </c>
      <c r="K119">
        <f t="shared" si="83"/>
        <v>32297.0313268674</v>
      </c>
      <c r="L119">
        <f t="shared" si="83"/>
        <v>35964.5067693231</v>
      </c>
      <c r="M119">
        <f t="shared" si="83"/>
        <v>39513.6765523448</v>
      </c>
      <c r="N119">
        <f t="shared" si="83"/>
        <v>43181.1519948006</v>
      </c>
    </row>
    <row r="120" spans="1:14">
      <c r="A120" t="s">
        <v>5705</v>
      </c>
      <c r="B120" t="s">
        <v>5667</v>
      </c>
      <c r="C120">
        <f t="shared" ref="C120:N120" si="84">C12+C24+C36+C40+C52+C56+C80+C84+C68+C96+C108</f>
        <v>18867.92416</v>
      </c>
      <c r="D120">
        <f t="shared" si="84"/>
        <v>18867.92416</v>
      </c>
      <c r="E120">
        <f t="shared" si="84"/>
        <v>18867.92416</v>
      </c>
      <c r="F120">
        <f t="shared" si="84"/>
        <v>18867.92416</v>
      </c>
      <c r="G120">
        <f t="shared" si="84"/>
        <v>18867.92416</v>
      </c>
      <c r="H120">
        <f t="shared" si="84"/>
        <v>18867.92416</v>
      </c>
      <c r="I120">
        <f t="shared" si="84"/>
        <v>18867.92416</v>
      </c>
      <c r="J120">
        <f t="shared" si="84"/>
        <v>18867.92416</v>
      </c>
      <c r="K120">
        <f t="shared" si="84"/>
        <v>18867.92416</v>
      </c>
      <c r="L120">
        <f t="shared" si="84"/>
        <v>18867.92416</v>
      </c>
      <c r="M120">
        <f t="shared" si="84"/>
        <v>18867.92416</v>
      </c>
      <c r="N120">
        <f t="shared" si="84"/>
        <v>18867.92416</v>
      </c>
    </row>
    <row r="121" spans="1:14">
      <c r="A121" t="s">
        <v>5705</v>
      </c>
      <c r="B121" t="s">
        <v>5668</v>
      </c>
      <c r="C121">
        <f t="shared" si="80"/>
        <v>18867.92416</v>
      </c>
      <c r="D121">
        <f t="shared" ref="D121:N121" si="85">C121+D120</f>
        <v>37735.84832</v>
      </c>
      <c r="E121">
        <f t="shared" si="85"/>
        <v>56603.77248</v>
      </c>
      <c r="F121">
        <f t="shared" si="85"/>
        <v>75471.69664</v>
      </c>
      <c r="G121">
        <f t="shared" si="85"/>
        <v>94339.6208</v>
      </c>
      <c r="H121">
        <f t="shared" si="85"/>
        <v>113207.54496</v>
      </c>
      <c r="I121">
        <f t="shared" si="85"/>
        <v>132075.46912</v>
      </c>
      <c r="J121">
        <f t="shared" si="85"/>
        <v>150943.39328</v>
      </c>
      <c r="K121">
        <f t="shared" si="85"/>
        <v>169811.31744</v>
      </c>
      <c r="L121">
        <f t="shared" si="85"/>
        <v>188679.2416</v>
      </c>
      <c r="M121">
        <f t="shared" si="85"/>
        <v>207547.16576</v>
      </c>
      <c r="N121">
        <f t="shared" si="85"/>
        <v>226415.08992</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4"/>
  <cols>
    <col min="1" max="1" width="15.8727272727273" customWidth="1"/>
    <col min="2" max="2" width="14" customWidth="1"/>
    <col min="4" max="4" width="10.5454545454545"/>
    <col min="5" max="14" width="10.3727272727273"/>
  </cols>
  <sheetData>
    <row r="1" customFormat="1" spans="1:14">
      <c r="A1" t="s">
        <v>5706</v>
      </c>
      <c r="C1" t="s">
        <v>714</v>
      </c>
      <c r="D1" t="s">
        <v>715</v>
      </c>
      <c r="E1" t="s">
        <v>716</v>
      </c>
      <c r="F1" t="s">
        <v>717</v>
      </c>
      <c r="G1" t="s">
        <v>718</v>
      </c>
      <c r="H1" t="s">
        <v>719</v>
      </c>
      <c r="I1" t="s">
        <v>720</v>
      </c>
      <c r="J1" t="s">
        <v>721</v>
      </c>
      <c r="K1" t="s">
        <v>722</v>
      </c>
      <c r="L1" t="s">
        <v>723</v>
      </c>
      <c r="M1" t="s">
        <v>724</v>
      </c>
      <c r="N1" t="s">
        <v>725</v>
      </c>
    </row>
    <row r="2" spans="1:14">
      <c r="A2" t="s">
        <v>138</v>
      </c>
      <c r="B2" t="s">
        <v>5665</v>
      </c>
      <c r="C2">
        <f>SUM(物资过程计算表!D2:D15)</f>
        <v>0</v>
      </c>
      <c r="D2">
        <f>SUM(物资过程计算表!E2:E15)</f>
        <v>0</v>
      </c>
      <c r="E2">
        <f>SUM(物资过程计算表!F2:F15)</f>
        <v>4711.6</v>
      </c>
      <c r="F2">
        <f>SUM(物资过程计算表!G2:G15)</f>
        <v>0</v>
      </c>
      <c r="G2">
        <f>SUM(物资过程计算表!H2:H15)</f>
        <v>0</v>
      </c>
      <c r="H2">
        <f>SUM(物资过程计算表!I2:I15)</f>
        <v>4711.6</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5666</v>
      </c>
      <c r="C3">
        <f t="shared" ref="C3:C7" si="0">C2</f>
        <v>0</v>
      </c>
      <c r="D3">
        <f t="shared" ref="D3:N3" si="1">C3+D2</f>
        <v>0</v>
      </c>
      <c r="E3">
        <f t="shared" si="1"/>
        <v>4711.6</v>
      </c>
      <c r="F3">
        <f t="shared" si="1"/>
        <v>4711.6</v>
      </c>
      <c r="G3">
        <f t="shared" si="1"/>
        <v>4711.6</v>
      </c>
      <c r="H3">
        <f t="shared" si="1"/>
        <v>9423.2</v>
      </c>
      <c r="I3">
        <f t="shared" si="1"/>
        <v>9423.2</v>
      </c>
      <c r="J3">
        <f t="shared" si="1"/>
        <v>9423.2</v>
      </c>
      <c r="K3">
        <f t="shared" si="1"/>
        <v>9423.2</v>
      </c>
      <c r="L3">
        <f t="shared" si="1"/>
        <v>9423.2</v>
      </c>
      <c r="M3">
        <f t="shared" si="1"/>
        <v>9423.2</v>
      </c>
      <c r="N3">
        <f t="shared" si="1"/>
        <v>9423.2</v>
      </c>
    </row>
    <row r="4" spans="1:14">
      <c r="A4" t="s">
        <v>2274</v>
      </c>
      <c r="B4" t="s">
        <v>5665</v>
      </c>
      <c r="C4">
        <f>SUM(物资过程计算表!D16:D28,物资过程计算表!D521:D531)</f>
        <v>138</v>
      </c>
      <c r="D4">
        <f>SUM(物资过程计算表!E16:E28,物资过程计算表!E521:E531)</f>
        <v>0</v>
      </c>
      <c r="E4">
        <f>SUM(物资过程计算表!F16:F28,物资过程计算表!F521:F531)</f>
        <v>140</v>
      </c>
      <c r="F4">
        <f>SUM(物资过程计算表!G16:G28,物资过程计算表!G521:G531)</f>
        <v>0</v>
      </c>
      <c r="G4">
        <f>SUM(物资过程计算表!H16:H28,物资过程计算表!H521:H531)</f>
        <v>138</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2274</v>
      </c>
      <c r="B5" t="s">
        <v>5666</v>
      </c>
      <c r="C5">
        <f t="shared" si="0"/>
        <v>138</v>
      </c>
      <c r="D5">
        <f t="shared" ref="D5:N5" si="2">C5+D4</f>
        <v>138</v>
      </c>
      <c r="E5">
        <f t="shared" si="2"/>
        <v>278</v>
      </c>
      <c r="F5">
        <f t="shared" si="2"/>
        <v>278</v>
      </c>
      <c r="G5">
        <f t="shared" si="2"/>
        <v>416</v>
      </c>
      <c r="H5">
        <f t="shared" si="2"/>
        <v>416</v>
      </c>
      <c r="I5">
        <f t="shared" si="2"/>
        <v>416</v>
      </c>
      <c r="J5">
        <f t="shared" si="2"/>
        <v>416</v>
      </c>
      <c r="K5">
        <f t="shared" si="2"/>
        <v>416</v>
      </c>
      <c r="L5">
        <f t="shared" si="2"/>
        <v>416</v>
      </c>
      <c r="M5">
        <f t="shared" si="2"/>
        <v>416</v>
      </c>
      <c r="N5">
        <f t="shared" si="2"/>
        <v>416</v>
      </c>
    </row>
    <row r="6" spans="1:14">
      <c r="A6" t="s">
        <v>4813</v>
      </c>
      <c r="B6" t="s">
        <v>5665</v>
      </c>
      <c r="C6">
        <f>SUM(物资过程计算表!D29:D90,物资过程计算表!D934)</f>
        <v>0</v>
      </c>
      <c r="D6">
        <f>SUM(物资过程计算表!E29:E90,物资过程计算表!E934)</f>
        <v>0</v>
      </c>
      <c r="E6">
        <f>SUM(物资过程计算表!F29:F90,物资过程计算表!F934)</f>
        <v>40828.4</v>
      </c>
      <c r="F6">
        <f>SUM(物资过程计算表!G29:G90,物资过程计算表!G934)</f>
        <v>0</v>
      </c>
      <c r="G6">
        <f>SUM(物资过程计算表!H29:H90,物资过程计算表!H934)</f>
        <v>8666</v>
      </c>
      <c r="H6">
        <f>SUM(物资过程计算表!I29:I90,物资过程计算表!I934)</f>
        <v>38617.92</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4813</v>
      </c>
      <c r="B7" t="s">
        <v>5666</v>
      </c>
      <c r="C7">
        <f t="shared" si="0"/>
        <v>0</v>
      </c>
      <c r="D7">
        <f t="shared" ref="D7:N7" si="3">C7+D6</f>
        <v>0</v>
      </c>
      <c r="E7">
        <f t="shared" si="3"/>
        <v>40828.4</v>
      </c>
      <c r="F7">
        <f t="shared" si="3"/>
        <v>40828.4</v>
      </c>
      <c r="G7">
        <f t="shared" si="3"/>
        <v>49494.4</v>
      </c>
      <c r="H7">
        <f t="shared" si="3"/>
        <v>88112.32</v>
      </c>
      <c r="I7">
        <f t="shared" si="3"/>
        <v>88112.32</v>
      </c>
      <c r="J7">
        <f t="shared" si="3"/>
        <v>88112.32</v>
      </c>
      <c r="K7">
        <f t="shared" si="3"/>
        <v>88112.32</v>
      </c>
      <c r="L7">
        <f t="shared" si="3"/>
        <v>88112.32</v>
      </c>
      <c r="M7">
        <f t="shared" si="3"/>
        <v>88112.32</v>
      </c>
      <c r="N7">
        <f t="shared" si="3"/>
        <v>88112.32</v>
      </c>
    </row>
    <row r="8" spans="1:14">
      <c r="A8" t="s">
        <v>2019</v>
      </c>
      <c r="B8" t="s">
        <v>5665</v>
      </c>
      <c r="C8">
        <f>SUM(物资过程计算表!D91:D520,物资过程计算表!D935:D952)</f>
        <v>401.1</v>
      </c>
      <c r="D8">
        <f>SUM(物资过程计算表!E91:E520,物资过程计算表!E935:E952)</f>
        <v>0</v>
      </c>
      <c r="E8">
        <f>SUM(物资过程计算表!F91:F520,物资过程计算表!F935:F952)</f>
        <v>932.97</v>
      </c>
      <c r="F8">
        <f>SUM(物资过程计算表!G91:G520,物资过程计算表!G935:G952)</f>
        <v>0</v>
      </c>
      <c r="G8">
        <f>SUM(物资过程计算表!H91:H520,物资过程计算表!H935:H952)</f>
        <v>0</v>
      </c>
      <c r="H8">
        <f>SUM(物资过程计算表!I91:I520,物资过程计算表!I935:I952)</f>
        <v>963.96</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2019</v>
      </c>
      <c r="B9" t="s">
        <v>5666</v>
      </c>
      <c r="C9">
        <f t="shared" ref="C9:C13" si="4">C8</f>
        <v>401.1</v>
      </c>
      <c r="D9">
        <f t="shared" ref="D9:N9" si="5">C9+D8</f>
        <v>401.1</v>
      </c>
      <c r="E9">
        <f t="shared" si="5"/>
        <v>1334.07</v>
      </c>
      <c r="F9">
        <f t="shared" si="5"/>
        <v>1334.07</v>
      </c>
      <c r="G9">
        <f t="shared" si="5"/>
        <v>1334.07</v>
      </c>
      <c r="H9">
        <f t="shared" si="5"/>
        <v>2298.03</v>
      </c>
      <c r="I9">
        <f t="shared" si="5"/>
        <v>2298.03</v>
      </c>
      <c r="J9">
        <f t="shared" si="5"/>
        <v>2298.03</v>
      </c>
      <c r="K9">
        <f t="shared" si="5"/>
        <v>2298.03</v>
      </c>
      <c r="L9">
        <f t="shared" si="5"/>
        <v>2298.03</v>
      </c>
      <c r="M9">
        <f t="shared" si="5"/>
        <v>2298.03</v>
      </c>
      <c r="N9">
        <f t="shared" si="5"/>
        <v>2298.03</v>
      </c>
    </row>
    <row r="10" spans="1:14">
      <c r="A10" t="s">
        <v>5272</v>
      </c>
      <c r="B10" t="s">
        <v>5665</v>
      </c>
      <c r="C10">
        <f>SUM(物资过程计算表!D532:D546,物资过程计算表!D852:D932)</f>
        <v>5236.3</v>
      </c>
      <c r="D10">
        <f>SUM(物资过程计算表!E532:E546,物资过程计算表!E852:E932)</f>
        <v>0</v>
      </c>
      <c r="E10">
        <f>SUM(物资过程计算表!F532:F546,物资过程计算表!F852:F932)</f>
        <v>109</v>
      </c>
      <c r="F10">
        <f>SUM(物资过程计算表!G532:G546,物资过程计算表!G852:G932)</f>
        <v>69</v>
      </c>
      <c r="G10">
        <f>SUM(物资过程计算表!H532:H546,物资过程计算表!H852:H932)</f>
        <v>5692</v>
      </c>
      <c r="H10">
        <f>SUM(物资过程计算表!I532:I546,物资过程计算表!I852:I932)</f>
        <v>9.2</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5272</v>
      </c>
      <c r="B11" t="s">
        <v>5666</v>
      </c>
      <c r="C11">
        <f t="shared" si="4"/>
        <v>5236.3</v>
      </c>
      <c r="D11">
        <f t="shared" ref="D11:N11" si="6">C11+D10</f>
        <v>5236.3</v>
      </c>
      <c r="E11">
        <f t="shared" si="6"/>
        <v>5345.3</v>
      </c>
      <c r="F11">
        <f t="shared" si="6"/>
        <v>5414.3</v>
      </c>
      <c r="G11">
        <f t="shared" si="6"/>
        <v>11106.3</v>
      </c>
      <c r="H11">
        <f t="shared" si="6"/>
        <v>11115.5</v>
      </c>
      <c r="I11">
        <f t="shared" si="6"/>
        <v>11115.5</v>
      </c>
      <c r="J11">
        <f t="shared" si="6"/>
        <v>11115.5</v>
      </c>
      <c r="K11">
        <f t="shared" si="6"/>
        <v>11115.5</v>
      </c>
      <c r="L11">
        <f t="shared" si="6"/>
        <v>11115.5</v>
      </c>
      <c r="M11">
        <f t="shared" si="6"/>
        <v>11115.5</v>
      </c>
      <c r="N11">
        <f t="shared" si="6"/>
        <v>11115.5</v>
      </c>
    </row>
    <row r="12" spans="1:14">
      <c r="A12" t="s">
        <v>5707</v>
      </c>
      <c r="B12" t="s">
        <v>5665</v>
      </c>
      <c r="C12">
        <f>SUM(物资过程计算表!D547:D604)</f>
        <v>0</v>
      </c>
      <c r="D12">
        <f>SUM(物资过程计算表!E547:E604)</f>
        <v>0</v>
      </c>
      <c r="E12">
        <f>SUM(物资过程计算表!F547:F604)</f>
        <v>0</v>
      </c>
      <c r="F12">
        <f>SUM(物资过程计算表!G547:G604)</f>
        <v>474.5</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5707</v>
      </c>
      <c r="B13" t="s">
        <v>5666</v>
      </c>
      <c r="C13">
        <f t="shared" si="4"/>
        <v>0</v>
      </c>
      <c r="D13">
        <f t="shared" ref="D13:N13" si="7">C13+D12</f>
        <v>0</v>
      </c>
      <c r="E13">
        <f t="shared" si="7"/>
        <v>0</v>
      </c>
      <c r="F13">
        <f t="shared" si="7"/>
        <v>474.5</v>
      </c>
      <c r="G13">
        <f t="shared" si="7"/>
        <v>474.5</v>
      </c>
      <c r="H13">
        <f t="shared" si="7"/>
        <v>474.5</v>
      </c>
      <c r="I13">
        <f t="shared" si="7"/>
        <v>474.5</v>
      </c>
      <c r="J13">
        <f t="shared" si="7"/>
        <v>474.5</v>
      </c>
      <c r="K13">
        <f t="shared" si="7"/>
        <v>474.5</v>
      </c>
      <c r="L13">
        <f t="shared" si="7"/>
        <v>474.5</v>
      </c>
      <c r="M13">
        <f t="shared" si="7"/>
        <v>474.5</v>
      </c>
      <c r="N13">
        <f t="shared" si="7"/>
        <v>474.5</v>
      </c>
    </row>
    <row r="14" spans="1:14">
      <c r="A14" t="s">
        <v>5708</v>
      </c>
      <c r="B14" t="s">
        <v>5665</v>
      </c>
      <c r="C14">
        <f>SUM(物资过程计算表!D605:D749)</f>
        <v>1097.57</v>
      </c>
      <c r="D14">
        <f>SUM(物资过程计算表!E605:E749)</f>
        <v>0</v>
      </c>
      <c r="E14">
        <f>SUM(物资过程计算表!F605:F749)</f>
        <v>271.32</v>
      </c>
      <c r="F14">
        <f>SUM(物资过程计算表!G605:G749)</f>
        <v>1013.81</v>
      </c>
      <c r="G14">
        <f>SUM(物资过程计算表!H605:H749)</f>
        <v>838</v>
      </c>
      <c r="H14">
        <f>SUM(物资过程计算表!I605:I749)</f>
        <v>489.19</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5708</v>
      </c>
      <c r="B15" t="s">
        <v>5666</v>
      </c>
      <c r="C15">
        <f t="shared" ref="C15:C19" si="8">C14</f>
        <v>1097.57</v>
      </c>
      <c r="D15">
        <f t="shared" ref="D15:N15" si="9">C15+D14</f>
        <v>1097.57</v>
      </c>
      <c r="E15">
        <f t="shared" si="9"/>
        <v>1368.89</v>
      </c>
      <c r="F15">
        <f t="shared" si="9"/>
        <v>2382.7</v>
      </c>
      <c r="G15">
        <f t="shared" si="9"/>
        <v>3220.7</v>
      </c>
      <c r="H15">
        <f t="shared" si="9"/>
        <v>3709.89</v>
      </c>
      <c r="I15">
        <f t="shared" si="9"/>
        <v>3709.89</v>
      </c>
      <c r="J15">
        <f t="shared" si="9"/>
        <v>3709.89</v>
      </c>
      <c r="K15">
        <f t="shared" si="9"/>
        <v>3709.89</v>
      </c>
      <c r="L15">
        <f t="shared" si="9"/>
        <v>3709.89</v>
      </c>
      <c r="M15">
        <f t="shared" si="9"/>
        <v>3709.89</v>
      </c>
      <c r="N15">
        <f t="shared" si="9"/>
        <v>3709.89</v>
      </c>
    </row>
    <row r="16" spans="1:14">
      <c r="A16" t="s">
        <v>5709</v>
      </c>
      <c r="B16" t="s">
        <v>5665</v>
      </c>
      <c r="C16">
        <f>SUM(物资过程计算表!D750:D807)</f>
        <v>270.86</v>
      </c>
      <c r="D16">
        <f>SUM(物资过程计算表!E750:E807)</f>
        <v>0</v>
      </c>
      <c r="E16">
        <f>SUM(物资过程计算表!F750:F807)</f>
        <v>34.25</v>
      </c>
      <c r="F16">
        <f>SUM(物资过程计算表!G750:G807)</f>
        <v>0</v>
      </c>
      <c r="G16">
        <f>SUM(物资过程计算表!H750:H807)</f>
        <v>0</v>
      </c>
      <c r="H16">
        <f>SUM(物资过程计算表!I750:I807)</f>
        <v>13.05</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5709</v>
      </c>
      <c r="B17" t="s">
        <v>5666</v>
      </c>
      <c r="C17">
        <f t="shared" si="8"/>
        <v>270.86</v>
      </c>
      <c r="D17">
        <f t="shared" ref="D17:N17" si="10">C17+D16</f>
        <v>270.86</v>
      </c>
      <c r="E17">
        <f t="shared" si="10"/>
        <v>305.11</v>
      </c>
      <c r="F17">
        <f t="shared" si="10"/>
        <v>305.11</v>
      </c>
      <c r="G17">
        <f t="shared" si="10"/>
        <v>305.11</v>
      </c>
      <c r="H17">
        <f t="shared" si="10"/>
        <v>318.16</v>
      </c>
      <c r="I17">
        <f t="shared" si="10"/>
        <v>318.16</v>
      </c>
      <c r="J17">
        <f t="shared" si="10"/>
        <v>318.16</v>
      </c>
      <c r="K17">
        <f t="shared" si="10"/>
        <v>318.16</v>
      </c>
      <c r="L17">
        <f t="shared" si="10"/>
        <v>318.16</v>
      </c>
      <c r="M17">
        <f t="shared" si="10"/>
        <v>318.16</v>
      </c>
      <c r="N17">
        <f t="shared" si="10"/>
        <v>318.16</v>
      </c>
    </row>
    <row r="18" spans="1:14">
      <c r="A18" t="s">
        <v>5710</v>
      </c>
      <c r="B18" t="s">
        <v>5665</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5710</v>
      </c>
      <c r="B19" t="s">
        <v>5666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5711</v>
      </c>
      <c r="B21" t="s">
        <v>5665</v>
      </c>
      <c r="C21">
        <f t="shared" ref="C21:N21" si="12">SUM(C2,C4,C6,C8,C10,C12,C14,C16,C18)</f>
        <v>7143.83</v>
      </c>
      <c r="D21">
        <f t="shared" si="12"/>
        <v>0</v>
      </c>
      <c r="E21">
        <f t="shared" si="12"/>
        <v>47027.54</v>
      </c>
      <c r="F21">
        <f t="shared" si="12"/>
        <v>1557.31</v>
      </c>
      <c r="G21">
        <f t="shared" si="12"/>
        <v>15334</v>
      </c>
      <c r="H21">
        <f t="shared" si="12"/>
        <v>44804.92</v>
      </c>
      <c r="I21">
        <f t="shared" si="12"/>
        <v>0</v>
      </c>
      <c r="J21">
        <f t="shared" si="12"/>
        <v>0</v>
      </c>
      <c r="K21">
        <f t="shared" si="12"/>
        <v>0</v>
      </c>
      <c r="L21">
        <f t="shared" si="12"/>
        <v>0</v>
      </c>
      <c r="M21">
        <f t="shared" si="12"/>
        <v>0</v>
      </c>
      <c r="N21">
        <f t="shared" si="12"/>
        <v>0</v>
      </c>
    </row>
    <row r="22" customFormat="1" spans="2:14">
      <c r="B22" t="s">
        <v>5666</v>
      </c>
      <c r="C22">
        <f t="shared" ref="C22:N22" si="13">SUM(C3,C5,C7,C9,C11,C13,C15,C17,C19)</f>
        <v>7143.83</v>
      </c>
      <c r="D22">
        <f t="shared" si="13"/>
        <v>7143.83</v>
      </c>
      <c r="E22">
        <f t="shared" si="13"/>
        <v>54171.37</v>
      </c>
      <c r="F22">
        <f t="shared" si="13"/>
        <v>55728.68</v>
      </c>
      <c r="G22">
        <f t="shared" si="13"/>
        <v>71062.68</v>
      </c>
      <c r="H22">
        <f t="shared" si="13"/>
        <v>115867.6</v>
      </c>
      <c r="I22">
        <f t="shared" si="13"/>
        <v>115867.6</v>
      </c>
      <c r="J22">
        <f t="shared" si="13"/>
        <v>115867.6</v>
      </c>
      <c r="K22">
        <f t="shared" si="13"/>
        <v>115867.6</v>
      </c>
      <c r="L22">
        <f t="shared" si="13"/>
        <v>115867.6</v>
      </c>
      <c r="M22">
        <f t="shared" si="13"/>
        <v>115867.6</v>
      </c>
      <c r="N22">
        <f t="shared" si="13"/>
        <v>115867.6</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9" t="s">
        <v>5637</v>
      </c>
      <c r="B1" s="10" t="s">
        <v>5638</v>
      </c>
      <c r="C1" s="11" t="s">
        <v>714</v>
      </c>
      <c r="D1" s="11" t="s">
        <v>715</v>
      </c>
      <c r="E1" s="11" t="s">
        <v>716</v>
      </c>
      <c r="F1" s="11" t="s">
        <v>717</v>
      </c>
      <c r="G1" s="11" t="s">
        <v>718</v>
      </c>
      <c r="H1" s="11" t="s">
        <v>719</v>
      </c>
      <c r="I1" s="11" t="s">
        <v>720</v>
      </c>
      <c r="J1" s="11" t="s">
        <v>721</v>
      </c>
      <c r="K1" s="11" t="s">
        <v>722</v>
      </c>
      <c r="L1" s="11" t="s">
        <v>723</v>
      </c>
      <c r="M1" s="11" t="s">
        <v>724</v>
      </c>
      <c r="N1" s="15" t="s">
        <v>725</v>
      </c>
    </row>
    <row r="2" spans="1:14">
      <c r="A2" s="12" t="s">
        <v>2110</v>
      </c>
      <c r="B2" s="13" t="s">
        <v>5647</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2110</v>
      </c>
      <c r="B3" s="13" t="s">
        <v>5648</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2110</v>
      </c>
      <c r="B4" s="13" t="s">
        <v>5649</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2110</v>
      </c>
      <c r="B5" s="13" t="s">
        <v>5650</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2146</v>
      </c>
      <c r="B6" s="13" t="s">
        <v>5647</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2146</v>
      </c>
      <c r="B7" s="13" t="s">
        <v>5648</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2146</v>
      </c>
      <c r="B8" s="13" t="s">
        <v>5649</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2146</v>
      </c>
      <c r="B9" s="13" t="s">
        <v>5650</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2154</v>
      </c>
      <c r="B10" s="13" t="s">
        <v>5647</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2154</v>
      </c>
      <c r="B11" s="13" t="s">
        <v>5648</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2154</v>
      </c>
      <c r="B12" s="13" t="s">
        <v>5649</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2154</v>
      </c>
      <c r="B13" s="13" t="s">
        <v>5650</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2172</v>
      </c>
      <c r="B14" s="13" t="s">
        <v>5647</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2172</v>
      </c>
      <c r="B15" s="13" t="s">
        <v>5648</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2172</v>
      </c>
      <c r="B16" s="13" t="s">
        <v>5649</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2172</v>
      </c>
      <c r="B17" s="13" t="s">
        <v>5650</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2192</v>
      </c>
      <c r="B18" s="13" t="s">
        <v>5647</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2192</v>
      </c>
      <c r="B19" s="13" t="s">
        <v>5648</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2192</v>
      </c>
      <c r="B20" s="13" t="s">
        <v>5649</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2192</v>
      </c>
      <c r="B21" s="13" t="s">
        <v>5650</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2198</v>
      </c>
      <c r="B22" s="13" t="s">
        <v>5647</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2198</v>
      </c>
      <c r="B23" s="13" t="s">
        <v>5648</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2198</v>
      </c>
      <c r="B24" s="13" t="s">
        <v>5649</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2198</v>
      </c>
      <c r="B25" s="13" t="s">
        <v>5650</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2212</v>
      </c>
      <c r="B26" s="13" t="s">
        <v>5647</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2212</v>
      </c>
      <c r="B27" s="13" t="s">
        <v>5648</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2212</v>
      </c>
      <c r="B28" s="13" t="s">
        <v>5649</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2212</v>
      </c>
      <c r="B29" s="13" t="s">
        <v>5650</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2230</v>
      </c>
      <c r="B30" s="13" t="s">
        <v>5647</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2230</v>
      </c>
      <c r="B31" s="13" t="s">
        <v>5648</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2230</v>
      </c>
      <c r="B32" s="13" t="s">
        <v>5649</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2230</v>
      </c>
      <c r="B33" s="13" t="s">
        <v>5650</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2236</v>
      </c>
      <c r="B34" s="13" t="s">
        <v>5647</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2236</v>
      </c>
      <c r="B35" s="13" t="s">
        <v>5648</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2236</v>
      </c>
      <c r="B36" s="13" t="s">
        <v>5649</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2236</v>
      </c>
      <c r="B37" s="13" t="s">
        <v>5650</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2249</v>
      </c>
      <c r="B38" s="13" t="s">
        <v>5647</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2249</v>
      </c>
      <c r="B39" s="13" t="s">
        <v>5648</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2249</v>
      </c>
      <c r="B40" s="13" t="s">
        <v>5649</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2249</v>
      </c>
      <c r="B41" s="13" t="s">
        <v>5650</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2377</v>
      </c>
    </row>
    <row r="44" customFormat="1" spans="1:14">
      <c r="A44" s="12" t="s">
        <v>64</v>
      </c>
      <c r="B44" s="13" t="s">
        <v>5647</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5648</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5649</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5650</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5637</v>
      </c>
      <c r="B1" s="5" t="s">
        <v>714</v>
      </c>
      <c r="C1" s="5" t="s">
        <v>715</v>
      </c>
      <c r="D1" s="5" t="s">
        <v>716</v>
      </c>
      <c r="E1" s="5" t="s">
        <v>717</v>
      </c>
      <c r="F1" s="5" t="s">
        <v>718</v>
      </c>
      <c r="G1" s="5" t="s">
        <v>719</v>
      </c>
      <c r="H1" s="5" t="s">
        <v>720</v>
      </c>
      <c r="I1" s="5" t="s">
        <v>721</v>
      </c>
      <c r="J1" s="5" t="s">
        <v>722</v>
      </c>
      <c r="K1" s="5" t="s">
        <v>723</v>
      </c>
      <c r="L1" s="5" t="s">
        <v>724</v>
      </c>
      <c r="M1" s="5" t="s">
        <v>725</v>
      </c>
    </row>
    <row r="2" spans="1:13">
      <c r="A2" s="6" t="s">
        <v>214</v>
      </c>
      <c r="B2" s="6">
        <f>COUNTIF('2 过程管理表单'!Y6:Y507,"&lt;"&amp;0)</f>
        <v>3</v>
      </c>
      <c r="C2" s="6">
        <f>COUNTIF('2 过程管理表单'!AB6:AB507,"&lt;"&amp;0)</f>
        <v>3</v>
      </c>
      <c r="D2" s="6">
        <f>COUNTIF('2 过程管理表单'!AE6:AE507,"&lt;"&amp;0)</f>
        <v>3</v>
      </c>
      <c r="E2" s="6">
        <f>COUNTIF('2 过程管理表单'!AH6:AH507,"&lt;"&amp;0)</f>
        <v>3</v>
      </c>
      <c r="F2" s="6">
        <f>COUNTIF('2 过程管理表单'!AK6:AK507,"&lt;"&amp;0)</f>
        <v>3</v>
      </c>
      <c r="G2" s="6">
        <f>COUNTIF('2 过程管理表单'!AN6:AN507,"&lt;"&amp;0)</f>
        <v>5</v>
      </c>
      <c r="H2" s="6">
        <f>COUNTIF('2 过程管理表单'!AQ6:AQ507,"&lt;"&amp;0)</f>
        <v>5</v>
      </c>
      <c r="I2" s="6">
        <f>COUNTIF('2 过程管理表单'!AT6:AT507,"&lt;"&amp;0)</f>
        <v>2</v>
      </c>
      <c r="J2" s="6">
        <f>COUNTIF('2 过程管理表单'!AW6:AW507,"&lt;"&amp;0)</f>
        <v>2</v>
      </c>
      <c r="K2" s="6">
        <f>COUNTIF('2 过程管理表单'!AW6:AW507,"&lt;"&amp;0)</f>
        <v>2</v>
      </c>
      <c r="L2" s="6">
        <f>COUNTIF('2 过程管理表单'!BC6:BC507,"&lt;"&amp;0)</f>
        <v>2</v>
      </c>
      <c r="M2" s="6">
        <f>COUNTIF('2 过程管理表单'!BF6:BF507,"&lt;"&amp;0)</f>
        <v>2</v>
      </c>
    </row>
    <row r="3" spans="1:13">
      <c r="A3" s="6" t="s">
        <v>9</v>
      </c>
      <c r="B3" s="6">
        <f>COUNTIF('2 过程管理表单'!Y509:Y535,"&lt;0")</f>
        <v>7</v>
      </c>
      <c r="C3" s="6">
        <f>COUNTIF('2 过程管理表单'!AB508:AB535,"&lt;"&amp;0)</f>
        <v>0</v>
      </c>
      <c r="D3" s="6">
        <f>COUNTIF('2 过程管理表单'!AE508:AE535,"&lt;"&amp;0)</f>
        <v>8</v>
      </c>
      <c r="E3" s="6">
        <f>COUNTIF('2 过程管理表单'!AH508:AH535,"&lt;"&amp;0)</f>
        <v>6</v>
      </c>
      <c r="F3" s="6">
        <f>COUNTIF('2 过程管理表单'!AK508:AK535,"&lt;"&amp;0)</f>
        <v>4</v>
      </c>
      <c r="G3" s="6">
        <f>COUNTIF('2 过程管理表单'!AN508:AN535,"&lt;"&amp;0)</f>
        <v>8</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1</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1</v>
      </c>
      <c r="E7" s="6">
        <f>COUNTIF('2 过程管理表单'!AH617:AH621,"&lt;"&amp;0)</f>
        <v>0</v>
      </c>
      <c r="F7" s="6">
        <f>COUNTIF('2 过程管理表单'!AK617:AK621,"&lt;"&amp;0)</f>
        <v>1</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5663</v>
      </c>
      <c r="B8" s="6">
        <f>B2+B3+B4+B5+B6+B7</f>
        <v>11</v>
      </c>
      <c r="C8" s="6">
        <f t="shared" ref="C8:M8" si="0">SUM(C2:C7)</f>
        <v>3</v>
      </c>
      <c r="D8" s="6">
        <f t="shared" si="0"/>
        <v>13</v>
      </c>
      <c r="E8" s="6">
        <f t="shared" si="0"/>
        <v>9</v>
      </c>
      <c r="F8" s="6">
        <f t="shared" si="0"/>
        <v>8</v>
      </c>
      <c r="G8" s="6">
        <f t="shared" si="0"/>
        <v>14</v>
      </c>
      <c r="H8" s="6">
        <f t="shared" si="0"/>
        <v>5</v>
      </c>
      <c r="I8" s="6">
        <f t="shared" si="0"/>
        <v>2</v>
      </c>
      <c r="J8" s="6">
        <f t="shared" si="0"/>
        <v>2</v>
      </c>
      <c r="K8" s="6">
        <f t="shared" si="0"/>
        <v>2</v>
      </c>
      <c r="L8" s="6">
        <f t="shared" si="0"/>
        <v>2</v>
      </c>
      <c r="M8" s="6">
        <f t="shared" si="0"/>
        <v>2</v>
      </c>
    </row>
    <row r="9" spans="1:13">
      <c r="A9" s="7" t="s">
        <v>5712</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1</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1</v>
      </c>
      <c r="F11" s="8">
        <f>COUNTIF('2 过程管理表单'!AK508,"&lt;"&amp;0)</f>
        <v>1</v>
      </c>
      <c r="G11" s="8">
        <f>COUNTIF('2 过程管理表单'!AN508,"&lt;"&amp;0)</f>
        <v>1</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1</v>
      </c>
      <c r="C15" s="8">
        <f>COUNTIF('2 过程管理表单'!AB616,"&lt;"&amp;0)</f>
        <v>0</v>
      </c>
      <c r="D15" s="8">
        <f>COUNTIF('2 过程管理表单'!AE616,"&lt;"&amp;0)</f>
        <v>1</v>
      </c>
      <c r="E15" s="8">
        <f>COUNTIF('2 过程管理表单'!AH616,"&lt;"&amp;0)</f>
        <v>0</v>
      </c>
      <c r="F15" s="8">
        <f>COUNTIF('2 过程管理表单'!AK616,"&lt;"&amp;0)</f>
        <v>1</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5713</v>
      </c>
      <c r="B16" s="8">
        <f t="shared" ref="B16:M16" si="1">SUM(B10:B15)</f>
        <v>1</v>
      </c>
      <c r="C16" s="8">
        <f t="shared" si="1"/>
        <v>0</v>
      </c>
      <c r="D16" s="8">
        <f t="shared" si="1"/>
        <v>2</v>
      </c>
      <c r="E16" s="8">
        <f t="shared" si="1"/>
        <v>1</v>
      </c>
      <c r="F16" s="8">
        <f t="shared" si="1"/>
        <v>2</v>
      </c>
      <c r="G16" s="8">
        <f t="shared" si="1"/>
        <v>1</v>
      </c>
      <c r="H16" s="8">
        <f t="shared" si="1"/>
        <v>0</v>
      </c>
      <c r="I16" s="8">
        <f t="shared" si="1"/>
        <v>0</v>
      </c>
      <c r="J16" s="8">
        <f t="shared" si="1"/>
        <v>0</v>
      </c>
      <c r="K16" s="8">
        <f t="shared" si="1"/>
        <v>0</v>
      </c>
      <c r="L16" s="8">
        <f t="shared" si="1"/>
        <v>0</v>
      </c>
      <c r="M16" s="8">
        <f t="shared" si="1"/>
        <v>0</v>
      </c>
    </row>
    <row r="17" spans="1:13">
      <c r="A17" s="8" t="s">
        <v>5714</v>
      </c>
      <c r="B17" s="8">
        <f>B8</f>
        <v>11</v>
      </c>
      <c r="C17" s="8">
        <f t="shared" ref="C17:M17" si="2">B17+C8</f>
        <v>14</v>
      </c>
      <c r="D17" s="8">
        <f t="shared" si="2"/>
        <v>27</v>
      </c>
      <c r="E17" s="8">
        <f t="shared" si="2"/>
        <v>36</v>
      </c>
      <c r="F17" s="8">
        <f t="shared" si="2"/>
        <v>44</v>
      </c>
      <c r="G17" s="8">
        <f t="shared" si="2"/>
        <v>58</v>
      </c>
      <c r="H17" s="8">
        <f t="shared" si="2"/>
        <v>63</v>
      </c>
      <c r="I17" s="8">
        <f t="shared" si="2"/>
        <v>65</v>
      </c>
      <c r="J17" s="8">
        <f t="shared" si="2"/>
        <v>67</v>
      </c>
      <c r="K17" s="8">
        <f t="shared" si="2"/>
        <v>69</v>
      </c>
      <c r="L17" s="8">
        <f t="shared" si="2"/>
        <v>71</v>
      </c>
      <c r="M17" s="8">
        <f t="shared" si="2"/>
        <v>73</v>
      </c>
    </row>
  </sheetData>
  <pageMargins left="0.75" right="0.75" top="1" bottom="1" header="0.5" footer="0.5"/>
  <headerFooter/>
  <tableParts count="1">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714</v>
      </c>
      <c r="D1" t="s">
        <v>715</v>
      </c>
      <c r="E1" t="s">
        <v>716</v>
      </c>
      <c r="F1" t="s">
        <v>717</v>
      </c>
      <c r="G1" t="s">
        <v>718</v>
      </c>
      <c r="H1" t="s">
        <v>719</v>
      </c>
      <c r="I1" t="s">
        <v>720</v>
      </c>
      <c r="J1" t="s">
        <v>721</v>
      </c>
      <c r="K1" t="s">
        <v>722</v>
      </c>
      <c r="L1" t="s">
        <v>723</v>
      </c>
      <c r="M1" t="s">
        <v>724</v>
      </c>
      <c r="N1" t="s">
        <v>725</v>
      </c>
    </row>
    <row r="2" spans="1:14">
      <c r="A2" t="s">
        <v>67</v>
      </c>
      <c r="B2" t="s">
        <v>5665</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5666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5667</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5668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5665</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5666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5667</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5668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5665</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5666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5667</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5668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5665</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5666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5667</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5668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5665</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5666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5667</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5668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5665</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5666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5667</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5668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5665</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5666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5667</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5668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5665</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5666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5667</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5668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5715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5716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5717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5718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714</v>
      </c>
      <c r="D1" t="s">
        <v>715</v>
      </c>
      <c r="E1" t="s">
        <v>716</v>
      </c>
      <c r="F1" t="s">
        <v>717</v>
      </c>
      <c r="G1" t="s">
        <v>718</v>
      </c>
      <c r="H1" t="s">
        <v>719</v>
      </c>
      <c r="I1" t="s">
        <v>720</v>
      </c>
      <c r="J1" t="s">
        <v>721</v>
      </c>
      <c r="K1" t="s">
        <v>722</v>
      </c>
      <c r="L1" t="s">
        <v>723</v>
      </c>
      <c r="M1" t="s">
        <v>724</v>
      </c>
      <c r="N1" t="s">
        <v>725</v>
      </c>
    </row>
    <row r="2" spans="1:14">
      <c r="A2" t="s">
        <v>108</v>
      </c>
      <c r="B2" t="s">
        <v>5665</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5666</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5667</v>
      </c>
      <c r="C4" s="2">
        <f>INDEX('2 过程管理表单'!$8:$8,24+(COLUMN(A1)-1)*3)</f>
        <v>160600</v>
      </c>
      <c r="D4" s="2" cm="1">
        <f t="array" ref="D4">INDEX('2 过程管理表单'!$8:$8,24+(COLUMN(B1)-1)*3)</f>
        <v>160600</v>
      </c>
      <c r="E4" s="2" cm="1">
        <f t="array" ref="E4">INDEX('2 过程管理表单'!$8:$8,24+(COLUMN(C1)-1)*3)</f>
        <v>160600</v>
      </c>
      <c r="F4" s="2" cm="1">
        <f t="array" ref="F4">INDEX('2 过程管理表单'!$8:$8,24+(COLUMN(D1)-1)*3)</f>
        <v>160600</v>
      </c>
      <c r="G4" s="2" cm="1">
        <f t="array" ref="G4">INDEX('2 过程管理表单'!$8:$8,24+(COLUMN(E1)-1)*3)</f>
        <v>160600</v>
      </c>
      <c r="H4" s="2" cm="1">
        <f t="array" ref="H4">INDEX('2 过程管理表单'!$8:$8,24+(COLUMN(F1)-1)*3)</f>
        <v>160600</v>
      </c>
      <c r="I4" s="2" cm="1">
        <f t="array" ref="I4">INDEX('2 过程管理表单'!$8:$8,24+(COLUMN(G1)-1)*3)</f>
        <v>160600</v>
      </c>
      <c r="J4" s="2" cm="1">
        <f t="array" ref="J4">INDEX('2 过程管理表单'!$8:$8,24+(COLUMN(H1)-1)*3)</f>
        <v>160600</v>
      </c>
      <c r="K4" s="2" cm="1">
        <f t="array" ref="K4">INDEX('2 过程管理表单'!$8:$8,24+(COLUMN(I1)-1)*3)</f>
        <v>160600</v>
      </c>
      <c r="L4" s="2" cm="1">
        <f t="array" ref="L4">INDEX('2 过程管理表单'!$8:$8,24+(COLUMN(J1)-1)*3)</f>
        <v>160600</v>
      </c>
      <c r="M4" s="2" cm="1">
        <f t="array" ref="M4">INDEX('2 过程管理表单'!$8:$8,24+(COLUMN(K1)-1)*3)</f>
        <v>160600</v>
      </c>
      <c r="N4" s="2" cm="1">
        <f t="array" ref="N4">INDEX('2 过程管理表单'!$8:$8,24+(COLUMN(L1)-1)*3)</f>
        <v>160600</v>
      </c>
    </row>
    <row r="5" spans="1:14">
      <c r="A5" t="s">
        <v>108</v>
      </c>
      <c r="B5" t="s">
        <v>5668</v>
      </c>
      <c r="C5" s="2">
        <f>C4</f>
        <v>160600</v>
      </c>
      <c r="D5" s="2">
        <f>C5+D4</f>
        <v>321200</v>
      </c>
      <c r="E5" s="2">
        <f t="shared" ref="E5:N5" si="1">D5+E4</f>
        <v>481800</v>
      </c>
      <c r="F5" s="2">
        <f t="shared" si="1"/>
        <v>642400</v>
      </c>
      <c r="G5" s="2">
        <f t="shared" si="1"/>
        <v>803000</v>
      </c>
      <c r="H5" s="2">
        <f t="shared" si="1"/>
        <v>963600</v>
      </c>
      <c r="I5" s="2">
        <f t="shared" si="1"/>
        <v>1124200</v>
      </c>
      <c r="J5" s="2">
        <f t="shared" si="1"/>
        <v>1284800</v>
      </c>
      <c r="K5" s="2">
        <f t="shared" si="1"/>
        <v>1445400</v>
      </c>
      <c r="L5" s="2">
        <f t="shared" si="1"/>
        <v>1606000</v>
      </c>
      <c r="M5" s="2">
        <f t="shared" si="1"/>
        <v>1766600</v>
      </c>
      <c r="N5" s="2">
        <f t="shared" si="1"/>
        <v>1927200</v>
      </c>
    </row>
    <row r="6" spans="1:14">
      <c r="A6" t="s">
        <v>112</v>
      </c>
      <c r="B6" t="s">
        <v>5665</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5666</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5667</v>
      </c>
      <c r="C8" s="2" cm="1">
        <f t="array" ref="C8">INDEX('2 过程管理表单'!$27:$27,24+(COLUMN(A1)-1)*3)</f>
        <v>12300</v>
      </c>
      <c r="D8" s="2" cm="1">
        <f t="array" ref="D8">INDEX('2 过程管理表单'!$27:$27,24+(COLUMN(B1)-1)*3)</f>
        <v>12300</v>
      </c>
      <c r="E8" s="2" cm="1">
        <f t="array" ref="E8">INDEX('2 过程管理表单'!$27:$27,24+(COLUMN(C1)-1)*3)</f>
        <v>12300</v>
      </c>
      <c r="F8" s="2" cm="1">
        <f t="array" ref="F8">INDEX('2 过程管理表单'!$27:$27,24+(COLUMN(D1)-1)*3)</f>
        <v>12300</v>
      </c>
      <c r="G8" s="2" cm="1">
        <f t="array" ref="G8">INDEX('2 过程管理表单'!$27:$27,24+(COLUMN(E1)-1)*3)</f>
        <v>12300</v>
      </c>
      <c r="H8" s="2" cm="1">
        <f t="array" ref="H8">INDEX('2 过程管理表单'!$27:$27,24+(COLUMN(F1)-1)*3)</f>
        <v>12300</v>
      </c>
      <c r="I8" s="2" cm="1">
        <f t="array" ref="I8">INDEX('2 过程管理表单'!$27:$27,24+(COLUMN(G1)-1)*3)</f>
        <v>12300</v>
      </c>
      <c r="J8" s="2" cm="1">
        <f t="array" ref="J8">INDEX('2 过程管理表单'!$27:$27,24+(COLUMN(H1)-1)*3)</f>
        <v>12300</v>
      </c>
      <c r="K8" s="2" cm="1">
        <f t="array" ref="K8">INDEX('2 过程管理表单'!$27:$27,24+(COLUMN(I1)-1)*3)</f>
        <v>12300</v>
      </c>
      <c r="L8" s="2" cm="1">
        <f t="array" ref="L8">INDEX('2 过程管理表单'!$27:$27,24+(COLUMN(J1)-1)*3)</f>
        <v>12300</v>
      </c>
      <c r="M8" s="2" cm="1">
        <f t="array" ref="M8">INDEX('2 过程管理表单'!$27:$27,24+(COLUMN(K1)-1)*3)</f>
        <v>12300</v>
      </c>
      <c r="N8" s="2" cm="1">
        <f t="array" ref="N8">INDEX('2 过程管理表单'!$27:$27,24+(COLUMN(L1)-1)*3)</f>
        <v>12300</v>
      </c>
    </row>
    <row r="9" spans="1:14">
      <c r="A9" t="s">
        <v>112</v>
      </c>
      <c r="B9" t="s">
        <v>5668</v>
      </c>
      <c r="C9" s="2">
        <f>C8</f>
        <v>12300</v>
      </c>
      <c r="D9" s="2">
        <f>C9+D8</f>
        <v>24600</v>
      </c>
      <c r="E9" s="2">
        <f t="shared" ref="E9:N9" si="3">D9+E8</f>
        <v>36900</v>
      </c>
      <c r="F9" s="2">
        <f t="shared" si="3"/>
        <v>49200</v>
      </c>
      <c r="G9" s="2">
        <f t="shared" si="3"/>
        <v>61500</v>
      </c>
      <c r="H9" s="2">
        <f t="shared" si="3"/>
        <v>73800</v>
      </c>
      <c r="I9" s="2">
        <f t="shared" si="3"/>
        <v>86100</v>
      </c>
      <c r="J9" s="2">
        <f t="shared" si="3"/>
        <v>98400</v>
      </c>
      <c r="K9" s="2">
        <f t="shared" si="3"/>
        <v>110700</v>
      </c>
      <c r="L9" s="2">
        <f t="shared" si="3"/>
        <v>123000</v>
      </c>
      <c r="M9" s="2">
        <f t="shared" si="3"/>
        <v>135300</v>
      </c>
      <c r="N9" s="2">
        <f t="shared" si="3"/>
        <v>147600</v>
      </c>
    </row>
    <row r="10" spans="1:14">
      <c r="A10" t="s">
        <v>115</v>
      </c>
      <c r="B10" t="s">
        <v>5665</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5666</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5667</v>
      </c>
      <c r="C12" s="2" cm="1">
        <f t="array" ref="C12">INDEX('2 过程管理表单'!$46:$46,24+(COLUMN(A5)-1)*3)</f>
        <v>18216</v>
      </c>
      <c r="D12" s="2" cm="1">
        <f t="array" ref="D12">INDEX('2 过程管理表单'!$46:$46,24+(COLUMN(B5)-1)*3)</f>
        <v>8000</v>
      </c>
      <c r="E12" s="2" cm="1">
        <f t="array" ref="E12">INDEX('2 过程管理表单'!$46:$46,24+(COLUMN(C5)-1)*3)</f>
        <v>10850</v>
      </c>
      <c r="F12" s="2" cm="1">
        <f t="array" ref="F12">INDEX('2 过程管理表单'!$46:$46,24+(COLUMN(D5)-1)*3)</f>
        <v>8000</v>
      </c>
      <c r="G12" s="2" cm="1">
        <f t="array" ref="G12">INDEX('2 过程管理表单'!$46:$46,24+(COLUMN(E5)-1)*3)</f>
        <v>14350</v>
      </c>
      <c r="H12" s="2" cm="1">
        <f t="array" ref="H12">INDEX('2 过程管理表单'!$46:$46,24+(COLUMN(F5)-1)*3)</f>
        <v>7400</v>
      </c>
      <c r="I12" s="2" cm="1">
        <f t="array" ref="I12">INDEX('2 过程管理表单'!$46:$46,24+(COLUMN(G5)-1)*3)</f>
        <v>6700</v>
      </c>
      <c r="J12" s="2" cm="1">
        <f t="array" ref="J12">INDEX('2 过程管理表单'!$46:$46,24+(COLUMN(H5)-1)*3)</f>
        <v>10850</v>
      </c>
      <c r="K12" s="2" cm="1">
        <f t="array" ref="K12">INDEX('2 过程管理表单'!$46:$46,24+(COLUMN(I5)-1)*3)</f>
        <v>12500</v>
      </c>
      <c r="L12" s="2" cm="1">
        <f t="array" ref="L12">INDEX('2 过程管理表单'!$46:$46,24+(COLUMN(J5)-1)*3)</f>
        <v>10850</v>
      </c>
      <c r="M12" s="2" cm="1">
        <f t="array" ref="M12">INDEX('2 过程管理表单'!$46:$46,24+(COLUMN(K5)-1)*3)</f>
        <v>6700</v>
      </c>
      <c r="N12" s="2" cm="1">
        <f t="array" ref="N12">INDEX('2 过程管理表单'!$46:$46,24+(COLUMN(L5)-1)*3)</f>
        <v>6700</v>
      </c>
    </row>
    <row r="13" spans="1:14">
      <c r="A13" t="s">
        <v>115</v>
      </c>
      <c r="B13" t="s">
        <v>5668</v>
      </c>
      <c r="C13" s="2">
        <f>C12</f>
        <v>18216</v>
      </c>
      <c r="D13" s="2">
        <f>C13+D12</f>
        <v>26216</v>
      </c>
      <c r="E13" s="2">
        <f t="shared" ref="E13:N13" si="5">D13+E12</f>
        <v>37066</v>
      </c>
      <c r="F13" s="2">
        <f t="shared" si="5"/>
        <v>45066</v>
      </c>
      <c r="G13" s="2">
        <f t="shared" si="5"/>
        <v>59416</v>
      </c>
      <c r="H13" s="2">
        <f t="shared" si="5"/>
        <v>66816</v>
      </c>
      <c r="I13" s="2">
        <f t="shared" si="5"/>
        <v>73516</v>
      </c>
      <c r="J13" s="2">
        <f t="shared" si="5"/>
        <v>84366</v>
      </c>
      <c r="K13" s="2">
        <f t="shared" si="5"/>
        <v>96866</v>
      </c>
      <c r="L13" s="2">
        <f t="shared" si="5"/>
        <v>107716</v>
      </c>
      <c r="M13" s="2">
        <f t="shared" si="5"/>
        <v>114416</v>
      </c>
      <c r="N13" s="2">
        <f t="shared" si="5"/>
        <v>121116</v>
      </c>
    </row>
    <row r="14" spans="1:14">
      <c r="A14" t="s">
        <v>118</v>
      </c>
      <c r="B14" t="s">
        <v>5665</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5666</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5667</v>
      </c>
      <c r="C16" s="2" cm="1">
        <f t="array" ref="C16">INDEX('2 过程管理表单'!$71:$71,24+(COLUMN(A9)-1)*3)</f>
        <v>18459</v>
      </c>
      <c r="D16" s="2" cm="1">
        <f t="array" ref="D16">INDEX('2 过程管理表单'!$71:$71,24+(COLUMN(B9)-1)*3)</f>
        <v>18459</v>
      </c>
      <c r="E16" s="2" cm="1">
        <f t="array" ref="E16">INDEX('2 过程管理表单'!$71:$71,24+(COLUMN(C9)-1)*3)</f>
        <v>18459</v>
      </c>
      <c r="F16" s="2" cm="1">
        <f t="array" ref="F16">INDEX('2 过程管理表单'!$71:$71,24+(COLUMN(D9)-1)*3)</f>
        <v>18459</v>
      </c>
      <c r="G16" s="2" cm="1">
        <f t="array" ref="G16">INDEX('2 过程管理表单'!$71:$71,24+(COLUMN(E9)-1)*3)</f>
        <v>18459</v>
      </c>
      <c r="H16" s="2" cm="1">
        <f t="array" ref="H16">INDEX('2 过程管理表单'!$71:$71,24+(COLUMN(F9)-1)*3)</f>
        <v>18459</v>
      </c>
      <c r="I16" s="2" cm="1">
        <f t="array" ref="I16">INDEX('2 过程管理表单'!$71:$71,24+(COLUMN(G9)-1)*3)</f>
        <v>18459</v>
      </c>
      <c r="J16" s="2" cm="1">
        <f t="array" ref="J16">INDEX('2 过程管理表单'!$71:$71,24+(COLUMN(H9)-1)*3)</f>
        <v>18459</v>
      </c>
      <c r="K16" s="2" cm="1">
        <f t="array" ref="K16">INDEX('2 过程管理表单'!$71:$71,24+(COLUMN(I9)-1)*3)</f>
        <v>18459</v>
      </c>
      <c r="L16" s="2" cm="1">
        <f t="array" ref="L16">INDEX('2 过程管理表单'!$71:$71,24+(COLUMN(J9)-1)*3)</f>
        <v>18459</v>
      </c>
      <c r="M16" s="2" cm="1">
        <f t="array" ref="M16">INDEX('2 过程管理表单'!$71:$71,24+(COLUMN(K9)-1)*3)</f>
        <v>18459</v>
      </c>
      <c r="N16" s="2" cm="1">
        <f t="array" ref="N16">INDEX('2 过程管理表单'!$71:$71,24+(COLUMN(L9)-1)*3)</f>
        <v>18459</v>
      </c>
    </row>
    <row r="17" spans="1:14">
      <c r="A17" t="s">
        <v>118</v>
      </c>
      <c r="B17" t="s">
        <v>5668</v>
      </c>
      <c r="C17" s="2">
        <f>C16</f>
        <v>18459</v>
      </c>
      <c r="D17" s="2">
        <f>C17+D16</f>
        <v>36918</v>
      </c>
      <c r="E17" s="2">
        <f t="shared" ref="E17:N17" si="7">D17+E16</f>
        <v>55377</v>
      </c>
      <c r="F17" s="2">
        <f t="shared" si="7"/>
        <v>73836</v>
      </c>
      <c r="G17" s="2">
        <f t="shared" si="7"/>
        <v>92295</v>
      </c>
      <c r="H17" s="2">
        <f t="shared" si="7"/>
        <v>110754</v>
      </c>
      <c r="I17" s="2">
        <f t="shared" si="7"/>
        <v>129213</v>
      </c>
      <c r="J17" s="2">
        <f t="shared" si="7"/>
        <v>147672</v>
      </c>
      <c r="K17" s="2">
        <f t="shared" si="7"/>
        <v>166131</v>
      </c>
      <c r="L17" s="2">
        <f t="shared" si="7"/>
        <v>184590</v>
      </c>
      <c r="M17" s="2">
        <f t="shared" si="7"/>
        <v>203049</v>
      </c>
      <c r="N17" s="2">
        <f t="shared" si="7"/>
        <v>221508</v>
      </c>
    </row>
    <row r="18" spans="1:14">
      <c r="A18" t="s">
        <v>121</v>
      </c>
      <c r="B18" t="s">
        <v>5665</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5666</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5667</v>
      </c>
      <c r="C20" s="2" cm="1">
        <f t="array" ref="C20">INDEX('2 过程管理表单'!$96:$96,24+(COLUMN(A13)-1)*3)</f>
        <v>3459.999998</v>
      </c>
      <c r="D20" s="2" cm="1">
        <f t="array" ref="D20">INDEX('2 过程管理表单'!$96:$96,24+(COLUMN(B13)-1)*3)</f>
        <v>3459.999998</v>
      </c>
      <c r="E20" s="2" cm="1">
        <f t="array" ref="E20">INDEX('2 过程管理表单'!$96:$96,24+(COLUMN(C13)-1)*3)</f>
        <v>3459.999998</v>
      </c>
      <c r="F20" s="2" cm="1">
        <f t="array" ref="F20">INDEX('2 过程管理表单'!$96:$96,24+(COLUMN(D13)-1)*3)</f>
        <v>3459.999998</v>
      </c>
      <c r="G20" s="2" cm="1">
        <f t="array" ref="G20">INDEX('2 过程管理表单'!$96:$96,24+(COLUMN(E13)-1)*3)</f>
        <v>3459.999998</v>
      </c>
      <c r="H20" s="2" cm="1">
        <f t="array" ref="H20">INDEX('2 过程管理表单'!$96:$96,24+(COLUMN(F13)-1)*3)</f>
        <v>3459.999998</v>
      </c>
      <c r="I20" s="2" cm="1">
        <f t="array" ref="I20">INDEX('2 过程管理表单'!$96:$96,24+(COLUMN(G13)-1)*3)</f>
        <v>3459.999998</v>
      </c>
      <c r="J20" s="2" cm="1">
        <f t="array" ref="J20">INDEX('2 过程管理表单'!$96:$96,24+(COLUMN(H13)-1)*3)</f>
        <v>3459.999998</v>
      </c>
      <c r="K20" s="2" cm="1">
        <f t="array" ref="K20">INDEX('2 过程管理表单'!$96:$96,24+(COLUMN(I13)-1)*3)</f>
        <v>3459.999998</v>
      </c>
      <c r="L20" s="2" cm="1">
        <f t="array" ref="L20">INDEX('2 过程管理表单'!$96:$96,24+(COLUMN(J13)-1)*3)</f>
        <v>3459.999998</v>
      </c>
      <c r="M20" s="2" cm="1">
        <f t="array" ref="M20">INDEX('2 过程管理表单'!$96:$96,24+(COLUMN(K13)-1)*3)</f>
        <v>3459.999998</v>
      </c>
      <c r="N20" s="2" cm="1">
        <f t="array" ref="N20">INDEX('2 过程管理表单'!$96:$96,24+(COLUMN(L13)-1)*3)</f>
        <v>3459.999998</v>
      </c>
    </row>
    <row r="21" spans="1:14">
      <c r="A21" t="s">
        <v>121</v>
      </c>
      <c r="B21" t="s">
        <v>5668</v>
      </c>
      <c r="C21" s="2">
        <f>C20</f>
        <v>3459.999998</v>
      </c>
      <c r="D21" s="2">
        <f>C21+D20</f>
        <v>6919.999996</v>
      </c>
      <c r="E21" s="2">
        <f t="shared" ref="E21:N21" si="9">D21+E20</f>
        <v>10379.999994</v>
      </c>
      <c r="F21" s="2">
        <f t="shared" si="9"/>
        <v>13839.999992</v>
      </c>
      <c r="G21" s="2">
        <f t="shared" si="9"/>
        <v>17299.99999</v>
      </c>
      <c r="H21" s="2">
        <f t="shared" si="9"/>
        <v>20759.999988</v>
      </c>
      <c r="I21" s="2">
        <f t="shared" si="9"/>
        <v>24219.999986</v>
      </c>
      <c r="J21" s="2">
        <f t="shared" si="9"/>
        <v>27679.999984</v>
      </c>
      <c r="K21" s="2">
        <f t="shared" si="9"/>
        <v>31139.999982</v>
      </c>
      <c r="L21" s="2">
        <f t="shared" si="9"/>
        <v>34599.99998</v>
      </c>
      <c r="M21" s="2">
        <f t="shared" si="9"/>
        <v>38059.999978</v>
      </c>
      <c r="N21" s="2">
        <f t="shared" si="9"/>
        <v>41519.999976</v>
      </c>
    </row>
    <row r="22" spans="1:14">
      <c r="A22" t="s">
        <v>124</v>
      </c>
      <c r="B22" t="s">
        <v>5665</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5666</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5667</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5668</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5665</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5666</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5667</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5668</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5665</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5666</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5667</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5668</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5715</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5716</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5717</v>
      </c>
      <c r="C36" s="3">
        <f t="shared" ref="C36:N36" si="18">C4+C8+C12+C16+C20+C24+C28+C32</f>
        <v>213034.999998</v>
      </c>
      <c r="D36" s="3">
        <f t="shared" si="18"/>
        <v>202818.999998</v>
      </c>
      <c r="E36" s="3">
        <f t="shared" si="18"/>
        <v>205668.999998</v>
      </c>
      <c r="F36" s="3">
        <f t="shared" si="18"/>
        <v>202818.999998</v>
      </c>
      <c r="G36" s="3">
        <f t="shared" si="18"/>
        <v>209168.999998</v>
      </c>
      <c r="H36" s="3">
        <f t="shared" si="18"/>
        <v>202218.999998</v>
      </c>
      <c r="I36" s="3">
        <f t="shared" si="18"/>
        <v>201518.999998</v>
      </c>
      <c r="J36" s="3">
        <f t="shared" si="18"/>
        <v>205668.999998</v>
      </c>
      <c r="K36" s="3">
        <f t="shared" si="18"/>
        <v>207318.999998</v>
      </c>
      <c r="L36" s="3">
        <f t="shared" si="18"/>
        <v>205668.999998</v>
      </c>
      <c r="M36" s="3">
        <f t="shared" si="18"/>
        <v>201518.999998</v>
      </c>
      <c r="N36" s="3">
        <f t="shared" si="18"/>
        <v>201518.999998</v>
      </c>
    </row>
    <row r="37" spans="2:14">
      <c r="B37" t="s">
        <v>5718</v>
      </c>
      <c r="C37" s="2">
        <f>C36</f>
        <v>213034.999998</v>
      </c>
      <c r="D37" s="2">
        <f>C37+D36</f>
        <v>415853.999996</v>
      </c>
      <c r="E37" s="2">
        <f t="shared" ref="E37:N37" si="19">D37+E36</f>
        <v>621522.999994</v>
      </c>
      <c r="F37" s="2">
        <f t="shared" si="19"/>
        <v>824341.999992</v>
      </c>
      <c r="G37" s="2">
        <f t="shared" si="19"/>
        <v>1033510.99999</v>
      </c>
      <c r="H37" s="2">
        <f t="shared" si="19"/>
        <v>1235729.999988</v>
      </c>
      <c r="I37" s="2">
        <f t="shared" si="19"/>
        <v>1437248.999986</v>
      </c>
      <c r="J37" s="2">
        <f t="shared" si="19"/>
        <v>1642917.999984</v>
      </c>
      <c r="K37" s="2">
        <f t="shared" si="19"/>
        <v>1850236.999982</v>
      </c>
      <c r="L37" s="2">
        <f t="shared" si="19"/>
        <v>2055905.99998</v>
      </c>
      <c r="M37" s="2">
        <f t="shared" si="19"/>
        <v>2257424.999978</v>
      </c>
      <c r="N37" s="2">
        <f t="shared" si="19"/>
        <v>2458943.999976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5719</v>
      </c>
      <c r="C1" t="s">
        <v>714</v>
      </c>
      <c r="D1" t="s">
        <v>715</v>
      </c>
      <c r="E1" t="s">
        <v>716</v>
      </c>
      <c r="F1" t="s">
        <v>717</v>
      </c>
      <c r="G1" t="s">
        <v>718</v>
      </c>
      <c r="H1" t="s">
        <v>719</v>
      </c>
      <c r="I1" t="s">
        <v>720</v>
      </c>
      <c r="J1" t="s">
        <v>721</v>
      </c>
      <c r="K1" t="s">
        <v>722</v>
      </c>
      <c r="L1" t="s">
        <v>723</v>
      </c>
      <c r="M1" t="s">
        <v>724</v>
      </c>
      <c r="N1" t="s">
        <v>725</v>
      </c>
    </row>
    <row r="2" spans="1:14">
      <c r="A2" t="s">
        <v>18</v>
      </c>
      <c r="B2" t="s">
        <v>5665</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5666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5667</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5668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819</v>
      </c>
      <c r="B6" t="s">
        <v>5665</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819</v>
      </c>
      <c r="B7" t="s">
        <v>5666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819</v>
      </c>
      <c r="B8" t="s">
        <v>5667</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819</v>
      </c>
      <c r="B9" t="s">
        <v>5668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5665</v>
      </c>
      <c r="C10" cm="1">
        <f t="array" ref="C10">INDEX('2 过程管理表单'!$58:$58,26+(COLUMN(A1)-1)*3)</f>
        <v>3667.39051094891</v>
      </c>
      <c r="D10" cm="1">
        <f t="array" ref="D10">INDEX('2 过程管理表单'!$58:$58,26+(COLUMN(B1)-1)*3)</f>
        <v>3312.48175182482</v>
      </c>
      <c r="E10" cm="1">
        <f t="array" ref="E10">INDEX('2 过程管理表单'!$58:$58,26+(COLUMN(C1)-1)*3)</f>
        <v>3667.39051094891</v>
      </c>
      <c r="F10" cm="1">
        <f t="array" ref="F10">INDEX('2 过程管理表单'!$58:$58,26+(COLUMN(D1)-1)*3)</f>
        <v>3549.08759124088</v>
      </c>
      <c r="G10" cm="1">
        <f t="array" ref="G10">INDEX('2 过程管理表单'!$58:$58,26+(COLUMN(E1)-1)*3)</f>
        <v>3667.39051094891</v>
      </c>
      <c r="H10" cm="1">
        <f t="array" ref="H10">INDEX('2 过程管理表单'!$58:$58,26+(COLUMN(F1)-1)*3)</f>
        <v>3549.08759124088</v>
      </c>
      <c r="I10" cm="1">
        <f t="array" ref="I10">INDEX('2 过程管理表单'!$58:$58,26+(COLUMN(G1)-1)*3)</f>
        <v>3667.39051094891</v>
      </c>
      <c r="J10" cm="1">
        <f t="array" ref="J10">INDEX('2 过程管理表单'!$58:$58,26+(COLUMN(H1)-1)*3)</f>
        <v>3667.39051094891</v>
      </c>
      <c r="K10" cm="1">
        <f t="array" ref="K10">INDEX('2 过程管理表单'!$58:$58,26+(COLUMN(I1)-1)*3)</f>
        <v>3549.08759124088</v>
      </c>
      <c r="L10" cm="1">
        <f t="array" ref="L10">INDEX('2 过程管理表单'!$58:$58,26+(COLUMN(J1)-1)*3)</f>
        <v>3667.39051094891</v>
      </c>
      <c r="M10" cm="1">
        <f t="array" ref="M10">INDEX('2 过程管理表单'!$58:$58,26+(COLUMN(K1)-1)*3)</f>
        <v>3549.08759124088</v>
      </c>
      <c r="N10" cm="1">
        <f t="array" ref="N10">INDEX('2 过程管理表单'!$58:$58,26+(COLUMN(L1)-1)*3)</f>
        <v>3667.39051094891</v>
      </c>
    </row>
    <row r="11" spans="1:14">
      <c r="A11" t="s">
        <v>14</v>
      </c>
      <c r="B11" t="s">
        <v>5666</v>
      </c>
      <c r="C11">
        <f>C10</f>
        <v>3667.39051094891</v>
      </c>
      <c r="D11">
        <f>C11+D10</f>
        <v>6979.87226277373</v>
      </c>
      <c r="E11">
        <f t="shared" ref="E11:N11" si="4">D11+E10</f>
        <v>10647.2627737226</v>
      </c>
      <c r="F11">
        <f t="shared" si="4"/>
        <v>14196.3503649635</v>
      </c>
      <c r="G11">
        <f t="shared" si="4"/>
        <v>17863.7408759124</v>
      </c>
      <c r="H11">
        <f t="shared" si="4"/>
        <v>21412.8284671533</v>
      </c>
      <c r="I11">
        <f t="shared" si="4"/>
        <v>25080.2189781022</v>
      </c>
      <c r="J11">
        <f t="shared" si="4"/>
        <v>28747.6094890511</v>
      </c>
      <c r="K11">
        <f t="shared" si="4"/>
        <v>32296.697080292</v>
      </c>
      <c r="L11">
        <f t="shared" si="4"/>
        <v>35964.0875912409</v>
      </c>
      <c r="M11">
        <f t="shared" si="4"/>
        <v>39513.1751824818</v>
      </c>
      <c r="N11">
        <f t="shared" si="4"/>
        <v>43180.5656934307</v>
      </c>
    </row>
    <row r="12" spans="1:14">
      <c r="A12" t="s">
        <v>14</v>
      </c>
      <c r="B12" t="s">
        <v>5667</v>
      </c>
      <c r="C12" cm="1">
        <f t="array" ref="C12">INDEX('2 过程管理表单'!$58:$58,24+(COLUMN(A9)-1)*3)</f>
        <v>18867.92416</v>
      </c>
      <c r="D12" cm="1">
        <f t="array" ref="D12">INDEX('2 过程管理表单'!$58:$58,24+(COLUMN(B9)-1)*3)</f>
        <v>18867.92416</v>
      </c>
      <c r="E12" cm="1">
        <f t="array" ref="E12">INDEX('2 过程管理表单'!$58:$58,24+(COLUMN(C9)-1)*3)</f>
        <v>18867.92416</v>
      </c>
      <c r="F12" cm="1">
        <f t="array" ref="F12">INDEX('2 过程管理表单'!$58:$58,24+(COLUMN(D9)-1)*3)</f>
        <v>18867.92416</v>
      </c>
      <c r="G12" cm="1">
        <f t="array" ref="G12">INDEX('2 过程管理表单'!$58:$58,24+(COLUMN(E9)-1)*3)</f>
        <v>18867.92416</v>
      </c>
      <c r="H12" cm="1">
        <f t="array" ref="H12">INDEX('2 过程管理表单'!$58:$58,24+(COLUMN(F9)-1)*3)</f>
        <v>18867.92416</v>
      </c>
      <c r="I12" cm="1">
        <f t="array" ref="I12">INDEX('2 过程管理表单'!$58:$58,24+(COLUMN(G9)-1)*3)</f>
        <v>18867.92416</v>
      </c>
      <c r="J12" cm="1">
        <f t="array" ref="J12">INDEX('2 过程管理表单'!$58:$58,24+(COLUMN(H9)-1)*3)</f>
        <v>18867.92416</v>
      </c>
      <c r="K12" cm="1">
        <f t="array" ref="K12">INDEX('2 过程管理表单'!$58:$58,24+(COLUMN(I9)-1)*3)</f>
        <v>18867.92416</v>
      </c>
      <c r="L12" cm="1">
        <f t="array" ref="L12">INDEX('2 过程管理表单'!$58:$58,24+(COLUMN(J9)-1)*3)</f>
        <v>18867.92416</v>
      </c>
      <c r="M12" cm="1">
        <f t="array" ref="M12">INDEX('2 过程管理表单'!$58:$58,24+(COLUMN(K9)-1)*3)</f>
        <v>18867.92416</v>
      </c>
      <c r="N12" cm="1">
        <f t="array" ref="N12">INDEX('2 过程管理表单'!$58:$58,24+(COLUMN(L9)-1)*3)</f>
        <v>18867.92416</v>
      </c>
    </row>
    <row r="13" spans="1:14">
      <c r="A13" t="s">
        <v>14</v>
      </c>
      <c r="B13" t="s">
        <v>5668</v>
      </c>
      <c r="C13">
        <f>C12</f>
        <v>18867.92416</v>
      </c>
      <c r="D13">
        <f>C13+D12</f>
        <v>37735.84832</v>
      </c>
      <c r="E13">
        <f t="shared" ref="E13:N13" si="5">D13+E12</f>
        <v>56603.77248</v>
      </c>
      <c r="F13">
        <f t="shared" si="5"/>
        <v>75471.69664</v>
      </c>
      <c r="G13">
        <f t="shared" si="5"/>
        <v>94339.6208</v>
      </c>
      <c r="H13">
        <f t="shared" si="5"/>
        <v>113207.54496</v>
      </c>
      <c r="I13">
        <f t="shared" si="5"/>
        <v>132075.46912</v>
      </c>
      <c r="J13">
        <f t="shared" si="5"/>
        <v>150943.39328</v>
      </c>
      <c r="K13">
        <f t="shared" si="5"/>
        <v>169811.31744</v>
      </c>
      <c r="L13">
        <f t="shared" si="5"/>
        <v>188679.2416</v>
      </c>
      <c r="M13">
        <f t="shared" si="5"/>
        <v>207547.16576</v>
      </c>
      <c r="N13">
        <f t="shared" si="5"/>
        <v>226415.08992</v>
      </c>
    </row>
    <row r="14" spans="1:14">
      <c r="A14" t="s">
        <v>886</v>
      </c>
      <c r="B14" t="s">
        <v>5665</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886</v>
      </c>
      <c r="B15" t="s">
        <v>5666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886</v>
      </c>
      <c r="B16" t="s">
        <v>5667</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886</v>
      </c>
      <c r="B17" t="s">
        <v>5668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967</v>
      </c>
      <c r="B18" t="s">
        <v>5665</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967</v>
      </c>
      <c r="B19" t="s">
        <v>5666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967</v>
      </c>
      <c r="B20" t="s">
        <v>5667</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967</v>
      </c>
      <c r="B21" t="s">
        <v>5668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979</v>
      </c>
      <c r="B22" t="s">
        <v>5665</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979</v>
      </c>
      <c r="B23" t="s">
        <v>5666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979</v>
      </c>
      <c r="B24" t="s">
        <v>5667</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979</v>
      </c>
      <c r="B25" t="s">
        <v>5668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1004</v>
      </c>
      <c r="B26" t="s">
        <v>5665</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1004</v>
      </c>
      <c r="B27" t="s">
        <v>5666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1004</v>
      </c>
      <c r="B28" t="s">
        <v>5667</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1004</v>
      </c>
      <c r="B29" t="s">
        <v>5668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5665</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5666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5667</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5668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5665</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5666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5667</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5668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1061</v>
      </c>
      <c r="B38" t="s">
        <v>5665</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1061</v>
      </c>
      <c r="B39" t="s">
        <v>5666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1061</v>
      </c>
      <c r="B40" t="s">
        <v>5667</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1061</v>
      </c>
      <c r="B41" t="s">
        <v>5668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1087</v>
      </c>
      <c r="B42" t="s">
        <v>5665</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0.0821917808219178</v>
      </c>
      <c r="I42" cm="1">
        <f t="array" ref="I42">INDEX('2 过程管理表单'!$171:$171,26+(COLUMN(G29)-1)*3)</f>
        <v>0.0849315068493151</v>
      </c>
      <c r="J42" cm="1">
        <f t="array" ref="J42">INDEX('2 过程管理表单'!$171:$171,26+(COLUMN(H29)-1)*3)</f>
        <v>0.0849315068493151</v>
      </c>
      <c r="K42" cm="1">
        <f t="array" ref="K42">INDEX('2 过程管理表单'!$171:$171,26+(COLUMN(I29)-1)*3)</f>
        <v>0.0821917808219178</v>
      </c>
      <c r="L42" cm="1">
        <f t="array" ref="L42">INDEX('2 过程管理表单'!$171:$171,26+(COLUMN(J29)-1)*3)</f>
        <v>0.0849315068493151</v>
      </c>
      <c r="M42" cm="1">
        <f t="array" ref="M42">INDEX('2 过程管理表单'!$171:$171,26+(COLUMN(K29)-1)*3)</f>
        <v>0.0821917808219178</v>
      </c>
      <c r="N42" cm="1">
        <f t="array" ref="N42">INDEX('2 过程管理表单'!$171:$171,26+(COLUMN(L29)-1)*3)</f>
        <v>0.0849315068493151</v>
      </c>
    </row>
    <row r="43" spans="1:14">
      <c r="A43" t="s">
        <v>1087</v>
      </c>
      <c r="B43" t="s">
        <v>5666</v>
      </c>
      <c r="C43">
        <f>C42</f>
        <v>0</v>
      </c>
      <c r="D43">
        <f>C43+D42</f>
        <v>0</v>
      </c>
      <c r="E43">
        <f t="shared" ref="E43:N43" si="20">D43+E42</f>
        <v>0</v>
      </c>
      <c r="F43">
        <f t="shared" si="20"/>
        <v>0</v>
      </c>
      <c r="G43">
        <f t="shared" si="20"/>
        <v>0</v>
      </c>
      <c r="H43">
        <f t="shared" si="20"/>
        <v>0.0821917808219178</v>
      </c>
      <c r="I43">
        <f t="shared" si="20"/>
        <v>0.167123287671233</v>
      </c>
      <c r="J43">
        <f t="shared" si="20"/>
        <v>0.252054794520548</v>
      </c>
      <c r="K43">
        <f t="shared" si="20"/>
        <v>0.334246575342466</v>
      </c>
      <c r="L43">
        <f t="shared" si="20"/>
        <v>0.419178082191781</v>
      </c>
      <c r="M43">
        <f t="shared" si="20"/>
        <v>0.501369863013699</v>
      </c>
      <c r="N43">
        <f t="shared" si="20"/>
        <v>0.586301369863014</v>
      </c>
    </row>
    <row r="44" spans="1:14">
      <c r="A44" t="s">
        <v>1087</v>
      </c>
      <c r="B44" t="s">
        <v>5667</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1087</v>
      </c>
      <c r="B45" t="s">
        <v>5668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5715</v>
      </c>
      <c r="C46">
        <f>C2+C6+C10+C14+C18+C22+C26+C30+C34+C38+C42</f>
        <v>3667.39051094891</v>
      </c>
      <c r="D46">
        <f t="shared" ref="D46:N46" si="22">D2+D6+D10+D14+D18+D22+D26+D30+D34+D38+D42</f>
        <v>3312.48175182482</v>
      </c>
      <c r="E46">
        <f t="shared" si="22"/>
        <v>3667.39051094891</v>
      </c>
      <c r="F46">
        <f t="shared" si="22"/>
        <v>3549.08759124088</v>
      </c>
      <c r="G46">
        <f t="shared" si="22"/>
        <v>3667.39051094891</v>
      </c>
      <c r="H46">
        <f t="shared" si="22"/>
        <v>3549.1697830217</v>
      </c>
      <c r="I46">
        <f t="shared" si="22"/>
        <v>3667.47544245576</v>
      </c>
      <c r="J46">
        <f t="shared" si="22"/>
        <v>3667.47544245576</v>
      </c>
      <c r="K46">
        <f t="shared" si="22"/>
        <v>3549.1697830217</v>
      </c>
      <c r="L46">
        <f t="shared" si="22"/>
        <v>3667.47544245576</v>
      </c>
      <c r="M46">
        <f t="shared" si="22"/>
        <v>3549.1697830217</v>
      </c>
      <c r="N46">
        <f t="shared" si="22"/>
        <v>3667.47544245576</v>
      </c>
    </row>
    <row r="47" spans="2:14">
      <c r="B47" t="s">
        <v>5716</v>
      </c>
      <c r="C47">
        <f>C46</f>
        <v>3667.39051094891</v>
      </c>
      <c r="D47">
        <f>C47+D46</f>
        <v>6979.87226277373</v>
      </c>
      <c r="E47">
        <f t="shared" ref="E47:N47" si="23">D47+E46</f>
        <v>10647.2627737226</v>
      </c>
      <c r="F47">
        <f t="shared" si="23"/>
        <v>14196.3503649635</v>
      </c>
      <c r="G47">
        <f t="shared" si="23"/>
        <v>17863.7408759124</v>
      </c>
      <c r="H47">
        <f t="shared" si="23"/>
        <v>21412.9106589341</v>
      </c>
      <c r="I47">
        <f t="shared" si="23"/>
        <v>25080.3861013899</v>
      </c>
      <c r="J47">
        <f t="shared" si="23"/>
        <v>28747.8615438457</v>
      </c>
      <c r="K47">
        <f t="shared" si="23"/>
        <v>32297.0313268674</v>
      </c>
      <c r="L47">
        <f t="shared" si="23"/>
        <v>35964.5067693231</v>
      </c>
      <c r="M47">
        <f t="shared" si="23"/>
        <v>39513.6765523448</v>
      </c>
      <c r="N47">
        <f t="shared" si="23"/>
        <v>43181.1519948006</v>
      </c>
    </row>
    <row r="48" spans="2:14">
      <c r="B48" t="s">
        <v>5717</v>
      </c>
      <c r="C48">
        <f>C4+C8+C12+C16+C20+C24+C28+C32+C36+C40+C44</f>
        <v>18867.92416</v>
      </c>
      <c r="D48">
        <f t="shared" ref="D48:N48" si="24">D4+D8+D12+D16+D20+D24+D28+D32+D36+D40+D44</f>
        <v>18867.92416</v>
      </c>
      <c r="E48">
        <f t="shared" si="24"/>
        <v>18867.92416</v>
      </c>
      <c r="F48">
        <f t="shared" si="24"/>
        <v>18867.92416</v>
      </c>
      <c r="G48">
        <f t="shared" si="24"/>
        <v>18867.92416</v>
      </c>
      <c r="H48">
        <f t="shared" si="24"/>
        <v>18867.92416</v>
      </c>
      <c r="I48">
        <f t="shared" si="24"/>
        <v>18867.92416</v>
      </c>
      <c r="J48">
        <f t="shared" si="24"/>
        <v>18867.92416</v>
      </c>
      <c r="K48">
        <f t="shared" si="24"/>
        <v>18867.92416</v>
      </c>
      <c r="L48">
        <f t="shared" si="24"/>
        <v>18867.92416</v>
      </c>
      <c r="M48">
        <f t="shared" si="24"/>
        <v>18867.92416</v>
      </c>
      <c r="N48">
        <f t="shared" si="24"/>
        <v>18867.92416</v>
      </c>
    </row>
    <row r="49" spans="2:14">
      <c r="B49" t="s">
        <v>5718</v>
      </c>
      <c r="C49">
        <f>C48</f>
        <v>18867.92416</v>
      </c>
      <c r="D49">
        <f>C49+D48</f>
        <v>37735.84832</v>
      </c>
      <c r="E49">
        <f t="shared" ref="E49:N49" si="25">D49+E48</f>
        <v>56603.77248</v>
      </c>
      <c r="F49">
        <f t="shared" si="25"/>
        <v>75471.69664</v>
      </c>
      <c r="G49">
        <f t="shared" si="25"/>
        <v>94339.6208</v>
      </c>
      <c r="H49">
        <f t="shared" si="25"/>
        <v>113207.54496</v>
      </c>
      <c r="I49">
        <f t="shared" si="25"/>
        <v>132075.46912</v>
      </c>
      <c r="J49">
        <f t="shared" si="25"/>
        <v>150943.39328</v>
      </c>
      <c r="K49">
        <f t="shared" si="25"/>
        <v>169811.31744</v>
      </c>
      <c r="L49">
        <f t="shared" si="25"/>
        <v>188679.2416</v>
      </c>
      <c r="M49">
        <f t="shared" si="25"/>
        <v>207547.16576</v>
      </c>
      <c r="N49">
        <f t="shared" si="25"/>
        <v>226415.08992</v>
      </c>
    </row>
  </sheetData>
  <autoFilter xmlns:etc="http://www.wps.cn/officeDocument/2017/etCustomData" ref="B1:B49"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4788</v>
      </c>
      <c r="C1" s="1" t="s">
        <v>5720</v>
      </c>
      <c r="D1" s="1" t="s">
        <v>5721</v>
      </c>
      <c r="E1" s="1" t="s">
        <v>5722</v>
      </c>
      <c r="F1" s="1" t="s">
        <v>5723</v>
      </c>
      <c r="G1" s="1" t="s">
        <v>5724</v>
      </c>
      <c r="H1" s="1" t="s">
        <v>5725</v>
      </c>
      <c r="I1" s="1" t="s">
        <v>5726</v>
      </c>
      <c r="J1" s="1" t="s">
        <v>5727</v>
      </c>
      <c r="K1" s="1" t="s">
        <v>5728</v>
      </c>
      <c r="L1" s="1" t="s">
        <v>5729</v>
      </c>
      <c r="M1" s="1" t="s">
        <v>5730</v>
      </c>
      <c r="N1" s="1" t="s">
        <v>5731</v>
      </c>
    </row>
    <row r="2" spans="1:14">
      <c r="A2" t="s">
        <v>218</v>
      </c>
      <c r="B2" t="s">
        <v>5665</v>
      </c>
      <c r="C2">
        <f>INDEX('2 过程管理表单'!$6:$6,26+(COLUMN(A$1)-1)*3)</f>
        <v>3667.39051094891</v>
      </c>
      <c r="D2">
        <f>INDEX('2 过程管理表单'!$6:$6,26+(COLUMN(B$1)-1)*3)</f>
        <v>3312.48175182482</v>
      </c>
      <c r="E2">
        <f>INDEX('2 过程管理表单'!$6:$6,26+(COLUMN(C$1)-1)*3)</f>
        <v>3667.39051094891</v>
      </c>
      <c r="F2">
        <f>INDEX('2 过程管理表单'!$6:$6,26+(COLUMN(D$1)-1)*3)</f>
        <v>3549.08759124088</v>
      </c>
      <c r="G2">
        <f>INDEX('2 过程管理表单'!$6:$6,26+(COLUMN(E$1)-1)*3)</f>
        <v>3667.39051094891</v>
      </c>
      <c r="H2">
        <f>INDEX('2 过程管理表单'!$6:$6,26+(COLUMN(F$1)-1)*3)</f>
        <v>3549.1697830217</v>
      </c>
      <c r="I2">
        <f>INDEX('2 过程管理表单'!$6:$6,26+(COLUMN(G$1)-1)*3)</f>
        <v>3667.47544245576</v>
      </c>
      <c r="J2">
        <f>INDEX('2 过程管理表单'!$6:$6,26+(COLUMN(H$1)-1)*3)</f>
        <v>3667.47544245576</v>
      </c>
      <c r="K2">
        <f>INDEX('2 过程管理表单'!$6:$6,26+(COLUMN(I$1)-1)*3)</f>
        <v>3549.1697830217</v>
      </c>
      <c r="L2">
        <f>INDEX('2 过程管理表单'!$6:$6,26+(COLUMN(J$1)-1)*3)</f>
        <v>3667.47544245576</v>
      </c>
      <c r="M2">
        <f>INDEX('2 过程管理表单'!$6:$6,26+(COLUMN(K$1)-1)*3)</f>
        <v>3549.1697830217</v>
      </c>
      <c r="N2">
        <f>INDEX('2 过程管理表单'!$6:$6,26+(COLUMN(L$1)-1)*3)</f>
        <v>3667.47544245576</v>
      </c>
    </row>
    <row r="3" spans="1:14">
      <c r="A3" t="s">
        <v>218</v>
      </c>
      <c r="B3" t="s">
        <v>5666</v>
      </c>
      <c r="C3">
        <f>C2</f>
        <v>3667.39051094891</v>
      </c>
      <c r="D3">
        <f>C3+D2</f>
        <v>6979.87226277373</v>
      </c>
      <c r="E3">
        <f t="shared" ref="E3:N3" si="0">D3+E2</f>
        <v>10647.2627737226</v>
      </c>
      <c r="F3">
        <f t="shared" si="0"/>
        <v>14196.3503649635</v>
      </c>
      <c r="G3">
        <f t="shared" si="0"/>
        <v>17863.7408759124</v>
      </c>
      <c r="H3">
        <f t="shared" si="0"/>
        <v>21412.9106589341</v>
      </c>
      <c r="I3">
        <f t="shared" si="0"/>
        <v>25080.3861013899</v>
      </c>
      <c r="J3">
        <f t="shared" si="0"/>
        <v>28747.8615438457</v>
      </c>
      <c r="K3">
        <f t="shared" si="0"/>
        <v>32297.0313268674</v>
      </c>
      <c r="L3">
        <f t="shared" si="0"/>
        <v>35964.5067693231</v>
      </c>
      <c r="M3">
        <f t="shared" si="0"/>
        <v>39513.6765523448</v>
      </c>
      <c r="N3">
        <f t="shared" si="0"/>
        <v>43181.1519948006</v>
      </c>
    </row>
    <row r="4" spans="1:14">
      <c r="A4" t="s">
        <v>218</v>
      </c>
      <c r="B4" t="s">
        <v>5667</v>
      </c>
      <c r="C4">
        <f>INDEX('2 过程管理表单'!$6:$6,24+(COLUMN(A$1)-1)*3)</f>
        <v>231902.924158</v>
      </c>
      <c r="D4">
        <f>INDEX('2 过程管理表单'!$6:$6,24+(COLUMN(B$1)-1)*3)</f>
        <v>221686.924158</v>
      </c>
      <c r="E4">
        <f>INDEX('2 过程管理表单'!$6:$6,24+(COLUMN(C$1)-1)*3)</f>
        <v>224536.924158</v>
      </c>
      <c r="F4">
        <f>INDEX('2 过程管理表单'!$6:$6,24+(COLUMN(D$1)-1)*3)</f>
        <v>221686.924158</v>
      </c>
      <c r="G4">
        <f>INDEX('2 过程管理表单'!$6:$6,24+(COLUMN(E$1)-1)*3)</f>
        <v>228036.924158</v>
      </c>
      <c r="H4">
        <f>INDEX('2 过程管理表单'!$6:$6,24+(COLUMN(F$1)-1)*3)</f>
        <v>221086.924158</v>
      </c>
      <c r="I4">
        <f>INDEX('2 过程管理表单'!$6:$6,24+(COLUMN(G$1)-1)*3)</f>
        <v>220386.924158</v>
      </c>
      <c r="J4">
        <f>INDEX('2 过程管理表单'!$6:$6,24+(COLUMN(H$1)-1)*3)</f>
        <v>224536.924158</v>
      </c>
      <c r="K4">
        <f>INDEX('2 过程管理表单'!$6:$6,24+(COLUMN(I$1)-1)*3)</f>
        <v>226186.924158</v>
      </c>
      <c r="L4">
        <f>INDEX('2 过程管理表单'!$6:$6,24+(COLUMN(J$1)-1)*3)</f>
        <v>224536.924158</v>
      </c>
      <c r="M4">
        <f>INDEX('2 过程管理表单'!$6:$6,24+(COLUMN(K$1)-1)*3)</f>
        <v>220386.924158</v>
      </c>
      <c r="N4">
        <f>INDEX('2 过程管理表单'!$6:$6,24+(COLUMN(L$1)-1)*3)</f>
        <v>220386.924158</v>
      </c>
    </row>
    <row r="5" spans="1:14">
      <c r="A5" t="s">
        <v>218</v>
      </c>
      <c r="B5" t="s">
        <v>5668</v>
      </c>
      <c r="C5">
        <f>C4</f>
        <v>231902.924158</v>
      </c>
      <c r="D5">
        <f>C5+D4</f>
        <v>453589.848316</v>
      </c>
      <c r="E5">
        <f t="shared" ref="E5:N5" si="1">D5+E4</f>
        <v>678126.772474</v>
      </c>
      <c r="F5">
        <f t="shared" si="1"/>
        <v>899813.696632</v>
      </c>
      <c r="G5">
        <f t="shared" si="1"/>
        <v>1127850.62079</v>
      </c>
      <c r="H5">
        <f t="shared" si="1"/>
        <v>1348937.544948</v>
      </c>
      <c r="I5">
        <f t="shared" si="1"/>
        <v>1569324.469106</v>
      </c>
      <c r="J5">
        <f t="shared" si="1"/>
        <v>1793861.393264</v>
      </c>
      <c r="K5">
        <f t="shared" si="1"/>
        <v>2020048.317422</v>
      </c>
      <c r="L5">
        <f t="shared" si="1"/>
        <v>2244585.24158</v>
      </c>
      <c r="M5">
        <f t="shared" si="1"/>
        <v>2464972.165738</v>
      </c>
      <c r="N5">
        <f t="shared" si="1"/>
        <v>2685359.089896</v>
      </c>
    </row>
    <row r="6" spans="1:14">
      <c r="A6" t="s">
        <v>220</v>
      </c>
      <c r="B6" t="s">
        <v>5665</v>
      </c>
      <c r="C6">
        <f>INDEX('2 过程管理表单'!$177:$177,26+(COLUMN(A$1)-1)*3)</f>
        <v>5646.96</v>
      </c>
      <c r="D6">
        <f>INDEX('2 过程管理表单'!$177:$177,26+(COLUMN(B$1)-1)*3)</f>
        <v>5100.48</v>
      </c>
      <c r="E6">
        <f>INDEX('2 过程管理表单'!$177:$177,26+(COLUMN(C$1)-1)*3)</f>
        <v>5646.96</v>
      </c>
      <c r="F6">
        <f>INDEX('2 过程管理表单'!$177:$177,26+(COLUMN(D$1)-1)*3)</f>
        <v>5464.8</v>
      </c>
      <c r="G6">
        <f>INDEX('2 过程管理表单'!$177:$177,26+(COLUMN(E$1)-1)*3)</f>
        <v>5646.96</v>
      </c>
      <c r="H6">
        <f>INDEX('2 过程管理表单'!$177:$177,26+(COLUMN(F$1)-1)*3)</f>
        <v>5464.8</v>
      </c>
      <c r="I6">
        <f>INDEX('2 过程管理表单'!$177:$177,26+(COLUMN(G$1)-1)*3)</f>
        <v>5646.96</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5666</v>
      </c>
      <c r="C7">
        <f>C6</f>
        <v>5646.96</v>
      </c>
      <c r="D7">
        <f>C7+D6</f>
        <v>10747.44</v>
      </c>
      <c r="E7">
        <f t="shared" ref="E7:N7" si="2">D7+E6</f>
        <v>16394.4</v>
      </c>
      <c r="F7">
        <f t="shared" si="2"/>
        <v>21859.2</v>
      </c>
      <c r="G7">
        <f t="shared" si="2"/>
        <v>27506.16</v>
      </c>
      <c r="H7">
        <f t="shared" si="2"/>
        <v>32970.96</v>
      </c>
      <c r="I7">
        <f t="shared" si="2"/>
        <v>38617.92</v>
      </c>
      <c r="J7">
        <f t="shared" si="2"/>
        <v>38617.92</v>
      </c>
      <c r="K7">
        <f t="shared" si="2"/>
        <v>38617.92</v>
      </c>
      <c r="L7">
        <f t="shared" si="2"/>
        <v>38617.92</v>
      </c>
      <c r="M7">
        <f t="shared" si="2"/>
        <v>38617.92</v>
      </c>
      <c r="N7">
        <f t="shared" si="2"/>
        <v>38617.92</v>
      </c>
    </row>
    <row r="8" spans="1:14">
      <c r="A8" t="s">
        <v>220</v>
      </c>
      <c r="B8" t="s">
        <v>5667</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5668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5665</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5666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5667</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5668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1573</v>
      </c>
      <c r="B14" t="s">
        <v>5665</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1573</v>
      </c>
      <c r="B15" t="s">
        <v>5666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1573</v>
      </c>
      <c r="B16" t="s">
        <v>5667</v>
      </c>
      <c r="C16">
        <f>INDEX('2 过程管理表单'!$509:$509,24+(COLUMN(A$1)-1)*3)</f>
        <v>43164.6</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1573</v>
      </c>
      <c r="B17" t="s">
        <v>5668</v>
      </c>
      <c r="C17">
        <f>C16</f>
        <v>43164.6</v>
      </c>
      <c r="D17">
        <f>C17+D16</f>
        <v>43164.6</v>
      </c>
      <c r="E17">
        <f t="shared" ref="E17:N17" si="7">D17+E16</f>
        <v>43164.6</v>
      </c>
      <c r="F17">
        <f t="shared" si="7"/>
        <v>43164.6</v>
      </c>
      <c r="G17">
        <f t="shared" si="7"/>
        <v>43164.6</v>
      </c>
      <c r="H17">
        <f t="shared" si="7"/>
        <v>43164.6</v>
      </c>
      <c r="I17">
        <f t="shared" si="7"/>
        <v>43164.6</v>
      </c>
      <c r="J17">
        <f t="shared" si="7"/>
        <v>43164.6</v>
      </c>
      <c r="K17">
        <f t="shared" si="7"/>
        <v>43164.6</v>
      </c>
      <c r="L17">
        <f t="shared" si="7"/>
        <v>43164.6</v>
      </c>
      <c r="M17">
        <f t="shared" si="7"/>
        <v>43164.6</v>
      </c>
      <c r="N17">
        <f t="shared" si="7"/>
        <v>43164.6</v>
      </c>
    </row>
    <row r="18" spans="1:14">
      <c r="A18" t="s">
        <v>1712</v>
      </c>
      <c r="B18" t="s">
        <v>5665</v>
      </c>
      <c r="C18">
        <f>INDEX('2 过程管理表单'!$516:$516,26+(COLUMN(A$1)-1)*3)</f>
        <v>1097.57</v>
      </c>
      <c r="D18">
        <f>INDEX('2 过程管理表单'!$516:$516,26+(COLUMN(B$1)-1)*3)</f>
        <v>0</v>
      </c>
      <c r="E18">
        <f>INDEX('2 过程管理表单'!$516:$516,26+(COLUMN(C$1)-1)*3)</f>
        <v>271.32</v>
      </c>
      <c r="F18">
        <f>INDEX('2 过程管理表单'!$516:$516,26+(COLUMN(D$1)-1)*3)</f>
        <v>1013.81</v>
      </c>
      <c r="G18">
        <f>INDEX('2 过程管理表单'!$516:$516,26+(COLUMN(E$1)-1)*3)</f>
        <v>838</v>
      </c>
      <c r="H18">
        <f>INDEX('2 过程管理表单'!$516:$516,26+(COLUMN(F$1)-1)*3)</f>
        <v>489.19</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1712</v>
      </c>
      <c r="B19" t="s">
        <v>5666</v>
      </c>
      <c r="C19">
        <f>C18</f>
        <v>1097.57</v>
      </c>
      <c r="D19">
        <f>C19+D18</f>
        <v>1097.57</v>
      </c>
      <c r="E19">
        <f t="shared" ref="E19:N19" si="8">D19+E18</f>
        <v>1368.89</v>
      </c>
      <c r="F19">
        <f t="shared" si="8"/>
        <v>2382.7</v>
      </c>
      <c r="G19">
        <f t="shared" si="8"/>
        <v>3220.7</v>
      </c>
      <c r="H19">
        <f t="shared" si="8"/>
        <v>3709.89</v>
      </c>
      <c r="I19">
        <f t="shared" si="8"/>
        <v>3709.89</v>
      </c>
      <c r="J19">
        <f t="shared" si="8"/>
        <v>3709.89</v>
      </c>
      <c r="K19">
        <f t="shared" si="8"/>
        <v>3709.89</v>
      </c>
      <c r="L19">
        <f t="shared" si="8"/>
        <v>3709.89</v>
      </c>
      <c r="M19">
        <f t="shared" si="8"/>
        <v>3709.89</v>
      </c>
      <c r="N19">
        <f t="shared" si="8"/>
        <v>3709.89</v>
      </c>
    </row>
    <row r="20" spans="1:14">
      <c r="A20" t="s">
        <v>1712</v>
      </c>
      <c r="B20" t="s">
        <v>5667</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1712</v>
      </c>
      <c r="B21" t="s">
        <v>5668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1800</v>
      </c>
      <c r="B22" t="s">
        <v>5665</v>
      </c>
      <c r="C22">
        <f>INDEX('2 过程管理表单'!$520:$520,26+(COLUMN(A$1)-1)*3)</f>
        <v>0</v>
      </c>
      <c r="D22">
        <f>INDEX('2 过程管理表单'!$520:$520,26+(COLUMN(B$1)-1)*3)</f>
        <v>0</v>
      </c>
      <c r="E22">
        <f>INDEX('2 过程管理表单'!$520:$520,26+(COLUMN(C$1)-1)*3)</f>
        <v>0</v>
      </c>
      <c r="F22">
        <f>INDEX('2 过程管理表单'!$520:$520,26+(COLUMN(D$1)-1)*3)</f>
        <v>474.5</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1800</v>
      </c>
      <c r="B23" t="s">
        <v>5666</v>
      </c>
      <c r="C23">
        <f>C22</f>
        <v>0</v>
      </c>
      <c r="D23">
        <f>C23+D22</f>
        <v>0</v>
      </c>
      <c r="E23">
        <f t="shared" ref="E23:N23" si="10">D23+E22</f>
        <v>0</v>
      </c>
      <c r="F23">
        <f t="shared" si="10"/>
        <v>474.5</v>
      </c>
      <c r="G23">
        <f t="shared" si="10"/>
        <v>474.5</v>
      </c>
      <c r="H23">
        <f t="shared" si="10"/>
        <v>474.5</v>
      </c>
      <c r="I23">
        <f t="shared" si="10"/>
        <v>474.5</v>
      </c>
      <c r="J23">
        <f t="shared" si="10"/>
        <v>474.5</v>
      </c>
      <c r="K23">
        <f t="shared" si="10"/>
        <v>474.5</v>
      </c>
      <c r="L23">
        <f t="shared" si="10"/>
        <v>474.5</v>
      </c>
      <c r="M23">
        <f t="shared" si="10"/>
        <v>474.5</v>
      </c>
      <c r="N23">
        <f t="shared" si="10"/>
        <v>474.5</v>
      </c>
    </row>
    <row r="24" spans="1:14">
      <c r="A24" t="s">
        <v>1800</v>
      </c>
      <c r="B24" t="s">
        <v>5667</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1800</v>
      </c>
      <c r="B25" t="s">
        <v>5668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1866</v>
      </c>
      <c r="B26" t="s">
        <v>5665</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1866</v>
      </c>
      <c r="B27" t="s">
        <v>5666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1866</v>
      </c>
      <c r="B28" t="s">
        <v>5667</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1866</v>
      </c>
      <c r="B29" t="s">
        <v>5668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1907</v>
      </c>
      <c r="B30" t="s">
        <v>5665</v>
      </c>
      <c r="C30">
        <f>INDEX('2 过程管理表单'!$527:$527,26+(COLUMN(A$1)-1)*3)</f>
        <v>270.86</v>
      </c>
      <c r="D30">
        <f>INDEX('2 过程管理表单'!$527:$527,26+(COLUMN(B$1)-1)*3)</f>
        <v>0</v>
      </c>
      <c r="E30">
        <f>INDEX('2 过程管理表单'!$527:$527,26+(COLUMN(C$1)-1)*3)</f>
        <v>34.25</v>
      </c>
      <c r="F30">
        <f>INDEX('2 过程管理表单'!$527:$527,26+(COLUMN(D$1)-1)*3)</f>
        <v>0</v>
      </c>
      <c r="G30">
        <f>INDEX('2 过程管理表单'!$527:$527,26+(COLUMN(E$1)-1)*3)</f>
        <v>0</v>
      </c>
      <c r="H30">
        <f>INDEX('2 过程管理表单'!$527:$527,26+(COLUMN(F$1)-1)*3)</f>
        <v>13.05</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1907</v>
      </c>
      <c r="B31" t="s">
        <v>5666</v>
      </c>
      <c r="C31">
        <f>C30</f>
        <v>270.86</v>
      </c>
      <c r="D31">
        <f>C31+D30</f>
        <v>270.86</v>
      </c>
      <c r="E31">
        <f t="shared" ref="E31:N31" si="14">D31+E30</f>
        <v>305.11</v>
      </c>
      <c r="F31">
        <f t="shared" si="14"/>
        <v>305.11</v>
      </c>
      <c r="G31">
        <f t="shared" si="14"/>
        <v>305.11</v>
      </c>
      <c r="H31">
        <f t="shared" si="14"/>
        <v>318.16</v>
      </c>
      <c r="I31">
        <f t="shared" si="14"/>
        <v>318.16</v>
      </c>
      <c r="J31">
        <f t="shared" si="14"/>
        <v>318.16</v>
      </c>
      <c r="K31">
        <f t="shared" si="14"/>
        <v>318.16</v>
      </c>
      <c r="L31">
        <f t="shared" si="14"/>
        <v>318.16</v>
      </c>
      <c r="M31">
        <f t="shared" si="14"/>
        <v>318.16</v>
      </c>
      <c r="N31">
        <f t="shared" si="14"/>
        <v>318.16</v>
      </c>
    </row>
    <row r="32" spans="1:14">
      <c r="A32" t="s">
        <v>1907</v>
      </c>
      <c r="B32" t="s">
        <v>5667</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1907</v>
      </c>
      <c r="B33" t="s">
        <v>5668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2018</v>
      </c>
      <c r="B34" t="s">
        <v>5665</v>
      </c>
      <c r="C34">
        <f>INDEX('2 过程管理表单'!$531:$531,26+(COLUMN(A$1)-1)*3)</f>
        <v>401.1</v>
      </c>
      <c r="D34">
        <f>INDEX('2 过程管理表单'!$531:$531,26+(COLUMN(B$1)-1)*3)</f>
        <v>0</v>
      </c>
      <c r="E34">
        <f>INDEX('2 过程管理表单'!$531:$531,26+(COLUMN(C$1)-1)*3)</f>
        <v>932.97</v>
      </c>
      <c r="F34">
        <f>INDEX('2 过程管理表单'!$531:$531,26+(COLUMN(D$1)-1)*3)</f>
        <v>0</v>
      </c>
      <c r="G34">
        <f>INDEX('2 过程管理表单'!$531:$531,26+(COLUMN(E$1)-1)*3)</f>
        <v>0</v>
      </c>
      <c r="H34">
        <f>INDEX('2 过程管理表单'!$531:$531,26+(COLUMN(F$1)-1)*3)</f>
        <v>963.96</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2018</v>
      </c>
      <c r="B35" t="s">
        <v>5666</v>
      </c>
      <c r="C35">
        <f>C34</f>
        <v>401.1</v>
      </c>
      <c r="D35">
        <f>C35+D34</f>
        <v>401.1</v>
      </c>
      <c r="E35">
        <f t="shared" ref="E35:N35" si="16">D35+E34</f>
        <v>1334.07</v>
      </c>
      <c r="F35">
        <f t="shared" si="16"/>
        <v>1334.07</v>
      </c>
      <c r="G35">
        <f t="shared" si="16"/>
        <v>1334.07</v>
      </c>
      <c r="H35">
        <f t="shared" si="16"/>
        <v>2298.03</v>
      </c>
      <c r="I35">
        <f t="shared" si="16"/>
        <v>2298.03</v>
      </c>
      <c r="J35">
        <f t="shared" si="16"/>
        <v>2298.03</v>
      </c>
      <c r="K35">
        <f t="shared" si="16"/>
        <v>2298.03</v>
      </c>
      <c r="L35">
        <f t="shared" si="16"/>
        <v>2298.03</v>
      </c>
      <c r="M35">
        <f t="shared" si="16"/>
        <v>2298.03</v>
      </c>
      <c r="N35">
        <f t="shared" si="16"/>
        <v>2298.03</v>
      </c>
    </row>
    <row r="36" spans="1:14">
      <c r="A36" t="s">
        <v>2018</v>
      </c>
      <c r="B36" t="s">
        <v>5667</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2018</v>
      </c>
      <c r="B37" t="s">
        <v>5668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2109</v>
      </c>
      <c r="B38" t="s">
        <v>5665</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2109</v>
      </c>
      <c r="B39" t="s">
        <v>5666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2109</v>
      </c>
      <c r="B40" t="s">
        <v>5667</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2109</v>
      </c>
      <c r="B41" t="s">
        <v>5668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2145</v>
      </c>
      <c r="B42" t="s">
        <v>5665</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2145</v>
      </c>
      <c r="B43" t="s">
        <v>5666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2145</v>
      </c>
      <c r="B44" t="s">
        <v>5667</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2145</v>
      </c>
      <c r="B45" t="s">
        <v>5668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2153</v>
      </c>
      <c r="B46" t="s">
        <v>5665</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2153</v>
      </c>
      <c r="B47" t="s">
        <v>5666</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2153</v>
      </c>
      <c r="B48" t="s">
        <v>5667</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2153</v>
      </c>
      <c r="B49" t="s">
        <v>5668</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2171</v>
      </c>
      <c r="B50" t="s">
        <v>5665</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2171</v>
      </c>
      <c r="B51" t="s">
        <v>5666</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2171</v>
      </c>
      <c r="B52" t="s">
        <v>5667</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2171</v>
      </c>
      <c r="B53" t="s">
        <v>5668</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2191</v>
      </c>
      <c r="B54" t="s">
        <v>5665</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2191</v>
      </c>
      <c r="B55" t="s">
        <v>5666</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2191</v>
      </c>
      <c r="B56" t="s">
        <v>5667</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2191</v>
      </c>
      <c r="B57" t="s">
        <v>5668</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2197</v>
      </c>
      <c r="B58" t="s">
        <v>5665</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2197</v>
      </c>
      <c r="B59" t="s">
        <v>5666</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2197</v>
      </c>
      <c r="B60" t="s">
        <v>5667</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2197</v>
      </c>
      <c r="B61" t="s">
        <v>5668</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2211</v>
      </c>
      <c r="B62" t="s">
        <v>5665</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2211</v>
      </c>
      <c r="B63" t="s">
        <v>5666</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2211</v>
      </c>
      <c r="B64" t="s">
        <v>5667</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2211</v>
      </c>
      <c r="B65" t="s">
        <v>5668</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2229</v>
      </c>
      <c r="B66" t="s">
        <v>5665</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2229</v>
      </c>
      <c r="B67" t="s">
        <v>5666</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2229</v>
      </c>
      <c r="B68" t="s">
        <v>5667</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2229</v>
      </c>
      <c r="B69" t="s">
        <v>5668</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2235</v>
      </c>
      <c r="B70" t="s">
        <v>5665</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2235</v>
      </c>
      <c r="B71" t="s">
        <v>5666</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2235</v>
      </c>
      <c r="B72" t="s">
        <v>5667</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2235</v>
      </c>
      <c r="B73" t="s">
        <v>5668</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2248</v>
      </c>
      <c r="B74" t="s">
        <v>5665</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2248</v>
      </c>
      <c r="B75" t="s">
        <v>5666</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2248</v>
      </c>
      <c r="B76" t="s">
        <v>5667</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2248</v>
      </c>
      <c r="B77" t="s">
        <v>5668</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5665</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5666</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5667</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5668</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5665</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5666</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5667</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5668</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5665</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5666</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5667</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5668</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5665</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5666</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5667</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5668</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5665</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5666</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5667</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5668</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5665</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5666</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5667</v>
      </c>
      <c r="C100">
        <f>INDEX('2 过程管理表单'!$604:$604,24+(COLUMN(A$1)-1)*3)</f>
        <v>36000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5668</v>
      </c>
      <c r="C101">
        <f>C100</f>
        <v>36000</v>
      </c>
      <c r="D101">
        <f>C101+D100</f>
        <v>36000</v>
      </c>
      <c r="E101">
        <f t="shared" ref="E101:N101" si="49">D101+E100</f>
        <v>36000</v>
      </c>
      <c r="F101">
        <f t="shared" si="49"/>
        <v>36000</v>
      </c>
      <c r="G101">
        <f t="shared" si="49"/>
        <v>36000</v>
      </c>
      <c r="H101">
        <f t="shared" si="49"/>
        <v>36000</v>
      </c>
      <c r="I101">
        <f t="shared" si="49"/>
        <v>36000</v>
      </c>
      <c r="J101">
        <f t="shared" si="49"/>
        <v>36000</v>
      </c>
      <c r="K101">
        <f t="shared" si="49"/>
        <v>36000</v>
      </c>
      <c r="L101">
        <f t="shared" si="49"/>
        <v>36000</v>
      </c>
      <c r="M101">
        <f t="shared" si="49"/>
        <v>36000</v>
      </c>
      <c r="N101">
        <f t="shared" si="49"/>
        <v>36000</v>
      </c>
    </row>
    <row r="102" spans="1:14">
      <c r="A102" t="s">
        <v>137</v>
      </c>
      <c r="B102" t="s">
        <v>5665</v>
      </c>
      <c r="C102">
        <f>INDEX('2 过程管理表单'!$605:$605,26+(COLUMN(A$1)-1)*3)</f>
        <v>0</v>
      </c>
      <c r="D102">
        <f>INDEX('2 过程管理表单'!$605:$605,26+(COLUMN(B$1)-1)*3)</f>
        <v>0</v>
      </c>
      <c r="E102">
        <f>INDEX('2 过程管理表单'!$605:$605,26+(COLUMN(C$1)-1)*3)</f>
        <v>4711.6</v>
      </c>
      <c r="F102">
        <f>INDEX('2 过程管理表单'!$605:$605,26+(COLUMN(D$1)-1)*3)</f>
        <v>0</v>
      </c>
      <c r="G102">
        <f>INDEX('2 过程管理表单'!$605:$605,26+(COLUMN(E$1)-1)*3)</f>
        <v>0</v>
      </c>
      <c r="H102">
        <f>INDEX('2 过程管理表单'!$605:$605,26+(COLUMN(F$1)-1)*3)</f>
        <v>4711.6</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5666</v>
      </c>
      <c r="C103">
        <f>C102</f>
        <v>0</v>
      </c>
      <c r="D103">
        <f>C103+D102</f>
        <v>0</v>
      </c>
      <c r="E103">
        <f t="shared" ref="E103:N103" si="50">D103+E102</f>
        <v>4711.6</v>
      </c>
      <c r="F103">
        <f t="shared" si="50"/>
        <v>4711.6</v>
      </c>
      <c r="G103">
        <f t="shared" si="50"/>
        <v>4711.6</v>
      </c>
      <c r="H103">
        <f t="shared" si="50"/>
        <v>9423.2</v>
      </c>
      <c r="I103">
        <f t="shared" si="50"/>
        <v>9423.2</v>
      </c>
      <c r="J103">
        <f t="shared" si="50"/>
        <v>9423.2</v>
      </c>
      <c r="K103">
        <f t="shared" si="50"/>
        <v>9423.2</v>
      </c>
      <c r="L103">
        <f t="shared" si="50"/>
        <v>9423.2</v>
      </c>
      <c r="M103">
        <f t="shared" si="50"/>
        <v>9423.2</v>
      </c>
      <c r="N103">
        <f t="shared" si="50"/>
        <v>9423.2</v>
      </c>
    </row>
    <row r="104" spans="1:14">
      <c r="A104" t="s">
        <v>137</v>
      </c>
      <c r="B104" t="s">
        <v>5667</v>
      </c>
      <c r="C104">
        <f>INDEX('2 过程管理表单'!$605:$605,24+(COLUMN(A$1)-1)*3)</f>
        <v>186</v>
      </c>
      <c r="D104">
        <f>INDEX('2 过程管理表单'!$605:$605,24+(COLUMN(B$1)-1)*3)</f>
        <v>186</v>
      </c>
      <c r="E104">
        <f>INDEX('2 过程管理表单'!$605:$605,24+(COLUMN(C$1)-1)*3)</f>
        <v>186</v>
      </c>
      <c r="F104">
        <f>INDEX('2 过程管理表单'!$605:$605,24+(COLUMN(D$1)-1)*3)</f>
        <v>186</v>
      </c>
      <c r="G104">
        <f>INDEX('2 过程管理表单'!$605:$605,24+(COLUMN(E$1)-1)*3)</f>
        <v>186</v>
      </c>
      <c r="H104">
        <f>INDEX('2 过程管理表单'!$605:$605,24+(COLUMN(F$1)-1)*3)</f>
        <v>186</v>
      </c>
      <c r="I104">
        <f>INDEX('2 过程管理表单'!$605:$605,24+(COLUMN(G$1)-1)*3)</f>
        <v>186</v>
      </c>
      <c r="J104">
        <f>INDEX('2 过程管理表单'!$605:$605,24+(COLUMN(H$1)-1)*3)</f>
        <v>186</v>
      </c>
      <c r="K104">
        <f>INDEX('2 过程管理表单'!$605:$605,24+(COLUMN(I$1)-1)*3)</f>
        <v>186</v>
      </c>
      <c r="L104">
        <f>INDEX('2 过程管理表单'!$605:$605,24+(COLUMN(J$1)-1)*3)</f>
        <v>186</v>
      </c>
      <c r="M104">
        <f>INDEX('2 过程管理表单'!$605:$605,24+(COLUMN(K$1)-1)*3)</f>
        <v>186</v>
      </c>
      <c r="N104">
        <f>INDEX('2 过程管理表单'!$605:$605,24+(COLUMN(L$1)-1)*3)</f>
        <v>186</v>
      </c>
    </row>
    <row r="105" spans="1:14">
      <c r="A105" t="s">
        <v>137</v>
      </c>
      <c r="B105" t="s">
        <v>5668</v>
      </c>
      <c r="C105">
        <f>C104</f>
        <v>186</v>
      </c>
      <c r="D105">
        <f>C105+D104</f>
        <v>372</v>
      </c>
      <c r="E105">
        <f t="shared" ref="E105:N105" si="51">D105+E104</f>
        <v>558</v>
      </c>
      <c r="F105">
        <f t="shared" si="51"/>
        <v>744</v>
      </c>
      <c r="G105">
        <f t="shared" si="51"/>
        <v>930</v>
      </c>
      <c r="H105">
        <f t="shared" si="51"/>
        <v>1116</v>
      </c>
      <c r="I105">
        <f t="shared" si="51"/>
        <v>1302</v>
      </c>
      <c r="J105">
        <f t="shared" si="51"/>
        <v>1488</v>
      </c>
      <c r="K105">
        <f t="shared" si="51"/>
        <v>1674</v>
      </c>
      <c r="L105">
        <f t="shared" si="51"/>
        <v>1860</v>
      </c>
      <c r="M105">
        <f t="shared" si="51"/>
        <v>2046</v>
      </c>
      <c r="N105">
        <f t="shared" si="51"/>
        <v>2232</v>
      </c>
    </row>
    <row r="106" spans="1:14">
      <c r="A106" t="s">
        <v>141</v>
      </c>
      <c r="B106" t="s">
        <v>5665</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5666</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5667</v>
      </c>
      <c r="C108">
        <f>INDEX('2 过程管理表单'!$608:$608,24+(COLUMN(A$1)-1)*3)</f>
        <v>3601.6675</v>
      </c>
      <c r="D108">
        <f>INDEX('2 过程管理表单'!$608:$608,24+(COLUMN(B$1)-1)*3)</f>
        <v>3601.6675</v>
      </c>
      <c r="E108">
        <f>INDEX('2 过程管理表单'!$608:$608,24+(COLUMN(C$1)-1)*3)</f>
        <v>3601.6675</v>
      </c>
      <c r="F108">
        <f>INDEX('2 过程管理表单'!$608:$608,24+(COLUMN(D$1)-1)*3)</f>
        <v>3601.6675</v>
      </c>
      <c r="G108">
        <f>INDEX('2 过程管理表单'!$608:$608,24+(COLUMN(E$1)-1)*3)</f>
        <v>3601.6675</v>
      </c>
      <c r="H108">
        <f>INDEX('2 过程管理表单'!$608:$608,24+(COLUMN(F$1)-1)*3)</f>
        <v>3601.6675</v>
      </c>
      <c r="I108">
        <f>INDEX('2 过程管理表单'!$608:$608,24+(COLUMN(G$1)-1)*3)</f>
        <v>3601.6675</v>
      </c>
      <c r="J108">
        <f>INDEX('2 过程管理表单'!$608:$608,24+(COLUMN(H$1)-1)*3)</f>
        <v>3601.6675</v>
      </c>
      <c r="K108">
        <f>INDEX('2 过程管理表单'!$608:$608,24+(COLUMN(I$1)-1)*3)</f>
        <v>3601.6675</v>
      </c>
      <c r="L108">
        <f>INDEX('2 过程管理表单'!$608:$608,24+(COLUMN(J$1)-1)*3)</f>
        <v>3601.6675</v>
      </c>
      <c r="M108">
        <f>INDEX('2 过程管理表单'!$608:$608,24+(COLUMN(K$1)-1)*3)</f>
        <v>3601.6675</v>
      </c>
      <c r="N108">
        <f>INDEX('2 过程管理表单'!$608:$608,24+(COLUMN(L$1)-1)*3)</f>
        <v>3601.6675</v>
      </c>
    </row>
    <row r="109" spans="1:14">
      <c r="A109" t="s">
        <v>141</v>
      </c>
      <c r="B109" t="s">
        <v>5668</v>
      </c>
      <c r="C109">
        <f>C108</f>
        <v>3601.6675</v>
      </c>
      <c r="D109">
        <f>C109+D108</f>
        <v>7203.335</v>
      </c>
      <c r="E109">
        <f t="shared" ref="E109:N109" si="53">D109+E108</f>
        <v>10805.0025</v>
      </c>
      <c r="F109">
        <f t="shared" si="53"/>
        <v>14406.67</v>
      </c>
      <c r="G109">
        <f t="shared" si="53"/>
        <v>18008.3375</v>
      </c>
      <c r="H109">
        <f t="shared" si="53"/>
        <v>21610.005</v>
      </c>
      <c r="I109">
        <f t="shared" si="53"/>
        <v>25211.6725</v>
      </c>
      <c r="J109">
        <f t="shared" si="53"/>
        <v>28813.34</v>
      </c>
      <c r="K109">
        <f t="shared" si="53"/>
        <v>32415.0075</v>
      </c>
      <c r="L109">
        <f t="shared" si="53"/>
        <v>36016.675</v>
      </c>
      <c r="M109">
        <f t="shared" si="53"/>
        <v>39618.3425</v>
      </c>
      <c r="N109">
        <f t="shared" si="53"/>
        <v>43220.01</v>
      </c>
    </row>
    <row r="110" spans="1:14">
      <c r="A110" t="s">
        <v>102</v>
      </c>
      <c r="B110" t="s">
        <v>5665</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5666</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5667</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5668</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5665</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5666</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5667</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5668</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5665</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5666</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5667</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5668</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5665</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5666</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5667</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5668</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5665</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5666</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5667</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5668</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5665</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5666</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5667</v>
      </c>
      <c r="C132">
        <f>INDEX('2 过程管理表单'!$615:$615,24+(COLUMN(A$1)-1)*3)</f>
        <v>5019</v>
      </c>
      <c r="D132">
        <f>INDEX('2 过程管理表单'!$615:$615,24+(COLUMN(B$1)-1)*3)</f>
        <v>5019</v>
      </c>
      <c r="E132">
        <f>INDEX('2 过程管理表单'!$615:$615,24+(COLUMN(C$1)-1)*3)</f>
        <v>5019</v>
      </c>
      <c r="F132">
        <f>INDEX('2 过程管理表单'!$615:$615,24+(COLUMN(D$1)-1)*3)</f>
        <v>5019</v>
      </c>
      <c r="G132">
        <f>INDEX('2 过程管理表单'!$615:$615,24+(COLUMN(E$1)-1)*3)</f>
        <v>5019</v>
      </c>
      <c r="H132">
        <f>INDEX('2 过程管理表单'!$615:$615,24+(COLUMN(F$1)-1)*3)</f>
        <v>5019</v>
      </c>
      <c r="I132">
        <f>INDEX('2 过程管理表单'!$615:$615,24+(COLUMN(G$1)-1)*3)</f>
        <v>5019</v>
      </c>
      <c r="J132">
        <f>INDEX('2 过程管理表单'!$615:$615,24+(COLUMN(H$1)-1)*3)</f>
        <v>5019</v>
      </c>
      <c r="K132">
        <f>INDEX('2 过程管理表单'!$615:$615,24+(COLUMN(I$1)-1)*3)</f>
        <v>5019</v>
      </c>
      <c r="L132">
        <f>INDEX('2 过程管理表单'!$615:$615,24+(COLUMN(J$1)-1)*3)</f>
        <v>5019</v>
      </c>
      <c r="M132">
        <f>INDEX('2 过程管理表单'!$615:$615,24+(COLUMN(K$1)-1)*3)</f>
        <v>5019</v>
      </c>
      <c r="N132">
        <f>INDEX('2 过程管理表单'!$615:$615,24+(COLUMN(L$1)-1)*3)</f>
        <v>5019</v>
      </c>
    </row>
    <row r="133" spans="1:14">
      <c r="A133" t="s">
        <v>78</v>
      </c>
      <c r="B133" t="s">
        <v>5668</v>
      </c>
      <c r="C133">
        <f>C132</f>
        <v>5019</v>
      </c>
      <c r="D133">
        <f>C133+D132</f>
        <v>10038</v>
      </c>
      <c r="E133">
        <f t="shared" ref="E133:N133" si="65">D133+E132</f>
        <v>15057</v>
      </c>
      <c r="F133">
        <f t="shared" si="65"/>
        <v>20076</v>
      </c>
      <c r="G133">
        <f t="shared" si="65"/>
        <v>25095</v>
      </c>
      <c r="H133">
        <f t="shared" si="65"/>
        <v>30114</v>
      </c>
      <c r="I133">
        <f t="shared" si="65"/>
        <v>35133</v>
      </c>
      <c r="J133">
        <f t="shared" si="65"/>
        <v>40152</v>
      </c>
      <c r="K133">
        <f t="shared" si="65"/>
        <v>45171</v>
      </c>
      <c r="L133">
        <f t="shared" si="65"/>
        <v>50190</v>
      </c>
      <c r="M133">
        <f t="shared" si="65"/>
        <v>55209</v>
      </c>
      <c r="N133">
        <f t="shared" si="65"/>
        <v>60228</v>
      </c>
    </row>
    <row r="134" spans="1:14">
      <c r="A134" t="s">
        <v>2273</v>
      </c>
      <c r="B134" t="s">
        <v>5665</v>
      </c>
      <c r="C134">
        <f>INDEX('2 过程管理表单'!$617:$617,26+(COLUMN(A$1)-1)*3)</f>
        <v>138</v>
      </c>
      <c r="D134">
        <f>INDEX('2 过程管理表单'!$617:$617,26+(COLUMN(B$1)-1)*3)</f>
        <v>0</v>
      </c>
      <c r="E134">
        <f>INDEX('2 过程管理表单'!$617:$617,26+(COLUMN(C$1)-1)*3)</f>
        <v>140</v>
      </c>
      <c r="F134">
        <f>INDEX('2 过程管理表单'!$617:$617,26+(COLUMN(D$1)-1)*3)</f>
        <v>0</v>
      </c>
      <c r="G134">
        <f>INDEX('2 过程管理表单'!$617:$617,26+(COLUMN(E$1)-1)*3)</f>
        <v>138</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2273</v>
      </c>
      <c r="B135" t="s">
        <v>5666</v>
      </c>
      <c r="C135">
        <f>C134</f>
        <v>138</v>
      </c>
      <c r="D135">
        <f>C135+D134</f>
        <v>138</v>
      </c>
      <c r="E135">
        <f t="shared" ref="E135:N135" si="66">D135+E134</f>
        <v>278</v>
      </c>
      <c r="F135">
        <f t="shared" si="66"/>
        <v>278</v>
      </c>
      <c r="G135">
        <f t="shared" si="66"/>
        <v>416</v>
      </c>
      <c r="H135">
        <f t="shared" si="66"/>
        <v>416</v>
      </c>
      <c r="I135">
        <f t="shared" si="66"/>
        <v>416</v>
      </c>
      <c r="J135">
        <f t="shared" si="66"/>
        <v>416</v>
      </c>
      <c r="K135">
        <f t="shared" si="66"/>
        <v>416</v>
      </c>
      <c r="L135">
        <f t="shared" si="66"/>
        <v>416</v>
      </c>
      <c r="M135">
        <f t="shared" si="66"/>
        <v>416</v>
      </c>
      <c r="N135">
        <f t="shared" si="66"/>
        <v>416</v>
      </c>
    </row>
    <row r="136" spans="1:14">
      <c r="A136" t="s">
        <v>2273</v>
      </c>
      <c r="B136" t="s">
        <v>5667</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2273</v>
      </c>
      <c r="B137" t="s">
        <v>5668</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2327</v>
      </c>
      <c r="B138" t="s">
        <v>5665</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2327</v>
      </c>
      <c r="B139" t="s">
        <v>5666</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2327</v>
      </c>
      <c r="B140" t="s">
        <v>5667</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2327</v>
      </c>
      <c r="B141" t="s">
        <v>5668</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2330</v>
      </c>
      <c r="B142" t="s">
        <v>5665</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2330</v>
      </c>
      <c r="B143" t="s">
        <v>5666</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2330</v>
      </c>
      <c r="B144" t="s">
        <v>5667</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2330</v>
      </c>
      <c r="B145" t="s">
        <v>5668</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2333</v>
      </c>
      <c r="B146" t="s">
        <v>5665</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2333</v>
      </c>
      <c r="B147" t="s">
        <v>5666</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2333</v>
      </c>
      <c r="B148" t="s">
        <v>5667</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2333</v>
      </c>
      <c r="B149" t="s">
        <v>5668</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2335</v>
      </c>
      <c r="B150" t="s">
        <v>5665</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2335</v>
      </c>
      <c r="B151" t="s">
        <v>5666</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2335</v>
      </c>
      <c r="B152" t="s">
        <v>5667</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2335</v>
      </c>
      <c r="B153" t="s">
        <v>5668</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5732</v>
      </c>
      <c r="C155" t="s">
        <v>714</v>
      </c>
      <c r="D155" t="s">
        <v>715</v>
      </c>
      <c r="E155" t="s">
        <v>716</v>
      </c>
      <c r="F155" t="s">
        <v>717</v>
      </c>
      <c r="G155" t="s">
        <v>718</v>
      </c>
      <c r="H155" t="s">
        <v>719</v>
      </c>
      <c r="I155" t="s">
        <v>720</v>
      </c>
      <c r="J155" t="s">
        <v>721</v>
      </c>
      <c r="K155" t="s">
        <v>722</v>
      </c>
      <c r="L155" t="s">
        <v>723</v>
      </c>
      <c r="M155" t="s">
        <v>724</v>
      </c>
      <c r="N155" t="s">
        <v>725</v>
      </c>
    </row>
    <row r="156" spans="1:14">
      <c r="A156" t="s">
        <v>218</v>
      </c>
      <c r="B156" t="s">
        <v>5733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5734</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5735</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1573</v>
      </c>
      <c r="B159" t="s">
        <v>5736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1712</v>
      </c>
      <c r="B160" t="s">
        <v>5737</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1800</v>
      </c>
      <c r="B161" t="s">
        <v>5738</v>
      </c>
      <c r="C161">
        <f>IF(C23&gt;C25,1,0)</f>
        <v>0</v>
      </c>
      <c r="D161">
        <f t="shared" ref="D161:N161" si="81">IF(D23&gt;D25,1,0)</f>
        <v>0</v>
      </c>
      <c r="E161">
        <f t="shared" si="81"/>
        <v>0</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1866</v>
      </c>
      <c r="B162" t="s">
        <v>5739</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1907</v>
      </c>
      <c r="B163" t="s">
        <v>5740</v>
      </c>
      <c r="C163">
        <f>IF(C31&gt;C33,1,0)</f>
        <v>1</v>
      </c>
      <c r="D163">
        <f t="shared" ref="D163:N163" si="83">IF(D31&gt;D33,1,0)</f>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2018</v>
      </c>
      <c r="B164" t="s">
        <v>5741</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2109</v>
      </c>
      <c r="B165" t="s">
        <v>5742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2145</v>
      </c>
      <c r="B166" t="s">
        <v>5743</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2153</v>
      </c>
      <c r="B167" t="s">
        <v>5744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2171</v>
      </c>
      <c r="B168" t="s">
        <v>5745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2191</v>
      </c>
      <c r="B169" t="s">
        <v>5746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2197</v>
      </c>
      <c r="B170" t="s">
        <v>5747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2211</v>
      </c>
      <c r="B171" t="s">
        <v>5748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2229</v>
      </c>
      <c r="B172" t="s">
        <v>5749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2235</v>
      </c>
      <c r="B173" t="s">
        <v>5750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2248</v>
      </c>
      <c r="B174" t="s">
        <v>5751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5752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5753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5754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5755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5756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5757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5758</v>
      </c>
      <c r="C181">
        <f>IF(C103&gt;C105,1,0)</f>
        <v>0</v>
      </c>
      <c r="D181">
        <f t="shared" ref="D181:N181" si="101">IF(D103&gt;D105,1,0)</f>
        <v>0</v>
      </c>
      <c r="E181">
        <f t="shared" si="101"/>
        <v>1</v>
      </c>
      <c r="F181">
        <f t="shared" si="101"/>
        <v>1</v>
      </c>
      <c r="G181">
        <f t="shared" si="101"/>
        <v>1</v>
      </c>
      <c r="H181">
        <f t="shared" si="101"/>
        <v>1</v>
      </c>
      <c r="I181">
        <f t="shared" si="101"/>
        <v>1</v>
      </c>
      <c r="J181">
        <f t="shared" si="101"/>
        <v>1</v>
      </c>
      <c r="K181">
        <f t="shared" si="101"/>
        <v>1</v>
      </c>
      <c r="L181">
        <f t="shared" si="101"/>
        <v>1</v>
      </c>
      <c r="M181">
        <f t="shared" si="101"/>
        <v>1</v>
      </c>
      <c r="N181">
        <f t="shared" si="101"/>
        <v>1</v>
      </c>
    </row>
    <row r="182" spans="1:14">
      <c r="A182" t="s">
        <v>141</v>
      </c>
      <c r="B182" t="s">
        <v>5759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5760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5761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5762</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2273</v>
      </c>
      <c r="B189" t="s">
        <v>5763</v>
      </c>
      <c r="C189">
        <f>IF(C135&gt;C137,1,0)</f>
        <v>1</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2327</v>
      </c>
      <c r="B190" t="s">
        <v>5764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2330</v>
      </c>
      <c r="B191" t="s">
        <v>5765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2333</v>
      </c>
      <c r="B192" t="s">
        <v>5766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2335</v>
      </c>
      <c r="B193" t="s">
        <v>5767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2377</v>
      </c>
      <c r="C194">
        <f>SUM(C156:C193)</f>
        <v>5</v>
      </c>
      <c r="D194">
        <f t="shared" ref="D194:N194" si="114">SUM(D156:D193)</f>
        <v>5</v>
      </c>
      <c r="E194">
        <f t="shared" si="114"/>
        <v>6</v>
      </c>
      <c r="F194">
        <f t="shared" si="114"/>
        <v>7</v>
      </c>
      <c r="G194">
        <f t="shared" si="114"/>
        <v>7</v>
      </c>
      <c r="H194">
        <f t="shared" si="114"/>
        <v>7</v>
      </c>
      <c r="I194">
        <f t="shared" si="114"/>
        <v>7</v>
      </c>
      <c r="J194">
        <f t="shared" si="114"/>
        <v>7</v>
      </c>
      <c r="K194">
        <f t="shared" si="114"/>
        <v>7</v>
      </c>
      <c r="L194">
        <f t="shared" si="114"/>
        <v>7</v>
      </c>
      <c r="M194">
        <f t="shared" si="114"/>
        <v>7</v>
      </c>
      <c r="N194">
        <f t="shared" si="114"/>
        <v>7</v>
      </c>
    </row>
    <row r="195" spans="2:14">
      <c r="B195" t="s">
        <v>5768</v>
      </c>
      <c r="C195">
        <f>C194</f>
        <v>5</v>
      </c>
      <c r="D195">
        <f>C195+D194</f>
        <v>10</v>
      </c>
      <c r="E195">
        <f t="shared" ref="E195:N195" si="115">D195+E194</f>
        <v>16</v>
      </c>
      <c r="F195">
        <f t="shared" si="115"/>
        <v>23</v>
      </c>
      <c r="G195">
        <f t="shared" si="115"/>
        <v>30</v>
      </c>
      <c r="H195">
        <f t="shared" si="115"/>
        <v>37</v>
      </c>
      <c r="I195">
        <f t="shared" si="115"/>
        <v>44</v>
      </c>
      <c r="J195">
        <f t="shared" si="115"/>
        <v>51</v>
      </c>
      <c r="K195">
        <f t="shared" si="115"/>
        <v>58</v>
      </c>
      <c r="L195">
        <f t="shared" si="115"/>
        <v>65</v>
      </c>
      <c r="M195">
        <f t="shared" si="115"/>
        <v>72</v>
      </c>
      <c r="N195">
        <f t="shared" si="115"/>
        <v>79</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8" master="" otherUserPermission="visible"/>
  <rangeList sheetStid="42"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7" master="" otherUserPermission="visible"/>
  <rangeList sheetStid="30" master="" otherUserPermission="visible"/>
  <rangeList sheetStid="39" master="" otherUserPermission="visible"/>
  <rangeList sheetStid="40" master="" otherUserPermission="visible"/>
  <rangeList sheetStid="41"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预算主表</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2025-08-27T07:51:59Z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F47A7142F31F453B84FCEDE5B07CA79D_13</vt:lpwstr>
  </property>
  <property fmtid="{D5CDD505-2E9C-101B-9397-08002B2CF9AE}" pid="3" name="KSOProductBuildVer">
    <vt:lpwstr>2052-12.1.0.22529</vt:lpwstr>
  </property>
  <property fmtid="{D5CDD505-2E9C-101B-9397-08002B2CF9AE}" pid="4" name="KSOReadingLayout">
    <vt:bool>false</vt:bool>
  </property>
</Properties>
</file>