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haredlinks.xml" ContentType="application/vnd.ms-excel.sharedlink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2"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state="hidden"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引出数据_合同数据仓库'!$A$1:$BP$14</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<sst xmlns="http://schemas.openxmlformats.org/spreadsheetml/2006/main" count="17726" uniqueCount="4345">
  <si>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</si>
  <si>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</si>
  <si>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</si>
  <si>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</si>
  <si>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</si>
  <si>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</si>
  <si>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</si>
  <si>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</si>
  <si>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</si>
  <si>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</si>
  <si>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</si>
  <si>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</si>
  <si>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</si>
  <si>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</si>
  <si>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</si>
  <si>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</si>
  <si>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</si>
  <si>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</si>
  <si>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</si>
  <si>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</si>
  <si>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</si>
  <si>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</si>
  <si>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</si>
  <si>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</si>
  <si>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</si>
  <si>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</si>
  <si>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</si>
  <si>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</si>
  <si>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</si>
  <si>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</si>
  <si>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</si>
  <si>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</si>
  <si>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</si>
  <si>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</si>
  <si>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</si>
  <si>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</si>
  <si>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</si>
  <si>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</si>
  <si>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</si>
  <si>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</si>
  <si>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</si>
  <si>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</si>
  <si>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</si>
  <si>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</si>
  <si>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</si>
  <si>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</si>
  <si>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</si>
  <si>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</si>
  <si>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</si>
  <si>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</si>
  <si>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</si>
  <si>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</si>
  <si>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</si>
  <si>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</si>
  <si>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</si>
  <si>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</si>
  <si>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</si>
  <si>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</si>
  <si>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</si>
  <si>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</si>
  <si>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</si>
  <si>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</si>
  <si>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</si>
  <si>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</si>
  <si>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</si>
  <si>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</si>
  <si>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</si>
  <si>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</si>
  <si>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</si>
  <si>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</si>
  <si>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</si>
  <si>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</si>
  <si>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</si>
  <si>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</si>
  <si>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</si>
  <si>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</si>
  <si>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</si>
  <si>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</si>
  <si>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</si>
  <si>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</si>
  <si>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</si>
  <si>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</si>
  <si>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</si>
  <si>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</si>
  <si>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</si>
  <si>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</si>
  <si>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</si>
  <si>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</si>
  <si>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</si>
  <si>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</si>
  <si>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</si>
  <si>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</si>
  <si>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</si>
  <si>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</si>
  <si>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</si>
  <si>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</si>
  <si>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</si>
  <si>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</si>
  <si>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</si>
  <si>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</si>
  <si>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</si>
  <si>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</si>
  <si>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</si>
  <si>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</si>
  <si>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</si>
  <si>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</si>
  <si>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</si>
  <si>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</si>
  <si>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</si>
  <si>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</si>
  <si>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</si>
  <si>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</si>
  <si>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</si>
  <si>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</si>
  <si>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</si>
  <si>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</si>
  <si>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</si>
  <si>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</si>
  <si>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</si>
  <si>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</si>
  <si>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</si>
  <si>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</si>
  <si>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</si>
  <si>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</si>
  <si>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</si>
  <si>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</si>
  <si>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</si>
  <si>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</si>
  <si>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</si>
  <si>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</si>
  <si>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</si>
  <si>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</si>
  <si>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</si>
  <si>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</si>
  <si>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</si>
  <si>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</si>
  <si>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</si>
  <si>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</si>
  <si>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</si>
  <si>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</si>
  <si>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</si>
  <si>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</si>
  <si>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</si>
  <si>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</si>
  <si>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</si>
  <si>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</si>
  <si>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</si>
  <si>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</si>
  <si>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</si>
  <si>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</si>
  <si>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</si>
  <si>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</si>
  <si>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</si>
  <si>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</si>
  <si>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</si>
  <si>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</si>
  <si>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</si>
  <si>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</si>
  <si>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</si>
  <si>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</si>
  <si>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</si>
  <si>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</si>
  <si>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</si>
  <si>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</si>
  <si>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</si>
  <si>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</si>
  <si>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</si>
  <si>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</si>
  <si>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</si>
  <si>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</si>
  <si>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</si>
  <si>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</si>
  <si>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</si>
  <si>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</si>
  <si>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</si>
  <si>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</si>
  <si>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</si>
  <si>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</si>
  <si>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</si>
  <si>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</si>
  <si>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</si>
  <si>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</si>
  <si>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</si>
  <si>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</si>
  <si>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</si>
  <si>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</si>
  <si>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</si>
  <si>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</si>
  <si>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</si>
  <si>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</si>
  <si>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</si>
  <si>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</si>
  <si>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</si>
  <si>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</si>
  <si>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</si>
  <si>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</si>
  <si>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</si>
  <si>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</si>
  <si>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</si>
  <si>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</si>
  <si>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</si>
  <si>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</si>
  <si>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</si>
  <si>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</si>
  <si>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</si>
  <si>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</si>
  <si>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</si>
  <si>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</si>
  <si>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</si>
  <si>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</si>
  <si>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</si>
  <si>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</si>
  <si>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</si>
  <si>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</si>
  <si>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</si>
  <si>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</si>
  <si>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</si>
  <si>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</si>
  <si>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</si>
  <si>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</si>
  <si>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</si>
  <si>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</si>
  <si>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</si>
  <si>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</si>
  <si>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</si>
  <si>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</si>
  <si>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</si>
  <si>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</si>
  <si>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</si>
  <si>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</si>
  <si>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</si>
  <si>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</si>
  <si>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</si>
  <si>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</si>
  <si>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</si>
  <si>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</si>
  <si>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</si>
  <si>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</si>
  <si>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</si>
  <si>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</si>
  <si>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</si>
  <si>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</si>
  <si>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</si>
  <si>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</si>
  <si>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</si>
  <si>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</si>
  <si>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</si>
  <si>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</si>
  <si>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</si>
  <si>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</si>
  <si>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</si>
  <si>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</si>
  <si>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</si>
  <si>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</si>
  <si>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</si>
  <si>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</si>
  <si>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</si>
  <si>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</si>
  <si>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</si>
  <si>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</si>
  <si>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</si>
  <si>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</si>
  <si>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</si>
  <si>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</si>
  <si>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</si>
  <si>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</si>
  <si>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</si>
  <si>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</si>
  <si>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</si>
  <si>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</si>
  <si>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</si>
  <si>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</si>
  <si>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</si>
  <si>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</si>
  <si>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</si>
  <si>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</si>
  <si>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</si>
  <si>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</si>
  <si>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</si>
  <si>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</si>
  <si>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</si>
  <si>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</si>
  <si>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</si>
  <si>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</si>
  <si>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</si>
  <si>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</si>
  <si>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</si>
  <si>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</si>
  <si>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</si>
  <si>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</si>
  <si>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</si>
  <si>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</si>
  <si>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</si>
  <si>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</si>
  <si>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</si>
  <si>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</si>
  <si>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</si>
  <si>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</si>
  <si>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</si>
  <si>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</si>
  <si>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</si>
  <si>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</si>
  <si>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</si>
  <si>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</si>
  <si>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</si>
  <si>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</si>
  <si>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</si>
  <si>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</si>
  <si>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</si>
  <si>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</si>
  <si>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</si>
  <si>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</si>
  <si>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</si>
  <si>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</si>
  <si>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</si>
  <si>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</si>
  <si>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</si>
  <si>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</si>
  <si>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</si>
  <si>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</si>
  <si>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</si>
  <si>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</si>
  <si>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</si>
  <si>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</si>
  <si>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</si>
  <si>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</si>
  <si>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</si>
  <si>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</si>
  <si>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</si>
  <si>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</si>
  <si>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</si>
  <si>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</si>
  <si>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</si>
  <si>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</si>
  <si>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</si>
  <si>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</si>
  <si>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</si>
  <si>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</si>
  <si>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</si>
  <si>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</si>
  <si>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</si>
  <si>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</si>
  <si>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</si>
  <si>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</si>
  <si>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</si>
  <si>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</si>
  <si>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</si>
  <si>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</si>
  <si>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</si>
  <si>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</si>
  <si>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</si>
  <si>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</si>
  <si>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</si>
  <si>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</si>
  <si>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</si>
  <si>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</si>
  <si>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</si>
  <si>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</si>
  <si>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</si>
  <si>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</si>
  <si>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</si>
  <si>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</si>
  <si>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</si>
  <si>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</si>
  <si>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</si>
  <si>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</si>
  <si>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</si>
  <si>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</si>
  <si>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</si>
  <si>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</si>
  <si>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</si>
  <si>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</si>
  <si>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</si>
  <si>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</si>
  <si>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</si>
  <si>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</si>
  <si>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</si>
  <si>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</si>
  <si>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</si>
  <si>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</si>
  <si>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</si>
  <si>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</si>
  <si>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</si>
  <si>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</si>
  <si>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</si>
  <si>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</si>
  <si>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</si>
  <si>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</si>
  <si>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</si>
  <si>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</si>
  <si>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</si>
  <si>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</si>
  <si>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</si>
  <si>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</si>
  <si>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</si>
  <si>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</si>
  <si>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</si>
  <si>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</si>
  <si>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</si>
  <si>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</si>
  <si>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</si>
  <si>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</si>
  <si>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</si>
  <si>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</si>
  <si>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</si>
  <si>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</si>
  <si>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</si>
  <si>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</si>
  <si>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</si>
  <si>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</si>
  <si>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</si>
  <si>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</si>
  <si>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</si>
  <si>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</si>
  <si>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</si>
  <si>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</si>
  <si>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</si>
  <si>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</si>
  <si>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</si>
  <si>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</si>
  <si>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</si>
  <si>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</si>
  <si>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</si>
  <si>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</si>
  <si>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</si>
  <si>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</si>
  <si>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</si>
  <si>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</si>
  <si>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</si>
  <si>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</si>
  <si>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</si>
  <si>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</si>
  <si>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</si>
  <si>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</si>
  <si>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</si>
  <si>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</si>
  <si>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</si>
  <si>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</si>
  <si>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</si>
  <si>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</si>
  <si>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</si>
  <si>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</si>
  <si>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</si>
  <si>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</si>
  <si>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</si>
  <si>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</si>
  <si>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</si>
  <si>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</si>
  <si>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</si>
  <si>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</si>
  <si>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</si>
  <si>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</si>
  <si>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</si>
  <si>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</si>
  <si>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</si>
  <si>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</si>
  <si>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</si>
  <si>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</si>
  <si>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</si>
  <si>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</si>
  <si>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</si>
  <si>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</si>
  <si>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</si>
  <si>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</si>
  <si>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</si>
  <si>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</si>
  <si>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</si>
  <si>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</si>
  <si>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</si>
  <si>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</si>
  <si>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</si>
  <si>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</si>
  <si>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</si>
  <si>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</si>
  <si>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</si>
  <si>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</si>
  <si>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</si>
  <si>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</si>
  <si>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</si>
  <si>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</si>
  <si>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</si>
  <si>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</si>
  <si>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</si>
  <si>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</si>
  <si>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</si>
  <si>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</si>
  <si>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</si>
  <si>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</si>
  <si>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</si>
  <si>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</si>
  <si>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</si>
  <si>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</si>
  <si>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</si>
  <si>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</si>
  <si>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</si>
  <si>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</si>
  <si>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</si>
  <si>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</si>
  <si>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</si>
  <si>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</si>
  <si>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</si>
  <si>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</si>
  <si>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</si>
  <si>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</si>
  <si>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</si>
  <si>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</si>
  <si>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</si>
  <si>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</si>
  <si>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</si>
  <si>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</si>
  <si>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</si>
  <si>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</si>
  <si>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</si>
  <si>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</si>
  <si>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</si>
  <si>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</si>
  <si>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</si>
  <si>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</si>
  <si>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</si>
  <si>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</si>
  <si>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</si>
  <si>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</si>
  <si>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</si>
  <si>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</si>
  <si>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</si>
  <si>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</si>
  <si>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</si>
  <si>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</si>
  <si>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</si>
  <si>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</si>
  <si>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</si>
  <si>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</si>
  <si>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</si>
  <si>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</si>
  <si>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</si>
  <si>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</si>
  <si>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</si>
  <si>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</si>
  <si>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</si>
  <si>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</si>
  <si>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</si>
  <si>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</si>
  <si>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</si>
  <si>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</si>
  <si>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</si>
  <si>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</si>
  <si>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</si>
  <si>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</si>
  <si>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</si>
  <si>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</si>
  <si>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</si>
  <si>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</si>
  <si>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</si>
  <si>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</si>
  <si>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</si>
  <si>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</si>
  <si>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</si>
  <si>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</si>
  <si>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</si>
  <si>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</si>
  <si>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</si>
  <si>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</si>
  <si>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</si>
  <si>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</si>
  <si>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</si>
  <si>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</si>
  <si>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</si>
  <si>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</si>
  <si>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</si>
  <si>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</si>
  <si>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</si>
  <si>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</si>
  <si>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</si>
  <si>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</si>
  <si>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</si>
  <si>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</si>
  <si>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</si>
  <si>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</si>
  <si>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</si>
  <si>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</si>
  <si>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</si>
  <si>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</si>
  <si>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</si>
  <si>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</si>
  <si>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</si>
  <si>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</si>
  <si>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</si>
  <si>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</si>
  <si>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</si>
  <si>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</si>
  <si>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</si>
  <si>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</si>
  <si>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</si>
  <si>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</si>
  <si>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</si>
  <si>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</si>
  <si>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</si>
  <si>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</si>
  <si>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</si>
  <si>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</si>
  <si>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</si>
  <si>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</si>
  <si>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</si>
  <si>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</si>
  <si>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</si>
  <si>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</si>
  <si>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</si>
  <si>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</si>
  <si>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</si>
  <si>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</si>
  <si>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</si>
  <si>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</si>
  <si>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</si>
  <si>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</si>
  <si>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</si>
  <si>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</si>
  <si>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</si>
  <si>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</si>
  <si>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</si>
  <si>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</si>
  <si>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</si>
  <si>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</si>
  <si>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</si>
  <si>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</si>
  <si>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</si>
  <si>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</si>
  <si>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</si>
  <si>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</si>
  <si>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</si>
  <si>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</si>
  <si>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</si>
  <si>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</si>
  <si>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</si>
  <si>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</si>
  <si>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</si>
  <si>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</si>
  <si>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</si>
  <si>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</si>
  <si>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</si>
  <si>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</si>
  <si>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</si>
  <si>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</si>
  <si>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</si>
  <si>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</si>
  <si>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</si>
  <si>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</si>
  <si>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</si>
  <si>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</si>
  <si>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</si>
  <si>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</si>
  <si>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</si>
  <si>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</si>
  <si>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</si>
  <si>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</si>
  <si>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</si>
  <si>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</si>
  <si>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</si>
  <si>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</si>
  <si>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</si>
  <si>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</si>
  <si>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</si>
  <si>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</si>
  <si>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</si>
  <si>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</si>
  <si>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</si>
  <si>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</si>
  <si>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</si>
  <si>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</si>
  <si>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</si>
  <si>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</si>
  <si>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</si>
  <si>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</si>
  <si>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</si>
  <si>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</si>
  <si>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</si>
  <si>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</si>
  <si>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</si>
  <si>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</si>
  <si>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</si>
  <si>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</si>
  <si>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</si>
  <si>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</si>
  <si>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</si>
  <si>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</si>
  <si>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</si>
  <si>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</si>
  <si>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</si>
  <si>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</si>
  <si>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</si>
  <si>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</si>
  <si>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</si>
  <si>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</si>
  <si>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</si>
  <si>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</si>
  <si>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</si>
  <si>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</si>
  <si>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</si>
  <si>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</si>
  <si>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</si>
  <si>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</si>
  <si>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</si>
  <si>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</si>
  <si>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</si>
  <si>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</si>
  <si>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</si>
  <si>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</si>
  <si>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</si>
  <si>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</si>
  <si>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</si>
  <si>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</si>
  <si>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</si>
  <si>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</si>
  <si>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</si>
  <si>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</si>
  <si>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</si>
  <si>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</si>
  <si>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</si>
  <si>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</si>
  <si>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</si>
  <si>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</si>
  <si>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</si>
  <si>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深圳市金地物业管理有限公司-深圳市罗湖区银湖实验小学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</si>
  <si>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</si>
  <si>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</si>
  <si>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</si>
  <si>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</si>
  <si>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</si>
  <si>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</si>
  <si>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</si>
  <si>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</si>
  <si>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</si>
  <si>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</si>
  <si>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</si>
  <si>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</si>
  <si>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</si>
  <si>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</si>
  <si>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</si>
  <si>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</si>
  <si>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</si>
  <si>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</si>
  <si>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</si>
  <si>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</si>
  <si>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</si>
  <si>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</si>
  <si>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</si>
  <si>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</si>
  <si>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</si>
  <si>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</si>
  <si>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</si>
  <si>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</si>
  <si>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</si>
  <si>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</si>
  <si>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</si>
  <si>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</si>
  <si>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</si>
  <si>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</si>
  <si>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</si>
  <si>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</si>
  <si>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</si>
  <si>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</si>
  <si>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</si>
  <si>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</si>
  <si>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</si>
  <si>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</si>
  <si>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</si>
  <si>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</si>
  <si>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</si>
  <si>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</si>
  <si>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</si>
  <si>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</si>
  <si>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</si>
  <si>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</si>
  <si>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</si>
  <si>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</si>
  <si>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</si>
  <si>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</si>
  <si>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</si>
  <si>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</si>
  <si>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</si>
  <si>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</si>
  <si>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</si>
  <si>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</si>
  <si>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</si>
  <si>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</si>
  <si>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</si>
  <si>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</si>
  <si>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</si>
  <si>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</si>
  <si>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</si>
  <si>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</si>
  <si>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</si>
  <si>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</si>
  <si>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</si>
  <si>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</si>
  <si>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</si>
  <si>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</si>
  <si>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</si>
  <si>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</si>
  <si>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</si>
  <si>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</si>
  <si>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</si>
  <si>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</si>
  <si>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</si>
  <si>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</si>
  <si>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</si>
  <si>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</si>
  <si>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</si>
  <si>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</si>
  <si>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</si>
  <si>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</si>
  <si>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</si>
  <si>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</si>
  <si>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</si>
  <si>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</si>
  <si>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</si>
  <si>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</si>
  <si>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</si>
  <si>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</si>
  <si>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</si>
  <si>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</si>
  <si>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</si>
  <si>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</si>
  <si>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</si>
  <si>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</si>
  <si>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</si>
  <si>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</si>
  <si>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</si>
  <si>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</si>
  <si>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</si>
  <si>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</si>
  <si>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</si>
  <si>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</si>
  <si>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</si>
  <si>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</si>
  <si>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</si>
  <si>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</si>
  <si>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</si>
  <si>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</si>
  <si>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</si>
  <si>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</si>
  <si>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</si>
  <si>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</si>
  <si>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</si>
  <si>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</si>
  <si>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</si>
  <si>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</si>
  <si>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</si>
  <si>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</si>
  <si>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</si>
  <si>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</si>
  <si>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</si>
  <si>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</si>
  <si>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</si>
  <si>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</si>
  <si>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</si>
  <si>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</si>
  <si>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</si>
  <si>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</si>
  <si>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</si>
  <si>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</si>
  <si>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</si>
  <si>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</si>
  <si>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</si>
  <si>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</si>
  <si>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</si>
  <si>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</si>
  <si>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</si>
  <si>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</si>
  <si>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</si>
  <si>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</si>
  <si>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</si>
  <si>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</si>
  <si>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</si>
  <si>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</si>
  <si>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</si>
  <si>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</si>
  <si>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</si>
  <si>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</si>
  <si>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</si>
  <si>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</si>
  <si>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</si>
  <si>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</si>
  <si>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</si>
  <si>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</si>
  <si>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</si>
  <si>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</si>
  <si>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</si>
  <si>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</si>
  <si>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</si>
  <si>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</si>
  <si>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</si>
  <si>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</si>
  <si>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</si>
  <si>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</si>
  <si>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</si>
  <si>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</si>
  <si>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</si>
  <si>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</si>
  <si>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</si>
  <si>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</si>
  <si>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</si>
  <si>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</si>
  <si>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</si>
  <si>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</si>
  <si>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</si>
  <si>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</si>
  <si>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</si>
  <si>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</si>
  <si>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</si>
  <si>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</si>
  <si>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</si>
  <si>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</si>
  <si>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</si>
  <si>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</si>
  <si>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</si>
  <si>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</si>
  <si>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</si>
  <si>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</si>
  <si>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</si>
  <si>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</si>
  <si>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</si>
  <si>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</si>
  <si>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</si>
  <si>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</si>
  <si>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</si>
  <si>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</si>
  <si>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</si>
  <si>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</si>
  <si>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</si>
  <si>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</si>
  <si>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</si>
  <si>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</si>
  <si>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</si>
  <si>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</si>
  <si>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</si>
  <si>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</si>
  <si>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</si>
  <si>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</si>
  <si>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</si>
  <si>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</si>
  <si>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</si>
  <si>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</si>
  <si>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</si>
  <si>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</si>
  <si>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</si>
  <si>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</si>
  <si>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</si>
  <si>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</si>
  <si>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</si>
  <si>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</si>
  <si>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</si>
  <si>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</si>
  <si>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</si>
  <si>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</si>
  <si>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</si>
  <si>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</si>
  <si>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</si>
  <si>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</si>
  <si>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</si>
  <si>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</si>
  <si>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</si>
  <si>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</si>
  <si>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</si>
  <si>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</si>
  <si>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</si>
  <si>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</si>
  <si>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</si>
  <si>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</si>
  <si>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</si>
  <si>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</si>
  <si>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</si>
  <si>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</si>
  <si>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</si>
  <si>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</si>
  <si>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</si>
  <si>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</si>
  <si>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</si>
  <si>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</si>
  <si>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</si>
  <si>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</si>
  <si>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</si>
  <si>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</si>
  <si>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</si>
  <si>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</si>
  <si>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</si>
  <si>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</si>
  <si>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</si>
  <si>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</si>
  <si>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</si>
  <si>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</si>
  <si>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</si>
  <si>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</si>
  <si>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</si>
  <si>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</si>
  <si>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</si>
  <si>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</si>
  <si>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</si>
  <si>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</si>
  <si>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</si>
  <si>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</si>
  <si>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</si>
  <si>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</si>
  <si>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</si>
  <si>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</si>
  <si>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</si>
  <si>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</si>
  <si>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</si>
  <si>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</si>
  <si>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</si>
  <si>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</si>
  <si>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</si>
  <si>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</si>
  <si>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</si>
  <si>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</si>
  <si>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</si>
  <si>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</si>
  <si>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</si>
  <si>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</si>
  <si>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</si>
  <si>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</si>
  <si>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</si>
  <si>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</si>
  <si>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</si>
  <si>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</si>
  <si>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</si>
  <si>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</si>
  <si>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</si>
  <si>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</si>
  <si>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</si>
  <si>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</si>
  <si>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</si>
  <si>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</si>
  <si>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</si>
  <si>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</si>
  <si>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</si>
  <si>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</si>
  <si>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</si>
  <si>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</si>
  <si>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</si>
  <si>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</si>
  <si>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</si>
  <si>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</si>
  <si>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</si>
  <si>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</si>
  <si>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</si>
  <si>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</si>
  <si>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</si>
  <si>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</si>
  <si>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</si>
  <si>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</si>
  <si>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</si>
  <si>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</si>
  <si>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</si>
  <si>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</si>
  <si>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</si>
  <si>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</si>
  <si>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</si>
  <si>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</si>
  <si>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</si>
  <si>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</si>
  <si>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</si>
  <si>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</si>
  <si>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</si>
  <si>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</si>
  <si>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</si>
  <si>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</si>
  <si>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</si>
  <si>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</si>
  <si>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</si>
  <si>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</si>
  <si>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</si>
  <si>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</si>
  <si>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</si>
  <si>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</si>
  <si>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</si>
  <si>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</si>
  <si>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</si>
  <si>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</si>
  <si>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</si>
  <si>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</si>
  <si>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</si>
  <si>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</si>
  <si>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</si>
  <si>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</si>
  <si>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</si>
  <si>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</si>
  <si>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</si>
  <si>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</si>
  <si>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</si>
  <si>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</si>
  <si>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</si>
  <si>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</si>
  <si>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</si>
  <si>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</si>
  <si>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</si>
  <si>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</si>
  <si>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</si>
  <si>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</si>
  <si>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</si>
  <si>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</si>
  <si>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</si>
  <si>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</si>
  <si>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</si>
  <si>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</si>
  <si>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</si>
  <si>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</si>
  <si>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</si>
  <si>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</si>
  <si>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</si>
  <si>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</si>
  <si>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</si>
  <si>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</si>
  <si>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</si>
  <si>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</si>
  <si>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</si>
  <si>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</si>
  <si>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</si>
  <si>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</si>
  <si>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</si>
  <si>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</si>
  <si>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</si>
  <si>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</si>
  <si>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</si>
  <si>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</si>
  <si>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</si>
  <si>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</si>
  <si>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</si>
  <si>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</si>
  <si>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</si>
  <si>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</si>
  <si>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</si>
  <si>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</si>
  <si>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</si>
  <si>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</si>
  <si>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</si>
  <si>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</si>
  <si>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</si>
  <si>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</si>
  <si>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</si>
  <si>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</si>
  <si>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</si>
  <si>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</si>
  <si>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</si>
  <si>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</si>
  <si>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</si>
  <si>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</si>
  <si>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</si>
  <si>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</si>
  <si>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</si>
  <si>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</si>
  <si>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</si>
  <si>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</si>
  <si>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</si>
  <si>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</si>
  <si>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</si>
  <si>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</si>
  <si>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</si>
  <si>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</si>
  <si>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</si>
  <si>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</si>
  <si>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</si>
  <si>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</si>
  <si>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</si>
  <si>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</si>
  <si>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</si>
  <si>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</si>
  <si>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</si>
  <si>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</si>
  <si>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</si>
  <si>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</si>
  <si>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</si>
  <si>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</si>
  <si>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</si>
  <si>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</si>
  <si>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</si>
  <si>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</si>
  <si>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</si>
  <si>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</si>
  <si>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</si>
  <si>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</si>
  <si>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</si>
  <si>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</si>
  <si>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</si>
  <si>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</si>
  <si>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</si>
  <si>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</si>
  <si>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</si>
  <si>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</si>
  <si>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</si>
  <si>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</si>
  <si>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</si>
  <si>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</si>
  <si>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</si>
  <si>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</si>
  <si>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</si>
  <si>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</si>
  <si>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</si>
  <si>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</si>
  <si>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</si>
  <si>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</si>
  <si>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</si>
  <si>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</si>
  <si>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</si>
  <si>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</si>
  <si>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</si>
  <si>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</si>
  <si>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</si>
  <si>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</si>
  <si>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</si>
  <si>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</si>
  <si>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</si>
  <si>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</si>
  <si>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</si>
  <si>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</si>
  <si>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</si>
  <si>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</si>
  <si>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</si>
  <si>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</si>
  <si>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</si>
  <si>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</si>
  <si>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</si>
  <si>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</si>
  <si>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</si>
  <si>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</si>
  <si>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</si>
  <si>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</si>
  <si>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</si>
  <si>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</si>
  <si>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</si>
  <si>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</si>
  <si>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</si>
  <si>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</si>
  <si>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</si>
  <si>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</si>
  <si>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</si>
  <si>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</si>
  <si>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</si>
  <si>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</si>
  <si>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</si>
  <si>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</si>
  <si>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</si>
  <si>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</si>
  <si>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</si>
  <si>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</si>
  <si>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</si>
  <si>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</si>
  <si>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</si>
  <si>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</si>
  <si>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</si>
  <si>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</si>
  <si>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</si>
  <si>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</si>
  <si>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</si>
  <si>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</si>
  <si>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</si>
  <si>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</si>
  <si>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</si>
  <si>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</si>
  <si>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</si>
  <si>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</si>
  <si>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</si>
  <si>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</si>
  <si>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</si>
  <si>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</si>
  <si>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</si>
  <si>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</si>
  <si>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</si>
  <si>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</si>
  <si>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</si>
  <si>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</si>
  <si>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</si>
  <si>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</si>
  <si>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</si>
  <si>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</si>
  <si>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</si>
  <si>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</si>
  <si>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</si>
  <si>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</si>
  <si>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</si>
  <si>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</si>
  <si>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</si>
  <si>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</si>
  <si>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</si>
  <si>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</si>
  <si>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</si>
  <si>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</si>
  <si>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</si>
  <si>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</si>
  <si>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</si>
  <si>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</si>
  <si>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</si>
  <si>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</si>
  <si>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</si>
  <si>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</si>
  <si>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</si>
  <si>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</si>
  <si>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</si>
  <si>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</si>
  <si>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</si>
  <si>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</si>
  <si>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</si>
  <si>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</si>
  <si>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</si>
  <si>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</si>
  <si>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</si>
  <si>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</si>
  <si>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</si>
  <si>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</si>
  <si>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</si>
  <si>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</si>
  <si>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</si>
  <si>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</si>
  <si>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</si>
  <si>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</si>
  <si>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</si>
  <si>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</si>
  <si>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</si>
  <si>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</si>
  <si>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</si>
  <si>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</si>
  <si>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</si>
  <si>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</si>
  <si>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</si>
  <si>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</si>
  <si>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</si>
  <si>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</si>
  <si>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</si>
  <si>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</si>
  <si>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</si>
  <si>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</si>
  <si>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</si>
  <si>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</si>
  <si>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</si>
  <si>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</si>
  <si>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</si>
  <si>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</si>
  <si>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</si>
  <si>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</si>
  <si>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</si>
  <si>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</si>
  <si>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</si>
  <si>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</si>
  <si>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</si>
  <si>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</si>
  <si>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</si>
  <si>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</si>
  <si>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</si>
  <si>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</si>
  <si>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</si>
  <si>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</si>
  <si>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</si>
  <si>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</si>
  <si>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</si>
  <si>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</si>
  <si>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</si>
  <si>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</si>
  <si>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</si>
  <si>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</si>
  <si>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</si>
  <si>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</si>
  <si>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</si>
  <si>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</si>
  <si>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</si>
  <si>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</si>
  <si>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</si>
  <si>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</si>
  <si>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</si>
  <si>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</si>
  <si>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</si>
  <si>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</si>
  <si>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</si>
  <si>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</si>
  <si>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</si>
  <si>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</si>
  <si>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</si>
  <si>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</si>
  <si>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</si>
  <si>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</si>
  <si>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</si>
  <si>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</si>
  <si>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</si>
  <si>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</si>
  <si>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</si>
  <si>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</si>
  <si>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</si>
  <si>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</si>
  <si>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</si>
  <si>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</si>
  <si>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</si>
  <si>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</si>
  <si>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</si>
  <si>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</si>
  <si>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</si>
  <si>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</si>
  <si>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</si>
  <si>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</si>
  <si>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</si>
  <si>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</si>
  <si>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</si>
  <si>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</si>
  <si>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</si>
  <si>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</si>
  <si>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</si>
  <si>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</si>
  <si>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</si>
  <si>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</si>
  <si>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</si>
  <si>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</si>
  <si>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</si>
  <si>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</si>
  <si>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</si>
  <si>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</si>
  <si>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</si>
  <si>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</si>
  <si>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</si>
  <si>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</si>
  <si>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</si>
  <si>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</si>
  <si>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</si>
  <si>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</si>
  <si>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</si>
  <si>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</si>
  <si>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</si>
  <si>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</si>
  <si>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</si>
  <si>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</si>
  <si>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</si>
  <si>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</si>
  <si>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</si>
  <si>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</si>
  <si>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</si>
  <si>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</si>
  <si>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</si>
  <si>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</si>
  <si>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</si>
  <si>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</si>
  <si>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</si>
  <si>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</si>
  <si>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</si>
  <si>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</si>
  <si>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</si>
  <si>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</si>
  <si>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</si>
  <si>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</si>
  <si>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</si>
  <si>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</si>
  <si>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</si>
  <si>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</si>
  <si>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</si>
  <si>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</si>
  <si>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</si>
  <si>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</si>
  <si>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</si>
  <si>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</si>
  <si>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</si>
  <si>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</si>
  <si>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</si>
  <si>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</si>
  <si>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</si>
  <si>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</si>
  <si>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</si>
  <si>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</si>
  <si>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</si>
  <si>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</si>
  <si>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</si>
  <si>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</si>
  <si>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</si>
  <si>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</si>
  <si>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</si>
  <si>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</si>
  <si>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</si>
  <si>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</si>
  <si>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</si>
  <si>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</si>
  <si>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</si>
  <si>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</si>
  <si>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</si>
  <si>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</si>
  <si>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</si>
  <si>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</si>
  <si>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</si>
  <si>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</si>
  <si>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</si>
  <si>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</si>
  <si>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</si>
  <si>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</si>
  <si>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</si>
  <si>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</si>
  <si>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</si>
  <si>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</si>
  <si>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</si>
  <si>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</si>
  <si>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</si>
  <si>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</si>
  <si>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</si>
  <si>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</si>
  <si>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</si>
  <si>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</si>
  <si>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</si>
  <si>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</si>
  <si>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</si>
  <si>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</si>
  <si>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</si>
  <si>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</si>
  <si>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</si>
  <si>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</si>
  <si>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</si>
  <si>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</si>
  <si>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</si>
  <si>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</si>
  <si>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</si>
  <si>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</si>
  <si>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</si>
  <si>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</si>
  <si>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</si>
  <si>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</si>
  <si>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</si>
  <si>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</si>
  <si>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</si>
  <si>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</si>
  <si>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</si>
  <si>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</si>
  <si>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</si>
  <si>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</si>
  <si>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</si>
  <si>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</si>
  <si>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</si>
  <si>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</si>
  <si>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</si>
  <si>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</si>
  <si>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</si>
  <si>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</si>
  <si>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</si>
  <si>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</si>
  <si>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</si>
  <si>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</si>
  <si>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</si>
  <si>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</si>
  <si>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</si>
  <si>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</si>
  <si>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</si>
  <si>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</si>
  <si>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</si>
  <si>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</si>
  <si>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</si>
  <si>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</si>
  <si>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</si>
  <si>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</si>
  <si>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</si>
  <si>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</si>
  <si>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</si>
  <si>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</si>
  <si>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</si>
  <si>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</si>
  <si>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</si>
  <si>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</si>
  <si>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</si>
  <si>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</si>
  <si>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</si>
  <si>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</si>
  <si>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</si>
  <si>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</si>
  <si>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</si>
  <si>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</si>
  <si>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</si>
  <si>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</si>
  <si>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</si>
  <si>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</si>
  <si>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</si>
  <si>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</si>
  <si>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</si>
  <si>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</si>
  <si>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</si>
  <si>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</si>
  <si>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</si>
  <si>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</si>
  <si>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</si>
  <si>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</si>
  <si>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</si>
  <si>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</si>
  <si>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</si>
  <si>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</si>
  <si>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</si>
  <si>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</si>
  <si>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</si>
  <si>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</si>
  <si>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</si>
  <si>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</si>
  <si>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</si>
  <si>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</si>
  <si>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</si>
  <si>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</si>
  <si>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</si>
  <si>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</si>
  <si>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</si>
  <si>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</si>
  <si>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</si>
  <si>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</si>
  <si>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</si>
  <si>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</si>
  <si>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</si>
  <si>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</si>
  <si>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</si>
  <si>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</si>
  <si>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</si>
  <si>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</si>
  <si>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</si>
  <si>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</si>
  <si>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</si>
  <si>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</si>
  <si>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</si>
  <si>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</si>
  <si>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</si>
  <si>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</si>
  <si>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</si>
  <si>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</si>
  <si>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</si>
  <si>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</si>
  <si>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</si>
  <si>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</si>
  <si>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</si>
  <si>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</si>
  <si>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</si>
  <si>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</si>
  <si>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</si>
  <si>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</si>
  <si>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</si>
  <si>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</si>
  <si>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</si>
  <si>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</si>
  <si>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</si>
  <si>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</si>
  <si>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</si>
  <si>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</si>
  <si>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</si>
  <si>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</si>
  <si>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</si>
  <si>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</si>
  <si>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</si>
  <si>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</si>
  <si>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</si>
  <si>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</si>
  <si>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</si>
  <si>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</si>
  <si>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</si>
  <si>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</si>
  <si>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</si>
  <si>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</si>
  <si>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</si>
  <si>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</si>
  <si>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</si>
  <si>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</si>
  <si>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</si>
  <si>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</si>
  <si>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</si>
  <si>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</si>
  <si>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</si>
  <si>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</si>
  <si>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</si>
  <si>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</si>
  <si>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</si>
  <si>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</si>
  <si>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</si>
  <si>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</si>
  <si>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</si>
  <si>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</si>
  <si>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</si>
  <si>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</si>
  <si>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</si>
  <si>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</si>
  <si>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</si>
  <si>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</si>
  <si>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</si>
  <si>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</si>
  <si>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</si>
  <si>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</si>
  <si>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</si>
  <si>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</si>
  <si>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</si>
  <si>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</si>
  <si>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</si>
  <si>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</si>
  <si>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</si>
  <si>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</si>
  <si>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</si>
  <si>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</si>
  <si>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</si>
  <si>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</si>
  <si>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</si>
  <si>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</si>
  <si>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</si>
  <si>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</si>
  <si>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</si>
  <si>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</si>
  <si>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</si>
  <si>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</si>
  <si>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</si>
  <si>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</si>
  <si>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</si>
  <si>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</si>
  <si>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</si>
  <si>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</si>
  <si>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</si>
  <si>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</si>
  <si>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</si>
  <si>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</si>
  <si>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</si>
  <si>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</si>
  <si>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</si>
  <si>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</si>
  <si>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</si>
  <si>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</si>
  <si>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</si>
  <si>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</si>
  <si>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</si>
  <si>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</si>
  <si>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</si>
  <si>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</si>
  <si>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</si>
  <si>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</si>
  <si>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</si>
  <si>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</si>
  <si>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</si>
  <si>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</si>
  <si>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</si>
  <si>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</si>
  <si>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</si>
  <si>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</si>
  <si>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</si>
  <si>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</si>
  <si>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</si>
  <si>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</si>
  <si>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</si>
  <si>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</si>
  <si>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</si>
  <si>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</si>
  <si>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</si>
  <si>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</si>
  <si>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</si>
  <si>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</si>
  <si>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</si>
  <si>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</si>
  <si>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</si>
  <si>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</si>
  <si>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</si>
  <si>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</si>
  <si>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</si>
  <si>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</si>
  <si>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</si>
  <si>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</si>
  <si>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</si>
  <si>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</si>
  <si>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</si>
  <si>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</si>
  <si>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</si>
  <si>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</si>
  <si>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</si>
  <si>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</si>
  <si>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</si>
  <si>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</si>
  <si>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</si>
  <si>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</si>
  <si>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</si>
  <si>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</si>
  <si>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</si>
  <si>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</si>
  <si>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</si>
  <si>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</si>
  <si>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</si>
  <si>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</si>
  <si>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</si>
  <si>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</si>
  <si>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</si>
  <si>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</si>
  <si>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</si>
  <si>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</si>
  <si>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</si>
  <si>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</si>
  <si>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</si>
  <si>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</si>
  <si>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</si>
  <si>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</si>
  <si>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</si>
  <si>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</si>
  <si>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</si>
  <si>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</si>
  <si>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</si>
  <si>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</si>
  <si>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</si>
  <si>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</si>
  <si>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</si>
  <si>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</si>
  <si>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</si>
  <si>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</si>
  <si>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</si>
  <si>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</si>
  <si>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</si>
  <si>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</si>
  <si>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</si>
  <si>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</si>
  <si>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</si>
  <si>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</si>
  <si>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</si>
  <si>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</si>
  <si>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</si>
  <si>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</si>
  <si>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</si>
  <si>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</si>
  <si>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</si>
  <si>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</si>
  <si>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</si>
  <si>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</si>
  <si>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</si>
  <si>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</si>
  <si>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</si>
  <si>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</si>
  <si>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</si>
  <si>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</si>
  <si>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</si>
  <si>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</si>
  <si>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</si>
  <si>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</si>
  <si>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</si>
  <si>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</si>
  <si>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</si>
  <si>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</si>
  <si>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</si>
  <si>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</si>
  <si>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</si>
  <si>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</si>
  <si>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</si>
  <si>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</si>
  <si>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</si>
  <si>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</si>
  <si>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</si>
  <si>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</si>
  <si>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</si>
  <si>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</si>
  <si>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</si>
  <si>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</si>
  <si>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</si>
  <si>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</si>
  <si>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</si>
  <si>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</si>
  <si>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</si>
  <si>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</si>
  <si>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</si>
  <si>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</si>
  <si>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</si>
  <si>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</si>
  <si>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</si>
  <si>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</si>
  <si>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</si>
  <si>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</si>
  <si>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</si>
  <si>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</si>
  <si>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</si>
  <si>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</si>
  <si>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</si>
  <si>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</si>
  <si>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</si>
  <si>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</si>
  <si>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</si>
  <si>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</si>
  <si>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</si>
  <si>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</si>
  <si>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</si>
  <si>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</si>
  <si>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</si>
  <si>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</si>
  <si>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</si>
  <si>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</si>
  <si>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</si>
  <si>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</si>
  <si>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</si>
  <si>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</si>
  <si>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</si>
  <si>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</si>
  <si>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</si>
  <si>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</si>
  <si>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</si>
  <si>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</si>
  <si>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</si>
  <si>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</si>
  <si>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</si>
  <si>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</si>
  <si>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</si>
  <si>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</si>
  <si>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</si>
  <si>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</si>
  <si>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</si>
  <si>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</si>
  <si>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</si>
  <si>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</si>
  <si>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</si>
  <si>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</si>
  <si>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</si>
  <si>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</si>
  <si>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</si>
  <si>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</si>
  <si>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</si>
  <si>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</si>
  <si>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</si>
  <si>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</si>
  <si>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</si>
  <si>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</si>
  <si>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</si>
  <si>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</si>
  <si>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</si>
  <si>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</si>
  <si>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</si>
  <si>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</si>
  <si>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</si>
  <si>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</si>
  <si>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</si>
  <si>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</si>
  <si>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</si>
  <si>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</si>
  <si>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</si>
  <si>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</si>
  <si>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</si>
  <si>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</si>
  <si>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</si>
  <si>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</si>
  <si>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</si>
  <si>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</si>
  <si>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</si>
  <si>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</si>
  <si>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</si>
  <si>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</si>
  <si>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</si>
  <si>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</si>
  <si>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</si>
  <si>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</si>
  <si>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</si>
  <si>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</si>
  <si>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</si>
  <si>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</si>
  <si>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</si>
  <si>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</si>
  <si>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</si>
  <si>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</si>
  <si>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</si>
  <si>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</si>
  <si>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</si>
  <si>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</si>
  <si>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</si>
  <si>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</si>
  <si>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</si>
  <si>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</si>
  <si>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</si>
  <si>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</si>
  <si>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</si>
  <si>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</si>
  <si>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</si>
  <si>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</si>
  <si>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</si>
  <si>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</si>
  <si>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</si>
  <si>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</si>
  <si>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</si>
  <si>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</si>
  <si>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</si>
  <si>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</si>
  <si>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</si>
  <si>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</si>
  <si>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</si>
  <si>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</si>
  <si>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</si>
  <si>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</si>
  <si>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</si>
  <si>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</si>
  <si>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</si>
  <si>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</si>
  <si>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</si>
  <si>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</si>
  <si>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</si>
  <si>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</si>
  <si>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</si>
  <si>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</si>
  <si>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</si>
  <si>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</si>
  <si>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</si>
  <si>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</si>
  <si>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</si>
  <si>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</si>
  <si>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</si>
  <si>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</si>
  <si>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</si>
  <si>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</si>
  <si>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</si>
  <si>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</si>
  <si>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</si>
  <si>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</si>
  <si>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</si>
  <si>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</si>
  <si>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</si>
  <si>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</si>
  <si>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</si>
  <si>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</si>
  <si>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</si>
  <si>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</si>
  <si>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</si>
  <si>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</si>
  <si>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</si>
  <si>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</si>
  <si>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</si>
  <si>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</si>
  <si>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</si>
  <si>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</si>
  <si>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</si>
  <si>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</si>
  <si>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</si>
  <si>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</si>
  <si>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</si>
  <si>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</si>
  <si>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</si>
  <si>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</si>
  <si>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</si>
  <si>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</si>
  <si>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</si>
  <si>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</si>
  <si>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</si>
  <si>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</si>
  <si>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</si>
  <si>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</si>
  <si>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</si>
  <si>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</si>
  <si>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</si>
  <si>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</si>
  <si>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</si>
  <si>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</si>
  <si>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</si>
  <si>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</si>
  <si>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</si>
  <si>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</si>
  <si>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</si>
  <si>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</si>
  <si>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</si>
  <si>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</si>
  <si>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</si>
  <si>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</si>
  <si>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</si>
  <si>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</si>
  <si>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</si>
  <si>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</si>
  <si>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</si>
  <si>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</si>
  <si>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</si>
  <si>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</si>
  <si>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</si>
  <si>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</si>
  <si>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</si>
  <si>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</si>
  <si>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</si>
  <si>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</si>
  <si>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</si>
  <si>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</si>
  <si>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</si>
  <si>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</si>
  <si>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</si>
  <si>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</si>
  <si>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</si>
  <si>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</si>
  <si>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</si>
  <si>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</si>
  <si>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</si>
  <si>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</si>
  <si>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</si>
  <si>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</si>
  <si>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</si>
  <si>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</si>
  <si>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</si>
  <si>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</si>
  <si>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</si>
  <si>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</si>
  <si>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</si>
  <si>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</si>
  <si>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</si>
  <si>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</si>
  <si>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</si>
  <si>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</si>
  <si>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</si>
  <si>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</si>
  <si>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</si>
  <si>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</si>
  <si>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</si>
  <si>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</si>
  <si>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</si>
  <si>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</si>
  <si>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</si>
  <si>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</si>
  <si>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</si>
  <si>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</si>
  <si>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</si>
  <si>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</si>
  <si>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</si>
  <si>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</si>
  <si>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</si>
  <si>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</si>
  <si>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</si>
  <si>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</si>
  <si>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</si>
  <si>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</si>
  <si>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</si>
  <si>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</si>
  <si>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</si>
  <si>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</si>
  <si>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</si>
  <si>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</si>
  <si>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</si>
  <si>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</si>
  <si>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</si>
  <si>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</si>
  <si>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</si>
  <si>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</si>
  <si>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</si>
  <si>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</si>
  <si>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</si>
  <si>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</si>
  <si>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</si>
  <si>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</si>
  <si>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</si>
  <si>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</si>
  <si>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</si>
  <si>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</si>
  <si>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</si>
  <si>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</si>
  <si>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</si>
  <si>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</si>
  <si>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</si>
  <si>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</si>
  <si>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</si>
  <si>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</si>
  <si>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</si>
  <si>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</si>
  <si>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</si>
  <si>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</si>
  <si>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</si>
  <si>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</si>
  <si>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</si>
  <si>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</si>
  <si>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</si>
  <si>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</si>
  <si>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</si>
  <si>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</si>
  <si>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</si>
  <si>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</si>
  <si>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</si>
  <si>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</si>
  <si>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</si>
  <si>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</si>
  <si>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</si>
  <si>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</si>
  <si>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</si>
  <si>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</si>
  <si>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</si>
  <si>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</si>
  <si>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</si>
  <si>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</si>
  <si>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</si>
  <si>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</si>
  <si>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</si>
  <si>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</si>
  <si>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</si>
  <si>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</si>
  <si>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</si>
  <si>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</si>
  <si>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</si>
  <si>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</si>
  <si>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</si>
  <si>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</si>
  <si>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</si>
  <si>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</si>
  <si>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</si>
  <si>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</si>
  <si>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</si>
  <si>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</si>
  <si>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</si>
  <si>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</si>
  <si>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</si>
  <si>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</si>
  <si>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</si>
  <si>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</si>
  <si>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</si>
  <si>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</si>
  <si>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</si>
  <si>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</si>
  <si>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</si>
  <si>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</si>
  <si>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</si>
  <si>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</si>
  <si>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</si>
  <si>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</si>
  <si>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</si>
  <si>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</si>
  <si>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</si>
  <si>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</si>
  <si>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</si>
  <si>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</si>
  <si>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</si>
  <si>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</si>
  <si>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</si>
  <si>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</si>
  <si>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</si>
  <si>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</si>
  <si>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</si>
  <si>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</si>
  <si>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</si>
  <si>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</si>
  <si>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</si>
  <si>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</si>
  <si>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</si>
  <si>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</si>
  <si>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</si>
  <si>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</si>
  <si>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</si>
  <si>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</si>
  <si>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</si>
  <si>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</si>
  <si>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</si>
  <si>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</si>
  <si>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</si>
  <si>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</si>
  <si>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</si>
  <si>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</si>
  <si>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</si>
  <si>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</si>
  <si>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</si>
  <si>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</si>
  <si>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</si>
  <si>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</si>
  <si>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</si>
  <si>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</si>
  <si>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</si>
  <si>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</si>
  <si>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</si>
  <si>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</si>
  <si>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</si>
  <si>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</si>
  <si>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</si>
  <si>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</si>
  <si>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</si>
  <si>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</si>
  <si>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</si>
  <si>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</si>
  <si>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</si>
  <si>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</si>
  <si>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</si>
  <si>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</si>
  <si>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</si>
  <si>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</si>
  <si>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</si>
  <si>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</si>
  <si>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</si>
  <si>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</si>
  <si>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</si>
  <si>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</si>
  <si>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</si>
  <si>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</si>
  <si>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</si>
  <si>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</si>
  <si>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</si>
  <si>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</si>
  <si>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</si>
  <si>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</si>
  <si>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</si>
  <si>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</si>
  <si>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</si>
  <si>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</si>
  <si>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</si>
  <si>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</si>
  <si>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</si>
  <si>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</si>
  <si>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</si>
  <si>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</si>
  <si>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</si>
  <si>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</si>
  <si>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</si>
  <si>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</si>
  <si>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</si>
  <si>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</si>
  <si>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</si>
  <si>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</si>
  <si>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</si>
  <si>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</si>
  <si>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</si>
  <si>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</si>
  <si>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</si>
  <si>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</si>
  <si>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</si>
  <si>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</si>
  <si>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</si>
  <si>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</si>
  <si>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</si>
  <si>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</si>
  <si>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</si>
  <si>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</si>
  <si>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</si>
  <si>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</si>
  <si>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</si>
  <si>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</si>
  <si>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</si>
  <si>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</si>
  <si>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</si>
  <si>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</si>
  <si>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</si>
  <si>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</si>
  <si>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</si>
  <si>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</si>
  <si>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</si>
  <si>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</si>
  <si>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</si>
  <si>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</si>
  <si>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</si>
  <si>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</si>
  <si>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</si>
  <si>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</si>
  <si>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</si>
  <si>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</si>
  <si>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</si>
  <si>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</si>
  <si>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</si>
  <si>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</si>
  <si>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</si>
  <si>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</si>
  <si>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</si>
  <si>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</si>
  <si>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</si>
  <si>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</si>
  <si>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</si>
  <si>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</si>
  <si>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</si>
  <si>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</si>
  <si>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</si>
  <si>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</si>
  <si>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</si>
  <si>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</si>
  <si>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</si>
  <si>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</si>
  <si>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</si>
  <si>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</si>
  <si>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</si>
  <si>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</si>
  <si>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</si>
  <si>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</si>
  <si>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</si>
  <si>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</si>
  <si>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</si>
  <si>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</si>
  <si>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</si>
  <si>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</si>
  <si>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</si>
  <si>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</si>
  <si>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</si>
  <si>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</si>
  <si>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</si>
  <si>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</si>
  <si>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</si>
  <si>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</si>
  <si>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</si>
  <si>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</si>
  <si>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</si>
  <si>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</si>
  <si>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</si>
  <si>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</si>
  <si>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</si>
  <si>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</si>
  <si>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</si>
  <si>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</si>
  <si>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</si>
  <si>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</si>
  <si>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</si>
  <si>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</si>
  <si>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</si>
  <si>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</si>
  <si>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</si>
  <si>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</si>
  <si>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</si>
  <si>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</si>
  <si>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</si>
  <si>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</si>
  <si>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</si>
  <si>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</si>
  <si>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</si>
  <si>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</si>
  <si>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</si>
  <si>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</si>
  <si>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</si>
  <si>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</si>
  <si>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</si>
  <si>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</si>
  <si>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</si>
  <si>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</si>
  <si>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</si>
  <si>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</si>
  <si>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</si>
  <si>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</si>
  <si>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</si>
  <si>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</si>
  <si>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</si>
  <si>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</si>
  <si>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UU000001278</t>
  </si>
  <si>
    <t>车位总数</t>
  </si>
  <si>
    <t>深圳区域公司深圳市罗湖区银湖实验小学物业管理服务中心</t>
  </si>
  <si>
    <t>建筑面积</t>
  </si>
  <si>
    <t>项目类型</t>
  </si>
  <si>
    <t>项目来源</t>
  </si>
  <si>
    <t>市场拓展-增量拓展</t>
  </si>
  <si>
    <t>收费面积</t>
  </si>
  <si>
    <t>项目性质</t>
  </si>
  <si>
    <t>教育科研</t>
  </si>
  <si>
    <t>业务组织</t>
  </si>
  <si>
    <t>定档</t>
  </si>
  <si>
    <t>接管时间</t>
  </si>
  <si>
    <t>2022-08-05</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</si>
  <si>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</si>
  <si>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</si>
  <si>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</si>
  <si>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</si>
  <si>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</si>
  <si>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</si>
  <si>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</si>
  <si>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</si>
  <si>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</si>
  <si>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</si>
  <si>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</si>
  <si>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</si>
  <si>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</si>
  <si>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</si>
  <si>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</si>
  <si>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</si>
  <si>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</si>
  <si>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</si>
  <si>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</si>
  <si>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</si>
  <si>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</si>
  <si>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</si>
  <si>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</si>
  <si>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</si>
  <si>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</si>
  <si>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</si>
  <si>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</si>
  <si>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</si>
  <si>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</si>
  <si>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</si>
  <si>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</si>
  <si>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</si>
  <si>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</si>
  <si>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</si>
  <si>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</si>
  <si>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</si>
  <si>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</si>
  <si>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</si>
  <si>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</si>
  <si>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</si>
  <si>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</si>
  <si>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</si>
  <si>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</si>
  <si>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</si>
  <si>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</si>
  <si>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</si>
  <si>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</si>
  <si>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</si>
  <si>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</si>
  <si>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</si>
  <si>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</si>
  <si>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</si>
  <si>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</si>
  <si>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</si>
  <si>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</si>
  <si>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</si>
  <si>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</si>
  <si>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</si>
  <si>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</si>
  <si>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</si>
  <si>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</si>
  <si>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</si>
  <si>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</si>
  <si>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</si>
  <si>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</si>
  <si>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</si>
  <si>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</si>
  <si>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</si>
  <si>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</si>
  <si>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</si>
  <si>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</si>
  <si>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</si>
  <si>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</si>
  <si>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</si>
  <si>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</si>
  <si>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</si>
  <si>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</si>
  <si>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</si>
  <si>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</si>
  <si>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</si>
  <si>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</si>
  <si>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</si>
  <si>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</si>
  <si>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</si>
  <si>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</si>
  <si>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</si>
  <si>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</si>
  <si>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</si>
  <si>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</si>
  <si>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</si>
  <si>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</si>
  <si>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</si>
  <si>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</si>
  <si>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</si>
  <si>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</si>
  <si>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</si>
  <si>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</si>
  <si>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</si>
  <si>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</si>
  <si>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</si>
  <si>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</si>
  <si>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</si>
  <si>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</si>
  <si>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</si>
  <si>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</si>
  <si>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</si>
  <si>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</si>
  <si>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</si>
  <si>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</si>
  <si>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</si>
  <si>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</si>
  <si>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</si>
  <si>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</si>
  <si>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</si>
  <si>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</si>
  <si>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</si>
  <si>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</si>
  <si>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</si>
  <si>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</si>
  <si>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</si>
  <si>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</si>
  <si>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</si>
  <si>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</si>
  <si>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</si>
  <si>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</si>
  <si>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</si>
  <si>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</si>
  <si>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</si>
  <si>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</si>
  <si>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</si>
  <si>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</si>
  <si>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</si>
  <si>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</si>
  <si>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</si>
  <si>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</si>
  <si>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</si>
  <si>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</si>
  <si>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</si>
  <si>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</si>
  <si>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</si>
  <si>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</si>
  <si>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</si>
  <si>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</si>
  <si>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</si>
  <si>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</si>
  <si>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</si>
  <si>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</si>
  <si>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</si>
  <si>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</si>
  <si>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</si>
  <si>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</si>
  <si>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</si>
  <si>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</si>
  <si>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</si>
  <si>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</si>
  <si>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</si>
  <si>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</si>
  <si>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</si>
  <si>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</si>
  <si>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</si>
  <si>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</si>
  <si>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</si>
  <si>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</si>
  <si>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</si>
  <si>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</si>
  <si>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</si>
  <si>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</si>
  <si>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</si>
  <si>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</si>
  <si>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</si>
  <si>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</si>
  <si>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</si>
  <si>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</si>
  <si>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</si>
  <si>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</si>
  <si>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</si>
  <si>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</si>
  <si>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</si>
  <si>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</si>
  <si>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</si>
  <si>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</si>
  <si>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</si>
  <si>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</si>
  <si>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</si>
  <si>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</si>
  <si>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</si>
  <si>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</si>
  <si>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</si>
  <si>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</si>
  <si>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</si>
  <si>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</si>
  <si>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</si>
  <si>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</si>
  <si>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</si>
  <si>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</si>
  <si>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</si>
  <si>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</si>
  <si>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</si>
  <si>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</si>
  <si>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</si>
  <si>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</si>
  <si>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</si>
  <si>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</si>
  <si>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</si>
  <si>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</si>
  <si>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</si>
  <si>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</si>
  <si>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</si>
  <si>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</si>
  <si>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</si>
  <si>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</si>
  <si>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</si>
  <si>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</si>
  <si>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</si>
  <si>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</si>
  <si>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</si>
  <si>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</si>
  <si>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</si>
  <si>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</si>
  <si>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</si>
  <si>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</si>
  <si>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</si>
  <si>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</si>
  <si>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</si>
  <si>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</si>
  <si>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</si>
  <si>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</si>
  <si>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</si>
  <si>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</si>
  <si>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</si>
  <si>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</si>
  <si>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</si>
  <si>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</si>
  <si>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</si>
  <si>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</si>
  <si>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</si>
  <si>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</si>
  <si>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</si>
  <si>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</si>
  <si>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</si>
  <si>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</si>
  <si>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</si>
  <si>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</si>
  <si>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</si>
  <si>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</si>
  <si>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</si>
  <si>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</si>
  <si>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</si>
  <si>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</si>
  <si>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</si>
  <si>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</si>
  <si>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</si>
  <si>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</si>
  <si>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</si>
  <si>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</si>
  <si>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</si>
  <si>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</si>
  <si>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</si>
  <si>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</si>
  <si>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</si>
  <si>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</si>
  <si>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</si>
  <si>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</si>
  <si>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</si>
  <si>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</si>
  <si>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</si>
  <si>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</si>
  <si>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</si>
  <si>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</si>
  <si>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</si>
  <si>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</si>
  <si>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</si>
  <si>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</si>
  <si>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</si>
  <si>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</si>
  <si>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</si>
  <si>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</si>
  <si>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</si>
  <si>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</si>
  <si>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</si>
  <si>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</si>
  <si>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</si>
  <si>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</si>
  <si>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</si>
  <si>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</si>
  <si>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</si>
  <si>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</si>
  <si>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</si>
  <si>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</si>
  <si>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</si>
  <si>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</si>
  <si>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</si>
  <si>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</si>
  <si>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</si>
  <si>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</si>
  <si>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</si>
  <si>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</si>
  <si>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</si>
  <si>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</si>
  <si>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</si>
  <si>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</si>
  <si>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</si>
  <si>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</si>
  <si>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</si>
  <si>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</si>
  <si>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</si>
  <si>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</si>
  <si>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</si>
  <si>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</si>
  <si>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</si>
  <si>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</si>
  <si>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</si>
  <si>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</si>
  <si>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</si>
  <si>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</si>
  <si>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</si>
  <si>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</si>
  <si>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</si>
  <si>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</si>
  <si>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</si>
  <si>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</si>
  <si>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</si>
  <si>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</si>
  <si>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</si>
  <si>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</si>
  <si>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</si>
  <si>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</si>
  <si>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</si>
  <si>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</si>
  <si>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</si>
  <si>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</si>
  <si>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</si>
  <si>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</si>
  <si>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</si>
  <si>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</si>
  <si>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</si>
  <si>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</si>
  <si>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</si>
  <si>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</si>
  <si>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</si>
  <si>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</si>
  <si>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</si>
  <si>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</si>
  <si>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</si>
  <si>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</si>
  <si>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</si>
  <si>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</si>
  <si>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</si>
  <si>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</si>
  <si>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</si>
  <si>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</si>
  <si>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</si>
  <si>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</si>
  <si>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</si>
  <si>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</si>
  <si>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</si>
  <si>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</si>
  <si>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</si>
  <si>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</si>
  <si>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</si>
  <si>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</si>
  <si>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</si>
  <si>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</si>
  <si>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</si>
  <si>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</si>
  <si>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</si>
  <si>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</si>
  <si>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</si>
  <si>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</si>
  <si>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</si>
  <si>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</si>
  <si>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</si>
  <si>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</si>
  <si>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</si>
  <si>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</si>
  <si>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</si>
  <si>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</si>
  <si>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</si>
  <si>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</si>
  <si>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</si>
  <si>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</si>
  <si>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</si>
  <si>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</si>
  <si>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</si>
  <si>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</si>
  <si>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</si>
  <si>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</si>
  <si>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</si>
  <si>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</si>
  <si>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</si>
  <si>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</si>
  <si>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</si>
  <si>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</si>
  <si>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</si>
  <si>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</si>
  <si>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</si>
  <si>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</si>
  <si>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</si>
  <si>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</si>
  <si>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</si>
  <si>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</si>
  <si>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</si>
  <si>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</si>
  <si>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</si>
  <si>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</si>
  <si>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</si>
  <si>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</si>
  <si>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HJFW-Z-2024-5625</t>
  </si>
  <si>
    <t>HJFW-Z-2024-5722</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</si>
  <si>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</si>
  <si>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</si>
  <si>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</si>
  <si>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</si>
  <si>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</si>
  <si>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</si>
  <si>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</si>
  <si>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</si>
  <si>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</si>
  <si>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</si>
  <si>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</si>
  <si>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</si>
  <si>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</si>
  <si>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</si>
  <si>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</si>
  <si>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</si>
  <si>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</si>
  <si>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</si>
  <si>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</si>
  <si>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</si>
  <si>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</si>
  <si>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</si>
  <si>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</si>
  <si>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</si>
  <si>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</si>
  <si>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</si>
  <si>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</si>
  <si>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</si>
  <si>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</si>
  <si>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</si>
  <si>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</si>
  <si>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</si>
  <si>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</si>
  <si>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</si>
  <si>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</si>
  <si>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</si>
  <si>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</si>
  <si>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</si>
  <si>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</si>
  <si>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</si>
  <si>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</si>
  <si>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</si>
  <si>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</si>
  <si>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</si>
  <si>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</si>
  <si>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</si>
  <si>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</si>
  <si>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</si>
  <si>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</si>
  <si>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</si>
  <si>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</si>
  <si>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</si>
  <si>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</si>
  <si>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</si>
  <si>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</si>
  <si>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</si>
  <si>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</si>
  <si>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</si>
  <si>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</si>
  <si>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</si>
  <si>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</si>
  <si>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</si>
  <si>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</si>
  <si>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</si>
  <si>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</si>
  <si>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</si>
  <si>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</si>
  <si>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</si>
  <si>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</si>
  <si>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</si>
  <si>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</si>
  <si>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</si>
  <si>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</si>
  <si>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</si>
  <si>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</si>
  <si>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</si>
  <si>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</si>
  <si>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</si>
  <si>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</si>
  <si>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</si>
  <si>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</si>
  <si>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</si>
  <si>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</si>
  <si>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</si>
  <si>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</si>
  <si>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</si>
  <si>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</si>
  <si>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</si>
  <si>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</si>
  <si>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</si>
  <si>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</si>
  <si>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</si>
  <si>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</si>
  <si>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</si>
  <si>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</si>
  <si>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</si>
  <si>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</si>
  <si>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</si>
  <si>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</si>
  <si>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</si>
  <si>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</si>
  <si>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</si>
  <si>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</si>
  <si>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</si>
  <si>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</si>
  <si>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</si>
  <si>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</si>
  <si>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</si>
  <si>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</si>
  <si>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</si>
  <si>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</si>
  <si>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</si>
  <si>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</si>
  <si>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</si>
  <si>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</si>
  <si>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</si>
  <si>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</si>
  <si>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</si>
  <si>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</si>
  <si>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</si>
  <si>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</si>
  <si>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</si>
  <si>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</si>
  <si>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</si>
  <si>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</si>
  <si>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</si>
  <si>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</si>
  <si>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</si>
  <si>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</si>
  <si>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</si>
  <si>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</si>
  <si>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</si>
  <si>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</si>
  <si>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</si>
  <si>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</si>
  <si>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</si>
  <si>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</si>
  <si>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</si>
  <si>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</si>
  <si>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</si>
  <si>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</si>
  <si>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</si>
  <si>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</si>
  <si>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</si>
  <si>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</si>
  <si>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</si>
  <si>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</si>
  <si>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</si>
  <si>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</si>
  <si>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</si>
  <si>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</si>
  <si>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</si>
  <si>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</si>
  <si>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</si>
  <si>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2017394354552833024</t>
  </si>
  <si>
    <t>审核通过</t>
  </si>
  <si>
    <t>银湖实验小学2024-2025年绿化养护外包服务合同</t>
  </si>
  <si>
    <t>2025-07-31</t>
  </si>
  <si>
    <t>主合同</t>
  </si>
  <si>
    <t>线下签署（智能+物理）</t>
  </si>
  <si>
    <t>001</t>
  </si>
  <si>
    <t>银行转账</t>
  </si>
  <si>
    <t>CNY</t>
  </si>
  <si>
    <t>人民币</t>
  </si>
  <si>
    <t/>
  </si>
  <si>
    <t>增值税专用发票</t>
  </si>
  <si>
    <t>U1015000229</t>
  </si>
  <si>
    <t>深圳区域公司</t>
  </si>
  <si>
    <t>2024-07-31</t>
  </si>
  <si>
    <t>2024-08-01</t>
  </si>
  <si>
    <t>20006393</t>
  </si>
  <si>
    <t>罗志雄</t>
  </si>
  <si>
    <t>V1.0</t>
  </si>
  <si>
    <t>11501256</t>
  </si>
  <si>
    <t>童成喜</t>
  </si>
  <si>
    <t>正常</t>
  </si>
  <si>
    <t>履约中</t>
  </si>
  <si>
    <t>已签章</t>
  </si>
  <si>
    <t>已归档</t>
  </si>
  <si>
    <t>JD-YWLX-050</t>
  </si>
  <si>
    <t>绿化养护</t>
  </si>
  <si>
    <t>环境服务类</t>
  </si>
  <si>
    <t>2017394324228033536</t>
  </si>
  <si>
    <t>SealSign-20240815-0081</t>
  </si>
  <si>
    <t>新签</t>
  </si>
  <si>
    <t>罗湖区银湖实验小学项目绿化养护合同申请续签一年，该项目属于非住类，深圳市蓝岛环境服务有限公司为优选供应商，近半年月度服务良好，智想荟住宅绿化集团指导价7.2元/㎡/年，按平方米计价，续签含税单价12元/平方米/年，税率6%，编制1岗，年合同费用为6万；相比原合同年度成本不变，请领导审批！</t>
  </si>
  <si>
    <t>ID-000028</t>
  </si>
  <si>
    <t>杨振华</t>
  </si>
  <si>
    <t>2024-08-24 09:43:32:898</t>
  </si>
  <si>
    <t>2024-08-15 10:59:22:791</t>
  </si>
  <si>
    <t>2025-04-15 01:55:42:338</t>
  </si>
  <si>
    <t>eipuser</t>
  </si>
  <si>
    <t>EIP接口用户</t>
  </si>
  <si>
    <t>2017382737991789568</t>
  </si>
  <si>
    <t>fxyz_environmentalservice</t>
  </si>
  <si>
    <t>2017394354552832000</t>
  </si>
  <si>
    <t>132</t>
  </si>
  <si>
    <t>深圳市金地物业管理有限公司</t>
  </si>
  <si>
    <t>2017394354552832001</t>
  </si>
  <si>
    <t>42094</t>
  </si>
  <si>
    <t>深圳市蓝岛环境服务有限公司</t>
  </si>
  <si>
    <t>2015401934332113920</t>
  </si>
  <si>
    <t>银湖实验小学2024-2025年清洁外包服务合同</t>
  </si>
  <si>
    <t>JD-YWLX-048</t>
  </si>
  <si>
    <t>保洁外包</t>
  </si>
  <si>
    <t>2015401899452361728</t>
  </si>
  <si>
    <t>SealSign-20240812-0222</t>
  </si>
  <si>
    <t>罗湖区银湖实验小学项目保洁合同申请续签一年，住宅清洁集团指导价3700元/岗/月，按岗计价，含税单价4000元/岗/月，该项目属于非住类，税率6%，编制5岗，合同金额24万；相比原合同年度成本节省10.8万元（原合同岗位编制7岗，岗位单价4000元/岗/月，税率6%），深圳市蓝岛环境服务有限公司为优选供应商，近半年月度服务良好，请领导审批！</t>
  </si>
  <si>
    <t>2024-08-24 09:43:56:790</t>
  </si>
  <si>
    <t>2024-08-12 16:49:55:804</t>
  </si>
  <si>
    <t>2025-04-15 01:55:32:941</t>
  </si>
  <si>
    <t>2015384847652056064</t>
  </si>
  <si>
    <t>2015401934332158976</t>
  </si>
  <si>
    <t>2015401934332158977</t>
  </si>
  <si>
    <t>2000952448788771840</t>
  </si>
  <si>
    <t>HJFW-Z-2023-2076</t>
  </si>
  <si>
    <t>关闭</t>
  </si>
  <si>
    <t>银湖实验小学2023-2024年清洁承包有偿服务合同</t>
  </si>
  <si>
    <t>2023-08-01</t>
  </si>
  <si>
    <t>正常关闭</t>
  </si>
  <si>
    <t>1739234682987377664</t>
  </si>
  <si>
    <t>SealSign-20230728-191</t>
  </si>
  <si>
    <t xml:space="preserve">1、深圳市蓝岛环境服务有限公司为银湖实验小学保洁外包单位；
2、管理处与外包单位达成一致意见续签；
3、无涨幅续签，请项目注意外包方管控。
妥否、请领导审批！ 
</t>
  </si>
  <si>
    <t>2023-08-02 14:02:31:743</t>
  </si>
  <si>
    <t>2023-07-28 16:17:30:015</t>
  </si>
  <si>
    <t>2025-04-15 01:40:21:118</t>
  </si>
  <si>
    <t>1739228971561678848</t>
  </si>
  <si>
    <t>2000952448788816896</t>
  </si>
  <si>
    <t>2000952448788816897</t>
  </si>
  <si>
    <t>1777740886877159424</t>
  </si>
  <si>
    <t>HTTZ-20230713-142710</t>
  </si>
  <si>
    <t>银湖保洁外包合同</t>
  </si>
  <si>
    <t>2023-09-30</t>
  </si>
  <si>
    <t>无需用印</t>
  </si>
  <si>
    <t>2023-05-01</t>
  </si>
  <si>
    <t>未签章</t>
  </si>
  <si>
    <t>未归档</t>
  </si>
  <si>
    <t>1777741089235543040</t>
  </si>
  <si>
    <t>SealSign-20230919-219</t>
  </si>
  <si>
    <t>深圳20230928试点上线初始化合同</t>
  </si>
  <si>
    <t>2023-09-19 19:34:26:401</t>
  </si>
  <si>
    <t>2023-09-19 19:33:47:639</t>
  </si>
  <si>
    <t>2025-04-15 01:42:34:965</t>
  </si>
  <si>
    <t>1777740883739808768</t>
  </si>
  <si>
    <t>1777740886877160448</t>
  </si>
  <si>
    <t>1777740886877160449</t>
  </si>
  <si>
    <t>1777740338119586816</t>
  </si>
  <si>
    <t>暂存</t>
  </si>
  <si>
    <t>2023-09-19 19:32:40:458</t>
  </si>
  <si>
    <t>2023-09-19 19:32:58:964</t>
  </si>
  <si>
    <t>1777740322936199168</t>
  </si>
  <si>
    <t>1777740338119631872</t>
  </si>
  <si>
    <t>1777740338119631873</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</si>
  <si>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</si>
  <si>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</si>
  <si>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</si>
  <si>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</si>
  <si>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</si>
  <si>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</si>
  <si>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</si>
  <si>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</si>
  <si>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</si>
  <si>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</si>
  <si>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</si>
  <si>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</si>
  <si>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</si>
  <si>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</si>
  <si>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</si>
  <si>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</si>
  <si>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</si>
  <si>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</si>
  <si>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</si>
  <si>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</si>
  <si>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</si>
  <si>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</si>
  <si>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</si>
  <si>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</si>
  <si>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</si>
  <si>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</si>
  <si>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</si>
  <si>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</si>
  <si>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</si>
  <si>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</si>
  <si>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</si>
  <si>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</si>
  <si>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</si>
  <si>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</si>
  <si>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</si>
  <si>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</si>
  <si>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</si>
  <si>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</si>
  <si>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</si>
  <si>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</si>
  <si>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</si>
  <si>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</si>
  <si>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</si>
  <si>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</si>
  <si>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</si>
  <si>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</si>
  <si>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</si>
  <si>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</si>
  <si>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</si>
  <si>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</si>
  <si>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</si>
  <si>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</si>
  <si>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</si>
  <si>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</si>
  <si>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</si>
  <si>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</si>
  <si>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</si>
  <si>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</si>
  <si>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</si>
  <si>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</si>
  <si>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</si>
  <si>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</si>
  <si>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</si>
  <si>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</si>
  <si>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</si>
  <si>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</si>
  <si>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</si>
  <si>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</si>
  <si>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</si>
  <si>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</si>
  <si>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</si>
  <si>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</si>
  <si>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</si>
  <si>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</si>
  <si>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</si>
  <si>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</si>
  <si>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</si>
  <si>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</si>
  <si>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11450</t>
  </si>
  <si>
    <t>FK250106000654</t>
  </si>
  <si>
    <t>已审核</t>
  </si>
  <si>
    <t>FK-WY.SZ.52-20250109-000002</t>
  </si>
  <si>
    <t>已付款</t>
  </si>
  <si>
    <t>2025-02-21</t>
  </si>
  <si>
    <t>2025-01-06</t>
  </si>
  <si>
    <t>41029600040033643</t>
  </si>
  <si>
    <t>中国农业银行深圳民治支行</t>
  </si>
  <si>
    <t>金采易购</t>
  </si>
  <si>
    <t>关于银湖小学支付2024年12月份清洁外包费用的申请</t>
  </si>
  <si>
    <t>业财用户</t>
  </si>
  <si>
    <t>2025-01-09</t>
  </si>
  <si>
    <t>已过账</t>
  </si>
  <si>
    <t>WY.SZ.52-202502-0027</t>
  </si>
  <si>
    <t>0031</t>
  </si>
  <si>
    <t>2025-02-28</t>
  </si>
  <si>
    <t>采购付款</t>
  </si>
  <si>
    <t>转 WY.SZ.52-202502-0027</t>
  </si>
  <si>
    <t>主动付款</t>
  </si>
  <si>
    <t>外包服务费.保洁外包</t>
  </si>
  <si>
    <t>其他付款</t>
  </si>
  <si>
    <t>CF250106000345</t>
  </si>
  <si>
    <t>2025年2期</t>
  </si>
  <si>
    <t>AP-202501-0001945</t>
  </si>
  <si>
    <t>深圳市金地物业管理有限公司深圳本部</t>
  </si>
  <si>
    <t>11451</t>
  </si>
  <si>
    <t>FK250106000658</t>
  </si>
  <si>
    <t>FK-WY.SZ.52-20250109-000001</t>
  </si>
  <si>
    <t>关于银湖小学支付2024年12月份绿化养护外包费用的申请</t>
  </si>
  <si>
    <t>WY.SZ.52-202502-0025</t>
  </si>
  <si>
    <t>转 WY.SZ.52-202502-0025</t>
  </si>
  <si>
    <t>绿化改造/养护</t>
  </si>
  <si>
    <t>外包服务费.绿化外包</t>
  </si>
  <si>
    <t>CF250106000344</t>
  </si>
  <si>
    <t>AP-202501-0001944</t>
  </si>
  <si>
    <t>13567</t>
  </si>
  <si>
    <t>FK250219000064</t>
  </si>
  <si>
    <t>FK-WY.SZ.52-20250227-000003</t>
  </si>
  <si>
    <t>2025-02-19</t>
  </si>
  <si>
    <t>关于银湖小学支付2025年1月份清洁外包费用的申请</t>
  </si>
  <si>
    <t>2025-04-11</t>
  </si>
  <si>
    <t>星瀚处理中</t>
  </si>
  <si>
    <t>WY.SZ.52-202504-0002</t>
  </si>
  <si>
    <t>转 WY.SZ.52-202504-0002</t>
  </si>
  <si>
    <t>CF250219000039</t>
  </si>
  <si>
    <t>2025年4期</t>
  </si>
  <si>
    <t>AP-202502-0016592</t>
  </si>
  <si>
    <t>13568</t>
  </si>
  <si>
    <t>FK250219000057</t>
  </si>
  <si>
    <t>FK-WY.SZ.52-20250306-000004</t>
  </si>
  <si>
    <t>关于银湖小学支付2025年1月份绿化养护外包费用的申请</t>
  </si>
  <si>
    <t>2025-03-06</t>
  </si>
  <si>
    <t>2025-04-24</t>
  </si>
  <si>
    <t>WY.SZ.52-202504-0004</t>
  </si>
  <si>
    <t>转 WY.SZ.52-202504-0004</t>
  </si>
  <si>
    <t>CF250219000041</t>
  </si>
  <si>
    <t>AP-202502-0016593</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</si>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</sst>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66" fillId="0" borderId="0" applyNumberFormat="0" applyFill="0" applyBorder="0" applyAlignment="0" applyProtection="0"/>
    <xf numFmtId="0" fontId="0" fillId="0" borderId="0"/>
    <xf numFmtId="176" fontId="0" fillId="0" borderId="0">
      <alignment vertical="center"/>
    </xf>
    <xf numFmtId="176" fontId="5" fillId="0" borderId="0"/>
    <xf numFmtId="0" fontId="66" fillId="0" borderId="0" applyFill="0" applyBorder="0">
      <alignment vertical="top"/>
    </xf>
    <xf numFmtId="0" fontId="67"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0" borderId="0" xfId="0" applyFont="1" applyFill="1" applyAlignment="1"/>
    <xf numFmtId="0" fontId="6" fillId="0" borderId="7" xfId="0" applyFont="1" applyFill="1" applyBorder="1" applyAlignment="1">
      <alignment horizontal="center" vertical="top"/>
    </xf>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0" fontId="3" fillId="0" borderId="0" xfId="0" applyFont="1">
      <alignment vertical="center"/>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2" fontId="8"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0" fillId="5" borderId="7" xfId="0" applyNumberFormat="1" applyFont="1" applyFill="1" applyBorder="1" applyAlignment="1">
      <alignment horizontal="left" vertical="center" wrapText="1"/>
    </xf>
    <xf numFmtId="182" fontId="10" fillId="9" borderId="7" xfId="0" applyNumberFormat="1" applyFont="1" applyFill="1" applyBorder="1" applyAlignment="1">
      <alignment horizontal="left" vertical="center" wrapText="1"/>
    </xf>
    <xf numFmtId="182" fontId="10" fillId="19" borderId="7" xfId="0" applyNumberFormat="1" applyFont="1" applyFill="1" applyBorder="1" applyAlignment="1">
      <alignment horizontal="left" vertical="center" wrapText="1"/>
    </xf>
    <xf numFmtId="182" fontId="10" fillId="2" borderId="7" xfId="0" applyNumberFormat="1" applyFont="1" applyFill="1" applyBorder="1" applyAlignment="1">
      <alignment horizontal="left" vertical="center" wrapText="1"/>
    </xf>
    <xf numFmtId="182" fontId="10" fillId="0" borderId="7" xfId="0" applyNumberFormat="1" applyFont="1" applyBorder="1" applyAlignment="1">
      <alignment horizontal="left" vertical="center" wrapText="1"/>
    </xf>
    <xf numFmtId="182" fontId="10" fillId="20" borderId="7" xfId="0" applyNumberFormat="1" applyFont="1" applyFill="1" applyBorder="1" applyAlignment="1">
      <alignment horizontal="left" vertical="center" wrapText="1"/>
    </xf>
    <xf numFmtId="182" fontId="10" fillId="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left" vertical="center" wrapText="1"/>
    </xf>
    <xf numFmtId="182"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3" fontId="10" fillId="0" borderId="7" xfId="0" applyNumberFormat="1" applyFont="1" applyBorder="1" applyAlignment="1">
      <alignment horizontal="right" vertical="center" wrapText="1"/>
    </xf>
    <xf numFmtId="183"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2" fontId="10" fillId="10" borderId="7" xfId="0" applyNumberFormat="1" applyFont="1" applyFill="1" applyBorder="1" applyAlignment="1">
      <alignment horizontal="right" vertical="center" wrapText="1"/>
    </xf>
    <xf numFmtId="183"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2" fontId="10" fillId="25" borderId="7" xfId="0" applyNumberFormat="1" applyFont="1" applyFill="1" applyBorder="1" applyAlignment="1">
      <alignment horizontal="right" vertical="center" wrapText="1"/>
    </xf>
    <xf numFmtId="182" fontId="10" fillId="18" borderId="7" xfId="0" applyNumberFormat="1" applyFont="1" applyFill="1" applyBorder="1" applyAlignment="1">
      <alignment horizontal="right" vertical="center" wrapText="1"/>
    </xf>
    <xf numFmtId="182"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0" fillId="16" borderId="7" xfId="0" applyNumberFormat="1" applyFont="1" applyFill="1" applyBorder="1" applyAlignment="1">
      <alignment horizontal="right" vertical="center" wrapText="1"/>
    </xf>
    <xf numFmtId="182"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4" fontId="14" fillId="11" borderId="7" xfId="0" applyNumberFormat="1" applyFont="1" applyFill="1" applyBorder="1" applyAlignment="1">
      <alignment horizontal="center" vertical="center" wrapText="1"/>
    </xf>
    <xf numFmtId="184" fontId="14" fillId="11" borderId="8" xfId="0" applyNumberFormat="1" applyFont="1" applyFill="1" applyBorder="1" applyAlignment="1">
      <alignment horizontal="center" vertical="center" wrapText="1"/>
    </xf>
    <xf numFmtId="184" fontId="15" fillId="11" borderId="7" xfId="0" applyNumberFormat="1" applyFont="1" applyFill="1" applyBorder="1" applyAlignment="1">
      <alignment horizontal="center" vertical="center" wrapText="1"/>
    </xf>
    <xf numFmtId="184" fontId="14" fillId="11" borderId="10" xfId="0" applyNumberFormat="1" applyFont="1" applyFill="1" applyBorder="1" applyAlignment="1">
      <alignment horizontal="center" vertical="center" wrapText="1"/>
    </xf>
    <xf numFmtId="184" fontId="14" fillId="11" borderId="12"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7" fillId="11" borderId="8" xfId="0" applyNumberFormat="1" applyFont="1" applyFill="1" applyBorder="1" applyAlignment="1">
      <alignment vertical="center" wrapText="1"/>
    </xf>
    <xf numFmtId="184" fontId="18"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8"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8" fillId="11" borderId="7" xfId="0" applyNumberFormat="1" applyFont="1" applyFill="1" applyBorder="1" applyAlignment="1">
      <alignment vertical="center" wrapText="1"/>
    </xf>
    <xf numFmtId="184" fontId="19" fillId="11" borderId="7" xfId="0" applyNumberFormat="1" applyFont="1" applyFill="1" applyBorder="1" applyAlignment="1">
      <alignment vertical="center" wrapText="1"/>
    </xf>
    <xf numFmtId="184" fontId="18" fillId="11" borderId="13" xfId="0" applyNumberFormat="1" applyFont="1" applyFill="1" applyBorder="1" applyAlignment="1">
      <alignment vertical="center" wrapText="1"/>
    </xf>
    <xf numFmtId="184" fontId="18"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19" fillId="11" borderId="8" xfId="0" applyNumberFormat="1" applyFont="1" applyFill="1" applyBorder="1" applyAlignment="1">
      <alignment vertical="center" wrapText="1"/>
    </xf>
    <xf numFmtId="184" fontId="18" fillId="11" borderId="16" xfId="0" applyNumberFormat="1" applyFont="1" applyFill="1" applyBorder="1" applyAlignment="1">
      <alignment vertical="center" wrapText="1"/>
    </xf>
    <xf numFmtId="184"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4" fontId="23" fillId="0" borderId="7" xfId="0" applyNumberFormat="1" applyFont="1" applyBorder="1" applyAlignment="1">
      <alignment horizontal="center" vertical="center" wrapText="1"/>
    </xf>
    <xf numFmtId="184"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4" fontId="15"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wrapText="1"/>
    </xf>
    <xf numFmtId="185" fontId="26" fillId="0" borderId="7" xfId="0" applyNumberFormat="1" applyFont="1" applyBorder="1" applyAlignment="1">
      <alignment horizontal="center" vertical="center"/>
    </xf>
    <xf numFmtId="184" fontId="23" fillId="11" borderId="7" xfId="0" applyNumberFormat="1" applyFont="1" applyFill="1" applyBorder="1" applyAlignment="1">
      <alignment horizontal="center" vertical="center" wrapText="1"/>
    </xf>
    <xf numFmtId="185" fontId="24"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6"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7"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7"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7"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7"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7"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7" fontId="29" fillId="34" borderId="7" xfId="0" applyNumberFormat="1" applyFont="1" applyFill="1" applyBorder="1">
      <alignment vertical="center"/>
    </xf>
    <xf numFmtId="187"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7"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7"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7"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9"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7" fontId="33" fillId="0" borderId="0" xfId="0" applyNumberFormat="1" applyFont="1" applyAlignment="1">
      <alignment horizontal="center" vertical="center"/>
    </xf>
    <xf numFmtId="9" fontId="39" fillId="39" borderId="7" xfId="3" applyFont="1" applyFill="1" applyBorder="1" applyAlignment="1">
      <alignment horizontal="center"/>
    </xf>
    <xf numFmtId="187"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7"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90"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7" fontId="33" fillId="0" borderId="9" xfId="0" applyNumberFormat="1" applyFont="1" applyBorder="1" applyAlignment="1">
      <alignment vertical="center"/>
    </xf>
    <xf numFmtId="0" fontId="33" fillId="0" borderId="20" xfId="0" applyFont="1" applyBorder="1" applyAlignment="1">
      <alignment vertical="center"/>
    </xf>
    <xf numFmtId="187"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www.wps.cn/officeDocument/2021/sharedlinks" Target="sharedlinks.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0</c:v>
                </c:pt>
                <c:pt idx="2">
                  <c:v>4</c:v>
                </c:pt>
                <c:pt idx="3">
                  <c:v>4</c:v>
                </c:pt>
                <c:pt idx="4">
                  <c:v>4</c:v>
                </c:pt>
                <c:pt idx="5">
                  <c:v>4</c:v>
                </c:pt>
                <c:pt idx="6">
                  <c:v>4</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0</c:v>
                </c:pt>
                <c:pt idx="2">
                  <c:v>4</c:v>
                </c:pt>
                <c:pt idx="3">
                  <c:v>4</c:v>
                </c:pt>
                <c:pt idx="4">
                  <c:v>4</c:v>
                </c:pt>
                <c:pt idx="5">
                  <c:v>4</c:v>
                </c:pt>
                <c:pt idx="6">
                  <c:v>4</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0.0991304374600592</c:v>
                </c:pt>
                <c:pt idx="1">
                  <c:v>0.900869562539941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0.202148612510632</c:v>
                </c:pt>
                <c:pt idx="1">
                  <c:v>0.797851387489368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0.453558302706315</c:v>
                </c:pt>
                <c:pt idx="1">
                  <c:v>0.546441697293685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6</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0.202016637089561</c:v>
                </c:pt>
                <c:pt idx="1">
                  <c:v>0.195468872653611</c:v>
                </c:pt>
                <c:pt idx="2">
                  <c:v>0.199900506556398</c:v>
                </c:pt>
                <c:pt idx="3">
                  <c:v>0.200464541977338</c:v>
                </c:pt>
                <c:pt idx="4">
                  <c:v>0.202143190257644</c:v>
                </c:pt>
                <c:pt idx="5">
                  <c:v>0.202148612510632</c:v>
                </c:pt>
                <c:pt idx="6">
                  <c:v>0.203110561756844</c:v>
                </c:pt>
                <c:pt idx="7">
                  <c:v>0.177829653168855</c:v>
                </c:pt>
                <c:pt idx="8">
                  <c:v>0.158145488960761</c:v>
                </c:pt>
                <c:pt idx="9">
                  <c:v>0.142384759839052</c:v>
                </c:pt>
                <c:pt idx="10">
                  <c:v>0.129480749530353</c:v>
                </c:pt>
                <c:pt idx="11">
                  <c:v>0.1161085786825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25479.4520547945</c:v>
                </c:pt>
                <c:pt idx="1">
                  <c:v>48493.1506849315</c:v>
                </c:pt>
                <c:pt idx="2">
                  <c:v>73972.602739726</c:v>
                </c:pt>
                <c:pt idx="3">
                  <c:v>98630.1369863014</c:v>
                </c:pt>
                <c:pt idx="4">
                  <c:v>124109.589041096</c:v>
                </c:pt>
                <c:pt idx="5">
                  <c:v>148767.123287671</c:v>
                </c:pt>
                <c:pt idx="6">
                  <c:v>174246.575342466</c:v>
                </c:pt>
                <c:pt idx="7">
                  <c:v>174246.575342466</c:v>
                </c:pt>
                <c:pt idx="8">
                  <c:v>174246.575342466</c:v>
                </c:pt>
                <c:pt idx="9">
                  <c:v>174246.575342466</c:v>
                </c:pt>
                <c:pt idx="10">
                  <c:v>174246.575342466</c:v>
                </c:pt>
                <c:pt idx="11">
                  <c:v>174246.575342466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126125.513333333</c:v>
                </c:pt>
                <c:pt idx="1">
                  <c:v>248086.306666667</c:v>
                </c:pt>
                <c:pt idx="2">
                  <c:v>370047.1</c:v>
                </c:pt>
                <c:pt idx="3">
                  <c:v>492007.893333333</c:v>
                </c:pt>
                <c:pt idx="4">
                  <c:v>613968.686666667</c:v>
                </c:pt>
                <c:pt idx="5">
                  <c:v>735929.48</c:v>
                </c:pt>
                <c:pt idx="6">
                  <c:v>857890.273333333</c:v>
                </c:pt>
                <c:pt idx="7">
                  <c:v>979851.066666667</c:v>
                </c:pt>
                <c:pt idx="8">
                  <c:v>1101811.86</c:v>
                </c:pt>
                <c:pt idx="9">
                  <c:v>1223772.65333333</c:v>
                </c:pt>
                <c:pt idx="10">
                  <c:v>1345733.44666667</c:v>
                </c:pt>
                <c:pt idx="11">
                  <c:v>1500720.94</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150.072094</c:v>
                </c:pt>
                <c:pt idx="1">
                  <c:v>0</c:v>
                </c:pt>
                <c:pt idx="2">
                  <c:v>0</c:v>
                </c:pt>
                <c:pt idx="3">
                  <c:v>0</c:v>
                </c:pt>
                <c:pt idx="4">
                  <c:v>0</c:v>
                </c:pt>
                <c:pt idx="5">
                  <c:v>0</c:v>
                </c:pt>
                <c:pt idx="6">
                  <c:v>150.072094</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73.592948</c:v>
                </c:pt>
                <c:pt idx="1">
                  <c:v>0</c:v>
                </c:pt>
                <c:pt idx="2">
                  <c:v>0</c:v>
                </c:pt>
                <c:pt idx="3">
                  <c:v>0</c:v>
                </c:pt>
                <c:pt idx="4">
                  <c:v>0</c:v>
                </c:pt>
                <c:pt idx="5">
                  <c:v>0</c:v>
                </c:pt>
                <c:pt idx="6">
                  <c:v>73.592948</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14.8767123287671</c:v>
                </c:pt>
                <c:pt idx="1">
                  <c:v>0</c:v>
                </c:pt>
                <c:pt idx="2">
                  <c:v>0</c:v>
                </c:pt>
                <c:pt idx="3">
                  <c:v>0</c:v>
                </c:pt>
                <c:pt idx="4">
                  <c:v>0</c:v>
                </c:pt>
                <c:pt idx="5">
                  <c:v>0</c:v>
                </c:pt>
                <c:pt idx="6">
                  <c:v>14.8767123287671</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0.0991304374600592</c:v>
                </c:pt>
                <c:pt idx="1">
                  <c:v>0</c:v>
                </c:pt>
                <c:pt idx="2">
                  <c:v>0</c:v>
                </c:pt>
                <c:pt idx="3">
                  <c:v>0</c:v>
                </c:pt>
                <c:pt idx="4">
                  <c:v>0</c:v>
                </c:pt>
                <c:pt idx="5">
                  <c:v>0</c:v>
                </c:pt>
                <c:pt idx="6">
                  <c:v>0.0991304374600592</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0.202148612510632</c:v>
                </c:pt>
                <c:pt idx="1">
                  <c:v>0</c:v>
                </c:pt>
                <c:pt idx="2">
                  <c:v>0</c:v>
                </c:pt>
                <c:pt idx="3">
                  <c:v>0</c:v>
                </c:pt>
                <c:pt idx="4">
                  <c:v>0</c:v>
                </c:pt>
                <c:pt idx="5">
                  <c:v>0</c:v>
                </c:pt>
                <c:pt idx="6">
                  <c:v>0.202148612510632</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0.202016637089561</c:v>
                </c:pt>
                <c:pt idx="1">
                  <c:v>0.188697515005809</c:v>
                </c:pt>
                <c:pt idx="2">
                  <c:v>0.208915105899288</c:v>
                </c:pt>
                <c:pt idx="3">
                  <c:v>0.202175908934796</c:v>
                </c:pt>
                <c:pt idx="4">
                  <c:v>0.208915105899288</c:v>
                </c:pt>
                <c:pt idx="5">
                  <c:v>0.202175908934796</c:v>
                </c:pt>
                <c:pt idx="6">
                  <c:v>0.208915105899288</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0.202016637089561</c:v>
                      </c:pt>
                      <c:pt idx="1">
                        <c:v>0.195468872653611</c:v>
                      </c:pt>
                      <c:pt idx="2">
                        <c:v>0.199900506556398</c:v>
                      </c:pt>
                      <c:pt idx="3">
                        <c:v>0.200464541977338</c:v>
                      </c:pt>
                      <c:pt idx="4">
                        <c:v>0.202143190257644</c:v>
                      </c:pt>
                      <c:pt idx="5">
                        <c:v>0.202148612510632</c:v>
                      </c:pt>
                      <c:pt idx="6">
                        <c:v>0.203110561756844</c:v>
                      </c:pt>
                      <c:pt idx="7">
                        <c:v>0.177829653168855</c:v>
                      </c:pt>
                      <c:pt idx="8">
                        <c:v>0.158145488960761</c:v>
                      </c:pt>
                      <c:pt idx="9">
                        <c:v>0.142384759839052</c:v>
                      </c:pt>
                      <c:pt idx="10">
                        <c:v>0.129480749530353</c:v>
                      </c:pt>
                      <c:pt idx="11">
                        <c:v>0.1161085786825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25479.4520547945</c:v>
                </c:pt>
                <c:pt idx="1">
                  <c:v>23013.698630137</c:v>
                </c:pt>
                <c:pt idx="2">
                  <c:v>25479.4520547945</c:v>
                </c:pt>
                <c:pt idx="3">
                  <c:v>24657.5342465754</c:v>
                </c:pt>
                <c:pt idx="4">
                  <c:v>25479.4520547945</c:v>
                </c:pt>
                <c:pt idx="5">
                  <c:v>24657.5342465754</c:v>
                </c:pt>
                <c:pt idx="6">
                  <c:v>25479.4520547945</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126125.513333333</c:v>
                </c:pt>
                <c:pt idx="1">
                  <c:v>121960.793333333</c:v>
                </c:pt>
                <c:pt idx="2">
                  <c:v>121960.793333333</c:v>
                </c:pt>
                <c:pt idx="3">
                  <c:v>121960.793333333</c:v>
                </c:pt>
                <c:pt idx="4">
                  <c:v>121960.793333333</c:v>
                </c:pt>
                <c:pt idx="5">
                  <c:v>121960.793333333</c:v>
                </c:pt>
                <c:pt idx="6">
                  <c:v>121960.793333333</c:v>
                </c:pt>
                <c:pt idx="7">
                  <c:v>121960.793333333</c:v>
                </c:pt>
                <c:pt idx="8">
                  <c:v>121960.793333333</c:v>
                </c:pt>
                <c:pt idx="9">
                  <c:v>121960.793333333</c:v>
                </c:pt>
                <c:pt idx="10">
                  <c:v>121960.793333333</c:v>
                </c:pt>
                <c:pt idx="11">
                  <c:v>154987.493333333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19" customWidth="1"/>
    <col min="2" max="2" width="26.2545454545455" style="19" customWidth="1"/>
    <col min="3" max="4" width="21.7545454545455" style="19" customWidth="1"/>
    <col min="6" max="6" width="28.6272727272727" customWidth="1"/>
  </cols>
  <sheetData>
    <row r="1" spans="1:4">
      <c r="A1" s="440" t="s">
        <v>0</v>
      </c>
      <c r="B1" s="440"/>
      <c r="C1" s="440" t="s">
        <v>1</v>
      </c>
      <c r="D1" s="440"/>
    </row>
    <row r="2" spans="1:4">
      <c r="A2" s="440" t="s">
        <v>2</v>
      </c>
      <c r="B2" s="440" t="s">
        <v>3</v>
      </c>
      <c r="C2" s="440" t="s">
        <v>2</v>
      </c>
      <c r="D2" s="440" t="s">
        <v>3</v>
      </c>
    </row>
    <row r="3" ht="14.5" spans="1:4">
      <c r="A3" s="441">
        <v>6400</v>
      </c>
      <c r="B3" s="442" t="s">
        <v>4</v>
      </c>
      <c r="C3" s="443"/>
      <c r="D3" s="444"/>
    </row>
    <row r="4" ht="14.5" spans="1:4">
      <c r="A4" s="445">
        <v>6401</v>
      </c>
      <c r="B4" s="446" t="s">
        <v>5</v>
      </c>
      <c r="C4" s="447"/>
      <c r="D4" s="440"/>
    </row>
    <row r="5" ht="14.5" spans="1:4">
      <c r="A5" s="445">
        <v>6401.03</v>
      </c>
      <c r="B5" s="446" t="s">
        <v>6</v>
      </c>
      <c r="C5" s="447"/>
      <c r="D5" s="440"/>
    </row>
    <row r="6" ht="14.5" spans="1:4">
      <c r="A6" s="448" t="s">
        <v>7</v>
      </c>
      <c r="B6" s="449" t="s">
        <v>8</v>
      </c>
      <c r="C6" s="450">
        <v>1.2</v>
      </c>
      <c r="D6" s="107" t="s">
        <v>9</v>
      </c>
    </row>
    <row r="7" ht="14.5" spans="1:4">
      <c r="A7" s="445" t="s">
        <v>10</v>
      </c>
      <c r="B7" s="446" t="s">
        <v>11</v>
      </c>
      <c r="C7" s="447"/>
      <c r="D7" s="440"/>
    </row>
    <row r="8" ht="14.5" spans="1:4">
      <c r="A8" s="451" t="s">
        <v>12</v>
      </c>
      <c r="B8" s="452" t="s">
        <v>13</v>
      </c>
      <c r="C8" s="453" t="s">
        <v>14</v>
      </c>
      <c r="D8" s="117" t="s">
        <v>15</v>
      </c>
    </row>
    <row r="9" ht="14.5" spans="1:4">
      <c r="A9" s="451" t="s">
        <v>16</v>
      </c>
      <c r="B9" s="452" t="s">
        <v>17</v>
      </c>
      <c r="C9" s="453" t="s">
        <v>18</v>
      </c>
      <c r="D9" s="117" t="s">
        <v>19</v>
      </c>
    </row>
    <row r="10" ht="14.5" spans="1:4">
      <c r="A10" s="454" t="s">
        <v>20</v>
      </c>
      <c r="B10" s="455" t="s">
        <v>21</v>
      </c>
      <c r="C10" s="456" t="s">
        <v>22</v>
      </c>
      <c r="D10" s="457" t="s">
        <v>23</v>
      </c>
    </row>
    <row r="11" ht="14.5" spans="1:4">
      <c r="A11" s="458"/>
      <c r="B11" s="459"/>
      <c r="C11" s="456" t="s">
        <v>24</v>
      </c>
      <c r="D11" s="457" t="s">
        <v>25</v>
      </c>
    </row>
    <row r="12" ht="14.5" spans="1:4">
      <c r="A12" s="451" t="s">
        <v>26</v>
      </c>
      <c r="B12" s="452" t="s">
        <v>27</v>
      </c>
      <c r="C12" s="456" t="s">
        <v>28</v>
      </c>
      <c r="D12" s="457" t="s">
        <v>29</v>
      </c>
    </row>
    <row r="13" ht="14.5" spans="1:4">
      <c r="A13" s="451" t="s">
        <v>30</v>
      </c>
      <c r="B13" s="460" t="s">
        <v>31</v>
      </c>
      <c r="C13" s="461" t="s">
        <v>32</v>
      </c>
      <c r="D13" s="462" t="s">
        <v>33</v>
      </c>
    </row>
    <row r="14" ht="14.5" spans="1:4">
      <c r="A14" s="454" t="s">
        <v>34</v>
      </c>
      <c r="B14" s="455" t="s">
        <v>35</v>
      </c>
      <c r="C14" s="461" t="s">
        <v>36</v>
      </c>
      <c r="D14" s="462" t="s">
        <v>37</v>
      </c>
    </row>
    <row r="15" ht="14.5" spans="1:4">
      <c r="A15" s="463"/>
      <c r="B15" s="464"/>
      <c r="C15" s="461" t="s">
        <v>38</v>
      </c>
      <c r="D15" s="462" t="s">
        <v>39</v>
      </c>
    </row>
    <row r="16" ht="14.5" spans="1:4">
      <c r="A16" s="463"/>
      <c r="B16" s="464"/>
      <c r="C16" s="461" t="s">
        <v>40</v>
      </c>
      <c r="D16" s="462" t="s">
        <v>41</v>
      </c>
    </row>
    <row r="17" ht="14.5" spans="1:4">
      <c r="A17" s="458"/>
      <c r="B17" s="459"/>
      <c r="C17" s="461" t="s">
        <v>42</v>
      </c>
      <c r="D17" s="462" t="s">
        <v>43</v>
      </c>
    </row>
    <row r="18" ht="14.5" spans="1:4">
      <c r="A18" s="451" t="s">
        <v>44</v>
      </c>
      <c r="B18" s="452" t="s">
        <v>45</v>
      </c>
      <c r="C18" s="461" t="s">
        <v>46</v>
      </c>
      <c r="D18" s="462" t="s">
        <v>47</v>
      </c>
    </row>
    <row r="19" ht="29" spans="1:4">
      <c r="A19" s="454" t="s">
        <v>48</v>
      </c>
      <c r="B19" s="455" t="s">
        <v>49</v>
      </c>
      <c r="C19" s="465" t="s">
        <v>50</v>
      </c>
      <c r="D19" s="466" t="s">
        <v>51</v>
      </c>
    </row>
    <row r="20" ht="29" spans="1:4">
      <c r="A20" s="458"/>
      <c r="B20" s="459"/>
      <c r="C20" s="465" t="s">
        <v>52</v>
      </c>
      <c r="D20" s="466" t="s">
        <v>53</v>
      </c>
    </row>
    <row r="21" ht="29" spans="1:4">
      <c r="A21" s="454" t="s">
        <v>54</v>
      </c>
      <c r="B21" s="455" t="s">
        <v>55</v>
      </c>
      <c r="C21" s="465" t="s">
        <v>56</v>
      </c>
      <c r="D21" s="466" t="s">
        <v>57</v>
      </c>
    </row>
    <row r="22" ht="14.5" spans="1:4">
      <c r="A22" s="463"/>
      <c r="B22" s="464"/>
      <c r="C22" s="465" t="s">
        <v>58</v>
      </c>
      <c r="D22" s="466" t="s">
        <v>59</v>
      </c>
    </row>
    <row r="23" ht="14.5" spans="1:4">
      <c r="A23" s="458"/>
      <c r="B23" s="459"/>
      <c r="C23" s="465" t="s">
        <v>60</v>
      </c>
      <c r="D23" s="466" t="s">
        <v>61</v>
      </c>
    </row>
    <row r="24" ht="14.5" spans="1:4">
      <c r="A24" s="451" t="s">
        <v>62</v>
      </c>
      <c r="B24" s="452" t="s">
        <v>63</v>
      </c>
      <c r="C24" s="450">
        <v>1.3</v>
      </c>
      <c r="D24" s="107" t="s">
        <v>64</v>
      </c>
    </row>
    <row r="25" ht="14.5" spans="1:4">
      <c r="A25" s="454" t="s">
        <v>65</v>
      </c>
      <c r="B25" s="455" t="s">
        <v>66</v>
      </c>
      <c r="C25" s="456" t="s">
        <v>67</v>
      </c>
      <c r="D25" s="457" t="s">
        <v>68</v>
      </c>
    </row>
    <row r="26" ht="14.5" spans="1:4">
      <c r="A26" s="463"/>
      <c r="B26" s="464"/>
      <c r="C26" s="456" t="s">
        <v>69</v>
      </c>
      <c r="D26" s="457" t="s">
        <v>68</v>
      </c>
    </row>
    <row r="27" ht="14.5" spans="1:4">
      <c r="A27" s="463"/>
      <c r="B27" s="464"/>
      <c r="C27" s="456" t="s">
        <v>70</v>
      </c>
      <c r="D27" s="457" t="s">
        <v>68</v>
      </c>
    </row>
    <row r="28" ht="14.5" spans="1:4">
      <c r="A28" s="463"/>
      <c r="B28" s="464"/>
      <c r="C28" s="456" t="s">
        <v>71</v>
      </c>
      <c r="D28" s="457" t="s">
        <v>68</v>
      </c>
    </row>
    <row r="29" ht="14.5" spans="1:4">
      <c r="A29" s="463"/>
      <c r="B29" s="464"/>
      <c r="C29" s="456" t="s">
        <v>72</v>
      </c>
      <c r="D29" s="457" t="s">
        <v>68</v>
      </c>
    </row>
    <row r="30" ht="14.5" spans="1:4">
      <c r="A30" s="463"/>
      <c r="B30" s="464"/>
      <c r="C30" s="456" t="s">
        <v>73</v>
      </c>
      <c r="D30" s="457" t="s">
        <v>68</v>
      </c>
    </row>
    <row r="31" ht="14.5" spans="1:4">
      <c r="A31" s="463"/>
      <c r="B31" s="464"/>
      <c r="C31" s="456" t="s">
        <v>74</v>
      </c>
      <c r="D31" s="457" t="s">
        <v>68</v>
      </c>
    </row>
    <row r="32" ht="14.5" spans="1:4">
      <c r="A32" s="458"/>
      <c r="B32" s="459"/>
      <c r="C32" s="456" t="s">
        <v>75</v>
      </c>
      <c r="D32" s="457" t="s">
        <v>68</v>
      </c>
    </row>
    <row r="33" ht="14.5" spans="1:4">
      <c r="A33" s="448" t="s">
        <v>76</v>
      </c>
      <c r="B33" s="449" t="s">
        <v>77</v>
      </c>
      <c r="C33" s="28" t="s">
        <v>78</v>
      </c>
      <c r="D33" s="29" t="s">
        <v>79</v>
      </c>
    </row>
    <row r="34" ht="14.5" spans="1:2">
      <c r="A34" s="445" t="s">
        <v>80</v>
      </c>
      <c r="B34" s="446" t="s">
        <v>81</v>
      </c>
    </row>
    <row r="35" ht="14.5" spans="1:4">
      <c r="A35" s="451" t="s">
        <v>82</v>
      </c>
      <c r="B35" s="452" t="s">
        <v>83</v>
      </c>
      <c r="C35" s="28" t="s">
        <v>84</v>
      </c>
      <c r="D35" s="29" t="s">
        <v>85</v>
      </c>
    </row>
    <row r="36" ht="14.5" spans="1:6">
      <c r="A36" s="451" t="s">
        <v>86</v>
      </c>
      <c r="B36" s="452" t="s">
        <v>87</v>
      </c>
      <c r="C36" s="28" t="s">
        <v>88</v>
      </c>
      <c r="D36" s="29" t="s">
        <v>89</v>
      </c>
      <c r="F36" s="1"/>
    </row>
    <row r="37" ht="14.5" spans="1:6">
      <c r="A37" s="451" t="s">
        <v>90</v>
      </c>
      <c r="B37" s="452" t="s">
        <v>91</v>
      </c>
      <c r="C37" s="28" t="s">
        <v>92</v>
      </c>
      <c r="D37" s="29" t="s">
        <v>93</v>
      </c>
      <c r="F37" s="1"/>
    </row>
    <row r="38" ht="14.5" spans="1:4">
      <c r="A38" s="451" t="s">
        <v>94</v>
      </c>
      <c r="B38" s="452" t="s">
        <v>95</v>
      </c>
      <c r="C38" s="28" t="s">
        <v>96</v>
      </c>
      <c r="D38" s="29" t="s">
        <v>97</v>
      </c>
    </row>
    <row r="39" ht="14.5" spans="1:4">
      <c r="A39" s="454" t="s">
        <v>98</v>
      </c>
      <c r="B39" s="455" t="s">
        <v>99</v>
      </c>
      <c r="C39" s="28" t="s">
        <v>100</v>
      </c>
      <c r="D39" s="29" t="s">
        <v>101</v>
      </c>
    </row>
    <row r="40" ht="14.5" spans="1:4">
      <c r="A40" s="458"/>
      <c r="B40" s="459"/>
      <c r="C40" s="28" t="s">
        <v>102</v>
      </c>
      <c r="D40" s="29" t="s">
        <v>103</v>
      </c>
    </row>
    <row r="41" ht="14.5" spans="1:2">
      <c r="A41" s="445" t="s">
        <v>104</v>
      </c>
      <c r="B41" s="446" t="s">
        <v>105</v>
      </c>
    </row>
    <row r="42" ht="14.5" spans="1:4">
      <c r="A42" s="451" t="s">
        <v>106</v>
      </c>
      <c r="B42" s="452" t="s">
        <v>107</v>
      </c>
      <c r="C42" s="456" t="s">
        <v>108</v>
      </c>
      <c r="D42" s="457" t="s">
        <v>109</v>
      </c>
    </row>
    <row r="43" ht="14.5" spans="1:4">
      <c r="A43" s="451" t="s">
        <v>110</v>
      </c>
      <c r="B43" s="452" t="s">
        <v>111</v>
      </c>
      <c r="C43" s="456" t="s">
        <v>112</v>
      </c>
      <c r="D43" s="457" t="s">
        <v>109</v>
      </c>
    </row>
    <row r="44" ht="14.5" spans="1:4">
      <c r="A44" s="451" t="s">
        <v>113</v>
      </c>
      <c r="B44" s="452" t="s">
        <v>114</v>
      </c>
      <c r="C44" s="456" t="s">
        <v>115</v>
      </c>
      <c r="D44" s="457" t="s">
        <v>109</v>
      </c>
    </row>
    <row r="45" ht="14.5" spans="1:4">
      <c r="A45" s="451" t="s">
        <v>116</v>
      </c>
      <c r="B45" s="452" t="s">
        <v>117</v>
      </c>
      <c r="C45" s="456" t="s">
        <v>118</v>
      </c>
      <c r="D45" s="457" t="s">
        <v>109</v>
      </c>
    </row>
    <row r="46" ht="14.5" spans="1:4">
      <c r="A46" s="451" t="s">
        <v>119</v>
      </c>
      <c r="B46" s="452" t="s">
        <v>120</v>
      </c>
      <c r="C46" s="456" t="s">
        <v>121</v>
      </c>
      <c r="D46" s="457" t="s">
        <v>109</v>
      </c>
    </row>
    <row r="47" ht="14.5" spans="1:4">
      <c r="A47" s="451" t="s">
        <v>122</v>
      </c>
      <c r="B47" s="452" t="s">
        <v>123</v>
      </c>
      <c r="C47" s="456" t="s">
        <v>124</v>
      </c>
      <c r="D47" s="457" t="s">
        <v>109</v>
      </c>
    </row>
    <row r="48" ht="14.5" spans="1:4">
      <c r="A48" s="451" t="s">
        <v>125</v>
      </c>
      <c r="B48" s="452" t="s">
        <v>126</v>
      </c>
      <c r="C48" s="456" t="s">
        <v>127</v>
      </c>
      <c r="D48" s="457" t="s">
        <v>109</v>
      </c>
    </row>
    <row r="49" ht="14.5" spans="1:4">
      <c r="A49" s="451" t="s">
        <v>128</v>
      </c>
      <c r="B49" s="452" t="s">
        <v>129</v>
      </c>
      <c r="C49" s="456" t="s">
        <v>130</v>
      </c>
      <c r="D49" s="457" t="s">
        <v>109</v>
      </c>
    </row>
    <row r="50" ht="14.5" spans="1:2">
      <c r="A50" s="445" t="s">
        <v>131</v>
      </c>
      <c r="B50" s="446" t="s">
        <v>132</v>
      </c>
    </row>
    <row r="51" ht="14.5" spans="1:4">
      <c r="A51" s="454" t="s">
        <v>133</v>
      </c>
      <c r="B51" s="455" t="s">
        <v>134</v>
      </c>
      <c r="C51" s="28" t="s">
        <v>135</v>
      </c>
      <c r="D51" s="467" t="s">
        <v>136</v>
      </c>
    </row>
    <row r="52" ht="14.5" spans="1:4">
      <c r="A52" s="458"/>
      <c r="B52" s="459"/>
      <c r="C52" s="28" t="s">
        <v>137</v>
      </c>
      <c r="D52" s="29" t="s">
        <v>138</v>
      </c>
    </row>
    <row r="53" ht="14.5" spans="1:4">
      <c r="A53" s="454" t="s">
        <v>139</v>
      </c>
      <c r="B53" s="455" t="s">
        <v>140</v>
      </c>
      <c r="C53" s="28" t="s">
        <v>141</v>
      </c>
      <c r="D53" s="29" t="s">
        <v>142</v>
      </c>
    </row>
    <row r="54" ht="14.5" spans="1:4">
      <c r="A54" s="458"/>
      <c r="B54" s="459"/>
      <c r="C54" s="28" t="s">
        <v>143</v>
      </c>
      <c r="D54" s="467" t="s">
        <v>144</v>
      </c>
    </row>
    <row r="55" ht="14.5" spans="1:4">
      <c r="A55" s="451" t="s">
        <v>145</v>
      </c>
      <c r="B55" s="452" t="s">
        <v>146</v>
      </c>
      <c r="C55" s="28" t="s">
        <v>147</v>
      </c>
      <c r="D55" s="29" t="s">
        <v>148</v>
      </c>
    </row>
    <row r="56" ht="14.5" spans="1:2">
      <c r="A56" s="445" t="s">
        <v>149</v>
      </c>
      <c r="B56" s="446" t="s">
        <v>150</v>
      </c>
    </row>
    <row r="57" ht="14.5" spans="1:4">
      <c r="A57" s="451" t="s">
        <v>151</v>
      </c>
      <c r="B57" s="452" t="s">
        <v>152</v>
      </c>
      <c r="C57" s="28" t="s">
        <v>153</v>
      </c>
      <c r="D57" s="29" t="s">
        <v>154</v>
      </c>
    </row>
    <row r="58" ht="14.5" spans="1:4">
      <c r="A58" s="451" t="s">
        <v>155</v>
      </c>
      <c r="B58" s="452" t="s">
        <v>156</v>
      </c>
      <c r="C58" s="28" t="s">
        <v>157</v>
      </c>
      <c r="D58" s="29" t="s">
        <v>158</v>
      </c>
    </row>
    <row r="59" ht="14.5" spans="1:2">
      <c r="A59" s="451" t="s">
        <v>159</v>
      </c>
      <c r="B59" s="452" t="s">
        <v>160</v>
      </c>
    </row>
    <row r="60" ht="14.5" spans="1:2">
      <c r="A60" s="451" t="s">
        <v>161</v>
      </c>
      <c r="B60" s="452" t="s">
        <v>162</v>
      </c>
    </row>
    <row r="61" ht="14.5" spans="1:2">
      <c r="A61" s="451" t="s">
        <v>163</v>
      </c>
      <c r="B61" s="452" t="s">
        <v>164</v>
      </c>
    </row>
    <row r="62" ht="14.5" spans="1:2">
      <c r="A62" s="451" t="s">
        <v>165</v>
      </c>
      <c r="B62" s="452" t="s">
        <v>166</v>
      </c>
    </row>
    <row r="63" ht="14.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D8" sqref="D8"/>
    </sheetView>
  </sheetViews>
  <sheetFormatPr defaultColWidth="9" defaultRowHeight="16.5"/>
  <cols>
    <col min="1" max="1" width="1.5" style="333" customWidth="1"/>
    <col min="2" max="2" width="11.8727272727273" style="329" customWidth="1"/>
    <col min="3" max="3" width="13.7545454545455" style="329" customWidth="1"/>
    <col min="4" max="4" width="12.6272727272727" style="329" customWidth="1"/>
    <col min="5" max="5" width="10.7545454545455" style="329" customWidth="1"/>
    <col min="6" max="13" width="12.6272727272727" style="329" customWidth="1"/>
    <col min="14" max="14" width="9.5" style="332" customWidth="1"/>
    <col min="15" max="15" width="17.6272727272727" style="332" customWidth="1"/>
    <col min="16" max="20" width="17.6272727272727"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深圳区域公司深圳市罗湖区银湖实验小学物业管理服务中心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150.072094</v>
      </c>
      <c r="E4" s="343"/>
      <c r="F4" s="342" t="s">
        <v>176</v>
      </c>
      <c r="G4" s="344"/>
      <c r="H4" s="345">
        <f>L3/12</f>
        <v>0.5</v>
      </c>
      <c r="I4" s="345"/>
      <c r="J4" s="381">
        <f t="shared" ref="J4:J9" si="0">H4</f>
        <v>0.5</v>
      </c>
      <c r="K4" s="382">
        <f t="shared" ref="K4:K9" si="1">1-J4</f>
        <v>0.5</v>
      </c>
      <c r="L4" s="383"/>
      <c r="M4" s="384"/>
      <c r="N4" s="385"/>
      <c r="O4" s="386" t="s">
        <v>177</v>
      </c>
      <c r="P4" s="387">
        <f>SUM(P6:P10)</f>
        <v>27</v>
      </c>
      <c r="Q4" s="421" t="s">
        <v>178</v>
      </c>
      <c r="R4" s="422">
        <f>SUM(Q6:Q10)</f>
        <v>20</v>
      </c>
      <c r="S4" s="421" t="s">
        <v>179</v>
      </c>
      <c r="T4" s="423">
        <f>SUM(R6:R10)</f>
        <v>26</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73.592948</v>
      </c>
      <c r="E5" s="343"/>
      <c r="F5" s="342" t="s">
        <v>181</v>
      </c>
      <c r="G5" s="344"/>
      <c r="H5" s="345">
        <f>D6/D4</f>
        <v>0.0991304374600592</v>
      </c>
      <c r="I5" s="345"/>
      <c r="J5" s="388">
        <f t="shared" si="0"/>
        <v>0.0991304374600592</v>
      </c>
      <c r="K5" s="389">
        <f t="shared" si="1"/>
        <v>0.900869562539941</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14.8767123287671</v>
      </c>
      <c r="E6" s="346"/>
      <c r="F6" s="342" t="s">
        <v>186</v>
      </c>
      <c r="G6" s="344"/>
      <c r="H6" s="345">
        <f>D6/D5</f>
        <v>0.202148612510632</v>
      </c>
      <c r="I6" s="345"/>
      <c r="J6" s="392">
        <f t="shared" si="0"/>
        <v>0.202148612510632</v>
      </c>
      <c r="K6" s="393">
        <f t="shared" si="1"/>
        <v>0.797851387489368</v>
      </c>
      <c r="L6" s="394"/>
      <c r="M6" s="395"/>
      <c r="N6" s="385"/>
      <c r="O6" s="365" t="s">
        <v>187</v>
      </c>
      <c r="P6" s="396">
        <f>'1-2 人员岗位信息'!D7</f>
        <v>6</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5</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0.453558302706315</v>
      </c>
      <c r="I9" s="402"/>
      <c r="J9" s="392">
        <f t="shared" si="0"/>
        <v>0.453558302706315</v>
      </c>
      <c r="K9" s="393">
        <f t="shared" si="1"/>
        <v>0.546441697293685</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0</v>
      </c>
      <c r="I10" s="404"/>
      <c r="J10" s="342" t="s">
        <v>202</v>
      </c>
      <c r="K10" s="342"/>
      <c r="L10" s="357" cm="1">
        <f t="array" ref="L10">SUMPRODUCT((TEXT('2-3 引出列表'!$N:$N,"yyyymm")&lt;=TEXT(DATE(2025,$L$3+1,0),"yyyymm"))*(('2-3 引出列表'!$L:$L="已审核")+('2-3 引出列表'!$L:$L="已付款")))</f>
        <v>4</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150.072094</v>
      </c>
      <c r="Q48" s="415">
        <f>INDEX('4主要费项费项月累成本使用情况'!C5:N5,MATCH($L$3&amp;"月",表3_3[[#Headers],[1月]:[12月]],0))/10000</f>
        <v>73.592948</v>
      </c>
      <c r="R48" s="415">
        <f>INDEX('4主要费项费项月累成本使用情况'!C3:N3,MATCH($L$3&amp;"月",表3_3[[#Headers],[1月]:[12月]],0))/10000</f>
        <v>14.8767123287671</v>
      </c>
      <c r="S48" s="435">
        <f t="shared" ref="S48:S56" si="2">IFERROR(R48/P48,"无年度目标")</f>
        <v>0.0991304374600592</v>
      </c>
      <c r="T48" s="436">
        <f t="shared" ref="T48:T56" si="3">IFERROR(R48/Q48,"无月度目标")</f>
        <v>0.202148612510632</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v>
      </c>
      <c r="Q49" s="415">
        <f>INDEX('4主要费项费项月累成本使用情况'!C9:N9,MATCH($L$3&amp;"月",表3_3[[#Headers],[1月]:[12月]],0))/10000</f>
        <v>0</v>
      </c>
      <c r="R49" s="415">
        <f>INDEX('4主要费项费项月累成本使用情况'!C7:N7,MATCH($L$3&amp;"月",表3_3[[#Headers],[1月]:[12月]],0))/10000</f>
        <v>0</v>
      </c>
      <c r="S49" s="435" t="str">
        <f t="shared" si="2"/>
        <v>无年度目标</v>
      </c>
      <c r="T49" s="436" t="str">
        <f t="shared" si="3"/>
        <v>无月度目标</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v>
      </c>
      <c r="Q52" s="415">
        <f>INDEX('4主要费项费项月累成本使用情况'!C21:N21,MATCH($L$3&amp;"月",表3_3[[#Headers],[1月]:[12月]],0))/10000</f>
        <v>0</v>
      </c>
      <c r="R52" s="415">
        <f>INDEX('4主要费项费项月累成本使用情况'!C19:N19,MATCH($L$3&amp;"月",表3_3[[#Headers],[1月]:[12月]],0))/10000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v>
      </c>
      <c r="Q53" s="415">
        <f>INDEX('4主要费项费项月累成本使用情况'!C25:N25,MATCH($L$3&amp;"月",表3_3[[#Headers],[1月]:[12月]],0))/10000</f>
        <v>0</v>
      </c>
      <c r="R53" s="415">
        <f>INDEX('4主要费项费项月累成本使用情况'!C23:N23,MATCH($L$3&amp;"月",表3_3[[#Headers],[1月]:[12月]],0))/10000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150.072094</v>
      </c>
      <c r="Q54" s="415">
        <f>INDEX('4主要费项费项月累成本使用情况'!C29:N29,MATCH($L$3&amp;"月",表3_3[[#Headers],[1月]:[12月]],0))/10000</f>
        <v>73.592948</v>
      </c>
      <c r="R54" s="415">
        <f>INDEX('4主要费项费项月累成本使用情况'!C27:N27,MATCH($L$3&amp;"月",表3_3[[#Headers],[1月]:[12月]],0))/10000</f>
        <v>14.8767123287671</v>
      </c>
      <c r="S54" s="435">
        <f t="shared" si="2"/>
        <v>0.0991304374600592</v>
      </c>
      <c r="T54" s="436">
        <f t="shared" si="3"/>
        <v>0.202148612510632</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INDEX('4主要费项费项月累成本使用情况'!C33:N33,MATCH($L$3&amp;"月",表3_3[[#Headers],[1月]:[12月]],0))/10000</f>
        <v>0</v>
      </c>
      <c r="R55" s="415">
        <f>INDEX('4主要费项费项月累成本使用情况'!C31:N31,MATCH($L$3&amp;"月",表3_3[[#Headers],[1月]:[12月]],0))/10000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0</v>
      </c>
      <c r="R56" s="415">
        <f>INDEX('4主要费项费项月累成本使用情况'!C35:N35,MATCH($L$3&amp;"月",表3_3[[#Headers],[1月]:[12月]],0))/10000</f>
        <v>0</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5" sqref="D5:E5"/>
    </sheetView>
  </sheetViews>
  <sheetFormatPr defaultColWidth="9" defaultRowHeight="16.5"/>
  <cols>
    <col min="1" max="1" width="1.5" style="333" customWidth="1"/>
    <col min="2" max="2" width="11.8727272727273" style="329" customWidth="1"/>
    <col min="3" max="3" width="13.7545454545455" style="329" customWidth="1"/>
    <col min="4" max="4" width="12.6272727272727" style="329" customWidth="1"/>
    <col min="5" max="5" width="10.7545454545455" style="329" customWidth="1"/>
    <col min="6" max="13" width="12.6272727272727" style="329" customWidth="1"/>
    <col min="14" max="14" width="9.5" style="332" customWidth="1"/>
    <col min="15" max="15" width="17.6272727272727" style="332" customWidth="1"/>
    <col min="16" max="20" width="17.6272727272727"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深圳区域公司深圳市罗湖区银湖实验小学物业管理服务中心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150.072094</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27</v>
      </c>
      <c r="Q4" s="421" t="s">
        <v>178</v>
      </c>
      <c r="R4" s="422">
        <f>SUM(Q6:Q10)</f>
        <v>20</v>
      </c>
      <c r="S4" s="421" t="s">
        <v>179</v>
      </c>
      <c r="T4" s="423">
        <f>SUM(R6:R10)</f>
        <v>26</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13.6666666666665</v>
      </c>
      <c r="E5" s="343"/>
      <c r="F5" s="342" t="s">
        <v>181</v>
      </c>
      <c r="G5" s="344"/>
      <c r="H5" s="345">
        <f>D6/D4</f>
        <v>0.0826999782125356</v>
      </c>
      <c r="I5" s="345"/>
      <c r="J5" s="388">
        <f t="shared" si="0"/>
        <v>0.0826999782125356</v>
      </c>
      <c r="K5" s="389">
        <f t="shared" si="1"/>
        <v>0.917300021787465</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12.4109589041096</v>
      </c>
      <c r="E6" s="346"/>
      <c r="F6" s="342" t="s">
        <v>186</v>
      </c>
      <c r="G6" s="344"/>
      <c r="H6" s="345">
        <f>D6/D5</f>
        <v>0.908118944203151</v>
      </c>
      <c r="I6" s="345"/>
      <c r="J6" s="392">
        <f t="shared" si="0"/>
        <v>0.908118944203151</v>
      </c>
      <c r="K6" s="393">
        <f t="shared" si="1"/>
        <v>0.0918810557968487</v>
      </c>
      <c r="L6" s="394"/>
      <c r="M6" s="395"/>
      <c r="N6" s="385"/>
      <c r="O6" s="365" t="s">
        <v>187</v>
      </c>
      <c r="P6" s="396">
        <f>'1-2 人员岗位信息'!D7</f>
        <v>6</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5</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0.378382893417976</v>
      </c>
      <c r="I9" s="402"/>
      <c r="J9" s="392">
        <f t="shared" si="0"/>
        <v>0.378382893417976</v>
      </c>
      <c r="K9" s="393">
        <f t="shared" si="1"/>
        <v>0.621617106582024</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0</v>
      </c>
      <c r="I10" s="404"/>
      <c r="J10" s="342" t="s">
        <v>202</v>
      </c>
      <c r="K10" s="342"/>
      <c r="L10" s="357" cm="1">
        <f t="array" ref="L10">SUMPRODUCT((TEXT('2-3 引出列表'!$N:$N,"yyyymm")&lt;=TEXT(DATE(2025,$L$3+1,0),"yyyymm"))*(('2-3 引出列表'!$L:$L="已审核")+('2-3 引出列表'!$L:$L="已付款")))</f>
        <v>4</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150.072094</v>
      </c>
      <c r="Q48" s="415">
        <f>INDEX('4-1主要费项费项月累成本使用情况 '!C5:N5,MATCH($L$3&amp;"月",表3_3[[#Headers],[1月]:[12月]],0))/10000</f>
        <v>13.6666666666665</v>
      </c>
      <c r="R48" s="415">
        <f>INDEX('4-1主要费项费项月累成本使用情况 '!C3:N3,MATCH($L$3&amp;"月",表3_3[[#Headers],[1月]:[12月]],0))/10000</f>
        <v>12.4109589041096</v>
      </c>
      <c r="S48" s="435">
        <f t="shared" ref="S48:S56" si="2">IFERROR(R48/P48,"无年度目标")</f>
        <v>0.0826999782125356</v>
      </c>
      <c r="T48" s="436">
        <f t="shared" ref="T48:T56" si="3">IFERROR(R48/Q48,"无月度目标")</f>
        <v>0.908118944203151</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v>
      </c>
      <c r="Q49" s="415">
        <f>INDEX('4-1主要费项费项月累成本使用情况 '!C9:N9,MATCH($L$3&amp;"月",表3_3[[#Headers],[1月]:[12月]],0))/10000</f>
        <v>0</v>
      </c>
      <c r="R49" s="415">
        <f>INDEX('4-1主要费项费项月累成本使用情况 '!C7:N7,MATCH($L$3&amp;"月",表3_3[[#Headers],[1月]:[12月]],0))/10000</f>
        <v>0</v>
      </c>
      <c r="S49" s="435" t="str">
        <f t="shared" si="2"/>
        <v>无年度目标</v>
      </c>
      <c r="T49" s="436" t="str">
        <f t="shared" si="3"/>
        <v>无月度目标</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 '!C13:N13,MATCH($L$3&amp;"月",表3_3[[#Headers],[1月]:[12月]],0))/10000</f>
        <v>0</v>
      </c>
      <c r="R50" s="415">
        <f>INDEX('4-1主要费项费项月累成本使用情况 '!C10:N10,MATCH($L$3&amp;"月",表3_3[[#Headers],[1月]:[12月]],0))/10000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150.072094</v>
      </c>
      <c r="Q54" s="415">
        <f>INDEX('4-1主要费项费项月累成本使用情况 '!C29:N29,MATCH($L$3&amp;"月",表3_3[[#Headers],[1月]:[12月]],0))/10000</f>
        <v>61.3968686666665</v>
      </c>
      <c r="R54" s="415">
        <f>INDEX('4-1主要费项费项月累成本使用情况 '!C27:N27,MATCH($L$3&amp;"月",表3_3[[#Headers],[1月]:[12月]],0))/10000</f>
        <v>12.4109589041096</v>
      </c>
      <c r="S54" s="435">
        <f t="shared" si="2"/>
        <v>0.0826999782125356</v>
      </c>
      <c r="T54" s="436">
        <f t="shared" si="3"/>
        <v>0.202143190257645</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INDEX('4-1主要费项费项月累成本使用情况 '!C33:N33,MATCH($L$3&amp;"月",表3_3[[#Headers],[1月]:[12月]],0))/10000</f>
        <v>0</v>
      </c>
      <c r="R55" s="415">
        <f>INDEX('4-1主要费项费项月累成本使用情况 '!C31:N31,MATCH($L$3&amp;"月",表3_3[[#Headers],[1月]:[12月]],0))/10000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0</v>
      </c>
      <c r="R56" s="415">
        <f>INDEX('4-1主要费项费项月累成本使用情况 '!C35:N35,MATCH($L$3&amp;"月",表3_3[[#Headers],[1月]:[12月]],0))/10000</f>
        <v>0</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30" zoomScaleNormal="130" workbookViewId="0">
      <selection activeCell="P75" sqref="P75"/>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1420788.26</v>
      </c>
      <c r="D3">
        <v>123546.82</v>
      </c>
      <c r="E3">
        <v>123546.82</v>
      </c>
      <c r="F3">
        <v>123546.82</v>
      </c>
      <c r="G3">
        <v>123546.82</v>
      </c>
      <c r="H3">
        <v>123546.82</v>
      </c>
      <c r="I3">
        <v>123546.82</v>
      </c>
      <c r="J3">
        <v>123546.74</v>
      </c>
      <c r="K3">
        <v>111192.12</v>
      </c>
      <c r="L3">
        <v>111192.12</v>
      </c>
      <c r="M3">
        <v>111192.12</v>
      </c>
      <c r="N3">
        <v>111192.12</v>
      </c>
      <c r="O3">
        <v>111192.12</v>
      </c>
      <c r="P3">
        <v>1334305.47169811</v>
      </c>
      <c r="Q3">
        <v>111192.122641509</v>
      </c>
      <c r="R3">
        <v>111192.122641509</v>
      </c>
      <c r="S3">
        <v>111192.122641509</v>
      </c>
      <c r="T3">
        <v>111192.122641509</v>
      </c>
      <c r="U3">
        <v>111192.122641509</v>
      </c>
      <c r="V3">
        <v>111192.122641509</v>
      </c>
      <c r="W3">
        <v>111192.122641509</v>
      </c>
      <c r="X3">
        <v>111192.122641509</v>
      </c>
      <c r="Y3">
        <v>111192.122641509</v>
      </c>
      <c r="Z3">
        <v>111192.122641509</v>
      </c>
      <c r="AA3">
        <v>111192.122641509</v>
      </c>
      <c r="AB3">
        <v>111192.122641509</v>
      </c>
    </row>
    <row r="4" spans="1:28">
      <c r="A4">
        <v>6001</v>
      </c>
      <c r="B4" t="s">
        <v>256</v>
      </c>
      <c r="C4">
        <v>1420788.26</v>
      </c>
      <c r="D4">
        <v>123546.82</v>
      </c>
      <c r="E4">
        <v>123546.82</v>
      </c>
      <c r="F4">
        <v>123546.82</v>
      </c>
      <c r="G4">
        <v>123546.82</v>
      </c>
      <c r="H4">
        <v>123546.82</v>
      </c>
      <c r="I4">
        <v>123546.82</v>
      </c>
      <c r="J4">
        <v>123546.74</v>
      </c>
      <c r="K4">
        <v>111192.12</v>
      </c>
      <c r="L4">
        <v>111192.12</v>
      </c>
      <c r="M4">
        <v>111192.12</v>
      </c>
      <c r="N4">
        <v>111192.12</v>
      </c>
      <c r="O4">
        <v>111192.12</v>
      </c>
      <c r="P4">
        <v>1334305.47169811</v>
      </c>
      <c r="Q4">
        <v>111192.122641509</v>
      </c>
      <c r="R4">
        <v>111192.122641509</v>
      </c>
      <c r="S4">
        <v>111192.122641509</v>
      </c>
      <c r="T4">
        <v>111192.122641509</v>
      </c>
      <c r="U4">
        <v>111192.122641509</v>
      </c>
      <c r="V4">
        <v>111192.122641509</v>
      </c>
      <c r="W4">
        <v>111192.122641509</v>
      </c>
      <c r="X4">
        <v>111192.122641509</v>
      </c>
      <c r="Y4">
        <v>111192.122641509</v>
      </c>
      <c r="Z4">
        <v>111192.122641509</v>
      </c>
      <c r="AA4">
        <v>111192.122641509</v>
      </c>
      <c r="AB4">
        <v>111192.122641509</v>
      </c>
    </row>
    <row r="5" spans="1:28">
      <c r="A5">
        <v>6001.03</v>
      </c>
      <c r="B5" t="s">
        <v>257</v>
      </c>
      <c r="C5">
        <v>1420788.26</v>
      </c>
      <c r="D5">
        <v>123546.82</v>
      </c>
      <c r="E5">
        <v>123546.82</v>
      </c>
      <c r="F5">
        <v>123546.82</v>
      </c>
      <c r="G5">
        <v>123546.82</v>
      </c>
      <c r="H5">
        <v>123546.82</v>
      </c>
      <c r="I5">
        <v>123546.82</v>
      </c>
      <c r="J5">
        <v>123546.74</v>
      </c>
      <c r="K5">
        <v>111192.12</v>
      </c>
      <c r="L5">
        <v>111192.12</v>
      </c>
      <c r="M5">
        <v>111192.12</v>
      </c>
      <c r="N5">
        <v>111192.12</v>
      </c>
      <c r="O5">
        <v>111192.12</v>
      </c>
      <c r="P5">
        <v>1334305.47169811</v>
      </c>
      <c r="Q5">
        <v>111192.122641509</v>
      </c>
      <c r="R5">
        <v>111192.122641509</v>
      </c>
      <c r="S5">
        <v>111192.122641509</v>
      </c>
      <c r="T5">
        <v>111192.122641509</v>
      </c>
      <c r="U5">
        <v>111192.122641509</v>
      </c>
      <c r="V5">
        <v>111192.122641509</v>
      </c>
      <c r="W5">
        <v>111192.122641509</v>
      </c>
      <c r="X5">
        <v>111192.122641509</v>
      </c>
      <c r="Y5">
        <v>111192.122641509</v>
      </c>
      <c r="Z5">
        <v>111192.122641509</v>
      </c>
      <c r="AA5">
        <v>111192.122641509</v>
      </c>
      <c r="AB5">
        <v>111192.122641509</v>
      </c>
    </row>
    <row r="6" spans="1:28">
      <c r="A6" t="s">
        <v>258</v>
      </c>
      <c r="B6" t="s">
        <v>259</v>
      </c>
      <c r="C6">
        <v>1420788.26</v>
      </c>
      <c r="D6">
        <v>123546.82</v>
      </c>
      <c r="E6">
        <v>123546.82</v>
      </c>
      <c r="F6">
        <v>123546.82</v>
      </c>
      <c r="G6">
        <v>123546.82</v>
      </c>
      <c r="H6">
        <v>123546.82</v>
      </c>
      <c r="I6">
        <v>123546.82</v>
      </c>
      <c r="J6">
        <v>123546.74</v>
      </c>
      <c r="K6">
        <v>111192.12</v>
      </c>
      <c r="L6">
        <v>111192.12</v>
      </c>
      <c r="M6">
        <v>111192.12</v>
      </c>
      <c r="N6">
        <v>111192.12</v>
      </c>
      <c r="O6">
        <v>111192.12</v>
      </c>
      <c r="P6">
        <v>1334305.47169811</v>
      </c>
      <c r="Q6">
        <v>111192.122641509</v>
      </c>
      <c r="R6">
        <v>111192.122641509</v>
      </c>
      <c r="S6">
        <v>111192.122641509</v>
      </c>
      <c r="T6">
        <v>111192.122641509</v>
      </c>
      <c r="U6">
        <v>111192.122641509</v>
      </c>
      <c r="V6">
        <v>111192.122641509</v>
      </c>
      <c r="W6">
        <v>111192.122641509</v>
      </c>
      <c r="X6">
        <v>111192.122641509</v>
      </c>
      <c r="Y6">
        <v>111192.122641509</v>
      </c>
      <c r="Z6">
        <v>111192.122641509</v>
      </c>
      <c r="AA6">
        <v>111192.122641509</v>
      </c>
      <c r="AB6">
        <v>111192.122641509</v>
      </c>
    </row>
    <row r="7" spans="1:28">
      <c r="A7" t="s">
        <v>260</v>
      </c>
      <c r="B7" t="s">
        <v>261</v>
      </c>
      <c r="C7">
        <v>1420788.26</v>
      </c>
      <c r="D7">
        <v>123546.82</v>
      </c>
      <c r="E7">
        <v>123546.82</v>
      </c>
      <c r="F7">
        <v>123546.82</v>
      </c>
      <c r="G7">
        <v>123546.82</v>
      </c>
      <c r="H7">
        <v>123546.82</v>
      </c>
      <c r="I7">
        <v>123546.82</v>
      </c>
      <c r="J7">
        <v>123546.74</v>
      </c>
      <c r="K7">
        <v>111192.12</v>
      </c>
      <c r="L7">
        <v>111192.12</v>
      </c>
      <c r="M7">
        <v>111192.12</v>
      </c>
      <c r="N7">
        <v>111192.12</v>
      </c>
      <c r="O7">
        <v>111192.12</v>
      </c>
      <c r="P7">
        <v>1334305.47169811</v>
      </c>
      <c r="Q7">
        <v>111192.122641509</v>
      </c>
      <c r="R7">
        <v>111192.122641509</v>
      </c>
      <c r="S7">
        <v>111192.122641509</v>
      </c>
      <c r="T7">
        <v>111192.122641509</v>
      </c>
      <c r="U7">
        <v>111192.122641509</v>
      </c>
      <c r="V7">
        <v>111192.122641509</v>
      </c>
      <c r="W7">
        <v>111192.122641509</v>
      </c>
      <c r="X7">
        <v>111192.122641509</v>
      </c>
      <c r="Y7">
        <v>111192.122641509</v>
      </c>
      <c r="Z7">
        <v>111192.122641509</v>
      </c>
      <c r="AA7">
        <v>111192.122641509</v>
      </c>
      <c r="AB7">
        <v>111192.122641509</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ht="13.5"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6"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1408588.05</v>
      </c>
      <c r="D74" s="326">
        <v>120456.13</v>
      </c>
      <c r="E74" s="326">
        <v>116871.64</v>
      </c>
      <c r="F74" s="326">
        <v>110427.38</v>
      </c>
      <c r="G74" s="326">
        <v>116322.23</v>
      </c>
      <c r="H74" s="326">
        <v>124528.41</v>
      </c>
      <c r="I74" s="326">
        <v>118283.53</v>
      </c>
      <c r="J74" s="326">
        <v>116444.8</v>
      </c>
      <c r="K74" s="326">
        <v>102874.24</v>
      </c>
      <c r="L74" s="326">
        <v>106405.61</v>
      </c>
      <c r="M74" s="326">
        <v>125383.36</v>
      </c>
      <c r="N74" s="326">
        <v>125295.36</v>
      </c>
      <c r="O74" s="326">
        <v>125295.36</v>
      </c>
      <c r="P74" s="326">
        <v>1500720.94</v>
      </c>
      <c r="Q74" s="326">
        <v>127792.18</v>
      </c>
      <c r="R74" s="326">
        <v>123627.46</v>
      </c>
      <c r="S74" s="326">
        <v>123627.46</v>
      </c>
      <c r="T74" s="326">
        <v>123627.46</v>
      </c>
      <c r="U74" s="326">
        <v>123627.46</v>
      </c>
      <c r="V74" s="326">
        <v>123627.46</v>
      </c>
      <c r="W74" s="326">
        <v>123627.46</v>
      </c>
      <c r="X74" s="326">
        <v>119627.46</v>
      </c>
      <c r="Y74" s="326">
        <v>119627.46</v>
      </c>
      <c r="Z74" s="326">
        <v>119627.46</v>
      </c>
      <c r="AA74" s="326">
        <v>119627.46</v>
      </c>
      <c r="AB74" s="326">
        <v>152654.16</v>
      </c>
    </row>
    <row r="75" spans="1:28">
      <c r="A75">
        <v>6401</v>
      </c>
      <c r="B75" t="s">
        <v>5</v>
      </c>
      <c r="C75">
        <v>1408588.05</v>
      </c>
      <c r="D75">
        <v>120456.13</v>
      </c>
      <c r="E75">
        <v>116871.64</v>
      </c>
      <c r="F75">
        <v>110427.38</v>
      </c>
      <c r="G75">
        <v>116322.23</v>
      </c>
      <c r="H75">
        <v>124528.41</v>
      </c>
      <c r="I75">
        <v>118283.53</v>
      </c>
      <c r="J75">
        <v>116444.8</v>
      </c>
      <c r="K75">
        <v>102874.24</v>
      </c>
      <c r="L75">
        <v>106405.61</v>
      </c>
      <c r="M75">
        <v>125383.36</v>
      </c>
      <c r="N75">
        <v>125295.36</v>
      </c>
      <c r="O75" s="327">
        <v>125295.36</v>
      </c>
      <c r="P75">
        <v>1500720.94</v>
      </c>
      <c r="Q75">
        <v>127792.18</v>
      </c>
      <c r="R75">
        <v>123627.46</v>
      </c>
      <c r="S75">
        <v>123627.46</v>
      </c>
      <c r="T75">
        <v>123627.46</v>
      </c>
      <c r="U75">
        <v>123627.46</v>
      </c>
      <c r="V75">
        <v>123627.46</v>
      </c>
      <c r="W75">
        <v>123627.46</v>
      </c>
      <c r="X75">
        <v>119627.46</v>
      </c>
      <c r="Y75">
        <v>119627.46</v>
      </c>
      <c r="Z75">
        <v>119627.46</v>
      </c>
      <c r="AA75">
        <v>119627.46</v>
      </c>
      <c r="AB75">
        <v>152654.16</v>
      </c>
    </row>
    <row r="76" spans="1:28">
      <c r="A76">
        <v>6401.03</v>
      </c>
      <c r="B76" t="s">
        <v>6</v>
      </c>
      <c r="C76">
        <v>1408588.05</v>
      </c>
      <c r="D76">
        <v>120456.13</v>
      </c>
      <c r="E76">
        <v>116871.64</v>
      </c>
      <c r="F76">
        <v>110427.38</v>
      </c>
      <c r="G76">
        <v>116322.23</v>
      </c>
      <c r="H76">
        <v>124528.41</v>
      </c>
      <c r="I76">
        <v>118283.53</v>
      </c>
      <c r="J76">
        <v>116444.8</v>
      </c>
      <c r="K76">
        <v>102874.24</v>
      </c>
      <c r="L76">
        <v>106405.61</v>
      </c>
      <c r="M76">
        <v>125383.36</v>
      </c>
      <c r="N76">
        <v>125295.36</v>
      </c>
      <c r="O76" s="327">
        <v>125295.36</v>
      </c>
      <c r="P76">
        <v>1500720.94</v>
      </c>
      <c r="Q76">
        <v>127792.18</v>
      </c>
      <c r="R76">
        <v>123627.46</v>
      </c>
      <c r="S76">
        <v>123627.46</v>
      </c>
      <c r="T76">
        <v>123627.46</v>
      </c>
      <c r="U76">
        <v>123627.46</v>
      </c>
      <c r="V76">
        <v>123627.46</v>
      </c>
      <c r="W76">
        <v>123627.46</v>
      </c>
      <c r="X76">
        <v>119627.46</v>
      </c>
      <c r="Y76">
        <v>119627.46</v>
      </c>
      <c r="Z76">
        <v>119627.46</v>
      </c>
      <c r="AA76">
        <v>119627.46</v>
      </c>
      <c r="AB76">
        <v>152654.16</v>
      </c>
    </row>
    <row r="77" spans="1:28">
      <c r="A77" t="s">
        <v>7</v>
      </c>
      <c r="B77" t="s">
        <v>8</v>
      </c>
      <c r="C77">
        <v>0</v>
      </c>
      <c r="O77" s="327"/>
      <c r="P77" s="326">
        <v>0</v>
      </c>
      <c r="Q77">
        <v>0</v>
      </c>
      <c r="R77">
        <v>0</v>
      </c>
      <c r="S77">
        <v>0</v>
      </c>
      <c r="T77">
        <v>0</v>
      </c>
      <c r="U77">
        <v>0</v>
      </c>
      <c r="V77">
        <v>0</v>
      </c>
      <c r="W77">
        <v>0</v>
      </c>
      <c r="X77">
        <v>0</v>
      </c>
      <c r="Y77">
        <v>0</v>
      </c>
      <c r="Z77">
        <v>0</v>
      </c>
      <c r="AA77">
        <v>0</v>
      </c>
      <c r="AB77">
        <v>0</v>
      </c>
    </row>
    <row r="78" spans="1:28">
      <c r="A78" t="s">
        <v>10</v>
      </c>
      <c r="B78" t="s">
        <v>11</v>
      </c>
      <c r="C78">
        <v>300660.33</v>
      </c>
      <c r="D78">
        <v>27358.49</v>
      </c>
      <c r="E78">
        <v>27358.49</v>
      </c>
      <c r="F78">
        <v>27358.49</v>
      </c>
      <c r="G78">
        <v>27358.49</v>
      </c>
      <c r="H78">
        <v>27358.49</v>
      </c>
      <c r="I78">
        <v>23584.9</v>
      </c>
      <c r="J78">
        <v>27358.49</v>
      </c>
      <c r="K78">
        <v>19811.31</v>
      </c>
      <c r="L78">
        <v>22358.48</v>
      </c>
      <c r="M78">
        <v>23584.9</v>
      </c>
      <c r="N78">
        <v>23584.9</v>
      </c>
      <c r="O78" s="327">
        <v>23584.9</v>
      </c>
      <c r="P78">
        <v>328000</v>
      </c>
      <c r="Q78">
        <v>29000</v>
      </c>
      <c r="R78">
        <v>29000</v>
      </c>
      <c r="S78">
        <v>29000</v>
      </c>
      <c r="T78">
        <v>29000</v>
      </c>
      <c r="U78">
        <v>29000</v>
      </c>
      <c r="V78">
        <v>29000</v>
      </c>
      <c r="W78">
        <v>29000</v>
      </c>
      <c r="X78">
        <v>25000</v>
      </c>
      <c r="Y78">
        <v>25000</v>
      </c>
      <c r="Z78">
        <v>25000</v>
      </c>
      <c r="AA78">
        <v>25000</v>
      </c>
      <c r="AB78">
        <v>25000</v>
      </c>
    </row>
    <row r="79" spans="1:28">
      <c r="A79" t="s">
        <v>12</v>
      </c>
      <c r="B79" s="327" t="s">
        <v>13</v>
      </c>
      <c r="C79">
        <v>277075.43</v>
      </c>
      <c r="D79">
        <v>27358.49</v>
      </c>
      <c r="E79">
        <v>27358.49</v>
      </c>
      <c r="F79">
        <v>27358.49</v>
      </c>
      <c r="G79">
        <v>27358.49</v>
      </c>
      <c r="H79">
        <v>27358.49</v>
      </c>
      <c r="I79">
        <v>23584.9</v>
      </c>
      <c r="J79">
        <v>27358.49</v>
      </c>
      <c r="K79">
        <v>15094.33</v>
      </c>
      <c r="L79">
        <v>17641.5</v>
      </c>
      <c r="M79">
        <v>18867.92</v>
      </c>
      <c r="N79">
        <v>18867.92</v>
      </c>
      <c r="O79" s="327">
        <v>18867.92</v>
      </c>
      <c r="P79" s="326">
        <v>226415.094339623</v>
      </c>
      <c r="Q79">
        <v>18867.9245283019</v>
      </c>
      <c r="R79">
        <v>18867.9245283019</v>
      </c>
      <c r="S79">
        <v>18867.9245283019</v>
      </c>
      <c r="T79">
        <v>18867.9245283019</v>
      </c>
      <c r="U79">
        <v>18867.9245283019</v>
      </c>
      <c r="V79">
        <v>18867.9245283019</v>
      </c>
      <c r="W79">
        <v>18867.9245283019</v>
      </c>
      <c r="X79">
        <v>18867.9245283019</v>
      </c>
      <c r="Y79">
        <v>18867.9245283019</v>
      </c>
      <c r="Z79">
        <v>18867.9245283019</v>
      </c>
      <c r="AA79">
        <v>18867.9245283019</v>
      </c>
      <c r="AB79">
        <v>18867.9245283019</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23584.9</v>
      </c>
      <c r="K81">
        <v>4716.98</v>
      </c>
      <c r="L81">
        <v>4716.98</v>
      </c>
      <c r="M81">
        <v>4716.98</v>
      </c>
      <c r="N81">
        <v>4716.98</v>
      </c>
      <c r="O81" s="326">
        <v>4716.98</v>
      </c>
      <c r="P81" s="326">
        <v>56603.7735849057</v>
      </c>
      <c r="Q81">
        <v>4716.98113207547</v>
      </c>
      <c r="R81">
        <v>4716.98113207547</v>
      </c>
      <c r="S81">
        <v>4716.98113207547</v>
      </c>
      <c r="T81">
        <v>4716.98113207547</v>
      </c>
      <c r="U81">
        <v>4716.98113207547</v>
      </c>
      <c r="V81">
        <v>4716.98113207547</v>
      </c>
      <c r="W81">
        <v>4716.98113207547</v>
      </c>
      <c r="X81">
        <v>4716.98113207547</v>
      </c>
      <c r="Y81">
        <v>4716.98113207547</v>
      </c>
      <c r="Z81">
        <v>4716.98113207547</v>
      </c>
      <c r="AA81">
        <v>4716.98113207547</v>
      </c>
      <c r="AB81">
        <v>4716.98113207547</v>
      </c>
    </row>
    <row r="82" spans="1:28">
      <c r="A82" t="s">
        <v>26</v>
      </c>
      <c r="B82" t="s">
        <v>27</v>
      </c>
      <c r="C82">
        <v>0</v>
      </c>
      <c r="O82" s="326"/>
      <c r="P82" s="326">
        <v>0</v>
      </c>
      <c r="Q82">
        <v>0</v>
      </c>
      <c r="R82">
        <v>0</v>
      </c>
      <c r="S82">
        <v>0</v>
      </c>
      <c r="T82">
        <v>0</v>
      </c>
      <c r="U82">
        <v>0</v>
      </c>
      <c r="V82">
        <v>0</v>
      </c>
      <c r="W82">
        <v>0</v>
      </c>
      <c r="X82">
        <v>0</v>
      </c>
      <c r="Y82">
        <v>0</v>
      </c>
      <c r="Z82">
        <v>0</v>
      </c>
      <c r="AA82">
        <v>0</v>
      </c>
      <c r="AB82">
        <v>0</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0</v>
      </c>
      <c r="O87" s="326"/>
      <c r="P87" s="326">
        <v>0</v>
      </c>
      <c r="Q87">
        <v>0</v>
      </c>
      <c r="R87">
        <v>0</v>
      </c>
      <c r="S87">
        <v>0</v>
      </c>
      <c r="T87">
        <v>0</v>
      </c>
      <c r="U87">
        <v>0</v>
      </c>
      <c r="V87">
        <v>0</v>
      </c>
      <c r="W87">
        <v>0</v>
      </c>
      <c r="X87">
        <v>0</v>
      </c>
      <c r="Y87">
        <v>0</v>
      </c>
      <c r="Z87">
        <v>0</v>
      </c>
      <c r="AA87">
        <v>0</v>
      </c>
      <c r="AB87">
        <v>0</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28">
      <c r="A94" t="s">
        <v>395</v>
      </c>
      <c r="B94" t="s">
        <v>396</v>
      </c>
      <c r="C94">
        <v>0</v>
      </c>
      <c r="O94" s="326"/>
      <c r="P94" s="326">
        <v>0</v>
      </c>
      <c r="Q94">
        <v>0</v>
      </c>
      <c r="R94">
        <v>0</v>
      </c>
      <c r="S94">
        <v>0</v>
      </c>
      <c r="T94">
        <v>0</v>
      </c>
      <c r="U94">
        <v>0</v>
      </c>
      <c r="V94">
        <v>0</v>
      </c>
      <c r="W94">
        <v>0</v>
      </c>
      <c r="X94">
        <v>0</v>
      </c>
      <c r="Y94">
        <v>0</v>
      </c>
      <c r="Z94">
        <v>0</v>
      </c>
      <c r="AA94">
        <v>0</v>
      </c>
      <c r="AB94">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28">
      <c r="A102" t="s">
        <v>90</v>
      </c>
      <c r="B102" t="s">
        <v>91</v>
      </c>
      <c r="C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1107927.72</v>
      </c>
      <c r="D106">
        <v>93097.64</v>
      </c>
      <c r="E106">
        <v>89513.15</v>
      </c>
      <c r="F106">
        <v>83068.89</v>
      </c>
      <c r="G106">
        <v>88963.74</v>
      </c>
      <c r="H106">
        <v>97169.92</v>
      </c>
      <c r="I106">
        <v>94698.63</v>
      </c>
      <c r="J106">
        <v>89086.31</v>
      </c>
      <c r="K106">
        <v>83062.93</v>
      </c>
      <c r="L106">
        <v>84047.13</v>
      </c>
      <c r="M106">
        <v>101798.46</v>
      </c>
      <c r="N106">
        <v>101710.46</v>
      </c>
      <c r="O106">
        <v>101710.46</v>
      </c>
      <c r="P106" s="326">
        <v>1172720.94</v>
      </c>
      <c r="Q106">
        <v>98792.18</v>
      </c>
      <c r="R106">
        <v>94627.46</v>
      </c>
      <c r="S106">
        <v>94627.46</v>
      </c>
      <c r="T106">
        <v>94627.46</v>
      </c>
      <c r="U106">
        <v>94627.46</v>
      </c>
      <c r="V106">
        <v>94627.46</v>
      </c>
      <c r="W106">
        <v>94627.46</v>
      </c>
      <c r="X106">
        <v>94627.46</v>
      </c>
      <c r="Y106">
        <v>94627.46</v>
      </c>
      <c r="Z106">
        <v>94627.46</v>
      </c>
      <c r="AA106">
        <v>94627.46</v>
      </c>
      <c r="AB106">
        <v>127654.16</v>
      </c>
    </row>
    <row r="107" spans="1:28">
      <c r="A107" t="s">
        <v>106</v>
      </c>
      <c r="B107" t="s">
        <v>107</v>
      </c>
      <c r="C107">
        <v>907427</v>
      </c>
      <c r="D107">
        <v>75658.39</v>
      </c>
      <c r="E107">
        <v>76649.67</v>
      </c>
      <c r="F107">
        <v>68404.41</v>
      </c>
      <c r="G107">
        <v>74352.41</v>
      </c>
      <c r="H107">
        <v>79304.41</v>
      </c>
      <c r="I107">
        <v>76955.09</v>
      </c>
      <c r="J107">
        <v>72389.17</v>
      </c>
      <c r="K107">
        <v>67211.9</v>
      </c>
      <c r="L107">
        <v>66854.03</v>
      </c>
      <c r="M107">
        <v>83215.84</v>
      </c>
      <c r="N107">
        <v>83215.84</v>
      </c>
      <c r="O107" s="326">
        <v>83215.84</v>
      </c>
      <c r="P107" s="326">
        <v>974345.28</v>
      </c>
      <c r="Q107">
        <v>81195.44</v>
      </c>
      <c r="R107">
        <v>81195.44</v>
      </c>
      <c r="S107">
        <v>81195.44</v>
      </c>
      <c r="T107">
        <v>81195.44</v>
      </c>
      <c r="U107">
        <v>81195.44</v>
      </c>
      <c r="V107">
        <v>81195.44</v>
      </c>
      <c r="W107">
        <v>81195.44</v>
      </c>
      <c r="X107">
        <v>81195.44</v>
      </c>
      <c r="Y107">
        <v>81195.44</v>
      </c>
      <c r="Z107">
        <v>81195.44</v>
      </c>
      <c r="AA107">
        <v>81195.44</v>
      </c>
      <c r="AB107">
        <v>81195.44</v>
      </c>
    </row>
    <row r="108" spans="1:28">
      <c r="A108" t="s">
        <v>110</v>
      </c>
      <c r="B108" t="s">
        <v>111</v>
      </c>
      <c r="C108">
        <v>34728.86</v>
      </c>
      <c r="D108">
        <v>3369.17</v>
      </c>
      <c r="E108">
        <v>-2332.01</v>
      </c>
      <c r="F108">
        <v>3369.17</v>
      </c>
      <c r="G108">
        <v>3369.17</v>
      </c>
      <c r="H108">
        <v>3369.17</v>
      </c>
      <c r="I108">
        <v>3369.17</v>
      </c>
      <c r="J108">
        <v>3369.17</v>
      </c>
      <c r="K108">
        <v>3369.17</v>
      </c>
      <c r="L108">
        <v>3369.17</v>
      </c>
      <c r="M108">
        <v>3369.17</v>
      </c>
      <c r="N108">
        <v>3369.17</v>
      </c>
      <c r="O108">
        <v>3369.17</v>
      </c>
      <c r="P108" s="326">
        <v>33026.7</v>
      </c>
      <c r="Q108">
        <v>0</v>
      </c>
      <c r="R108">
        <v>0</v>
      </c>
      <c r="S108">
        <v>0</v>
      </c>
      <c r="T108">
        <v>0</v>
      </c>
      <c r="U108">
        <v>0</v>
      </c>
      <c r="V108">
        <v>0</v>
      </c>
      <c r="W108">
        <v>0</v>
      </c>
      <c r="X108">
        <v>0</v>
      </c>
      <c r="Y108">
        <v>0</v>
      </c>
      <c r="Z108">
        <v>0</v>
      </c>
      <c r="AA108">
        <v>0</v>
      </c>
      <c r="AB108">
        <v>33026.7</v>
      </c>
    </row>
    <row r="109" spans="1:28">
      <c r="A109" t="s">
        <v>113</v>
      </c>
      <c r="B109" t="s">
        <v>114</v>
      </c>
      <c r="C109">
        <v>990</v>
      </c>
      <c r="D109">
        <v>0</v>
      </c>
      <c r="E109">
        <v>990</v>
      </c>
      <c r="F109">
        <v>0</v>
      </c>
      <c r="G109">
        <v>0</v>
      </c>
      <c r="H109">
        <v>0</v>
      </c>
      <c r="I109">
        <v>0</v>
      </c>
      <c r="J109">
        <v>0</v>
      </c>
      <c r="K109">
        <v>0</v>
      </c>
      <c r="L109">
        <v>0</v>
      </c>
      <c r="M109">
        <v>0</v>
      </c>
      <c r="N109">
        <v>0</v>
      </c>
      <c r="O109">
        <v>0</v>
      </c>
      <c r="P109" s="326">
        <v>6504</v>
      </c>
      <c r="Q109">
        <v>542</v>
      </c>
      <c r="R109">
        <v>542</v>
      </c>
      <c r="S109">
        <v>542</v>
      </c>
      <c r="T109">
        <v>542</v>
      </c>
      <c r="U109">
        <v>542</v>
      </c>
      <c r="V109">
        <v>542</v>
      </c>
      <c r="W109">
        <v>542</v>
      </c>
      <c r="X109">
        <v>542</v>
      </c>
      <c r="Y109">
        <v>542</v>
      </c>
      <c r="Z109">
        <v>542</v>
      </c>
      <c r="AA109">
        <v>542</v>
      </c>
      <c r="AB109">
        <v>542</v>
      </c>
    </row>
    <row r="110" spans="1:28">
      <c r="A110" t="s">
        <v>116</v>
      </c>
      <c r="B110" t="s">
        <v>117</v>
      </c>
      <c r="C110">
        <v>142526.19</v>
      </c>
      <c r="D110">
        <v>11590.49</v>
      </c>
      <c r="E110">
        <v>12525.01</v>
      </c>
      <c r="F110">
        <v>9614.83</v>
      </c>
      <c r="G110">
        <v>9561.98</v>
      </c>
      <c r="H110">
        <v>12580.16</v>
      </c>
      <c r="I110">
        <v>12693.89</v>
      </c>
      <c r="J110">
        <v>10674.41</v>
      </c>
      <c r="K110">
        <v>10801.38</v>
      </c>
      <c r="L110">
        <v>12149.13</v>
      </c>
      <c r="M110">
        <v>13444.97</v>
      </c>
      <c r="N110">
        <v>13444.97</v>
      </c>
      <c r="O110">
        <v>13444.97</v>
      </c>
      <c r="P110" s="326">
        <v>126238.32</v>
      </c>
      <c r="Q110">
        <v>10519.86</v>
      </c>
      <c r="R110">
        <v>10519.86</v>
      </c>
      <c r="S110">
        <v>10519.86</v>
      </c>
      <c r="T110">
        <v>10519.86</v>
      </c>
      <c r="U110">
        <v>10519.86</v>
      </c>
      <c r="V110">
        <v>10519.86</v>
      </c>
      <c r="W110">
        <v>10519.86</v>
      </c>
      <c r="X110">
        <v>10519.86</v>
      </c>
      <c r="Y110">
        <v>10519.86</v>
      </c>
      <c r="Z110">
        <v>10519.86</v>
      </c>
      <c r="AA110">
        <v>10519.86</v>
      </c>
      <c r="AB110">
        <v>10519.86</v>
      </c>
    </row>
    <row r="111" spans="1:28">
      <c r="A111" t="s">
        <v>119</v>
      </c>
      <c r="B111" t="s">
        <v>120</v>
      </c>
      <c r="C111">
        <v>21374.24</v>
      </c>
      <c r="D111">
        <v>1680.48</v>
      </c>
      <c r="E111">
        <v>1680.48</v>
      </c>
      <c r="F111">
        <v>1680.48</v>
      </c>
      <c r="G111">
        <v>1680.18</v>
      </c>
      <c r="H111">
        <v>1916.18</v>
      </c>
      <c r="I111">
        <v>1680.48</v>
      </c>
      <c r="J111">
        <v>2653.56</v>
      </c>
      <c r="K111">
        <v>1680.48</v>
      </c>
      <c r="L111">
        <v>1680.48</v>
      </c>
      <c r="M111">
        <v>1680.48</v>
      </c>
      <c r="N111">
        <v>1680.48</v>
      </c>
      <c r="O111">
        <v>1680.48</v>
      </c>
      <c r="P111" s="326">
        <v>28441.92</v>
      </c>
      <c r="Q111">
        <v>2370.16</v>
      </c>
      <c r="R111">
        <v>2370.16</v>
      </c>
      <c r="S111">
        <v>2370.16</v>
      </c>
      <c r="T111">
        <v>2370.16</v>
      </c>
      <c r="U111">
        <v>2370.16</v>
      </c>
      <c r="V111">
        <v>2370.16</v>
      </c>
      <c r="W111">
        <v>2370.16</v>
      </c>
      <c r="X111">
        <v>2370.16</v>
      </c>
      <c r="Y111">
        <v>2370.16</v>
      </c>
      <c r="Z111">
        <v>2370.16</v>
      </c>
      <c r="AA111">
        <v>2370.16</v>
      </c>
      <c r="AB111">
        <v>2370.16</v>
      </c>
    </row>
    <row r="112" spans="1:28">
      <c r="A112" t="s">
        <v>122</v>
      </c>
      <c r="B112" t="s">
        <v>123</v>
      </c>
      <c r="C112">
        <v>0</v>
      </c>
      <c r="D112">
        <v>0</v>
      </c>
      <c r="E112">
        <v>0</v>
      </c>
      <c r="F112">
        <v>0</v>
      </c>
      <c r="G112">
        <v>0</v>
      </c>
      <c r="H112">
        <v>0</v>
      </c>
      <c r="I112">
        <v>0</v>
      </c>
      <c r="J112">
        <v>0</v>
      </c>
      <c r="K112">
        <v>0</v>
      </c>
      <c r="L112">
        <v>0</v>
      </c>
      <c r="M112">
        <v>0</v>
      </c>
      <c r="P112" s="32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6">
        <v>0</v>
      </c>
      <c r="Q113">
        <v>0</v>
      </c>
      <c r="R113">
        <v>0</v>
      </c>
      <c r="S113">
        <v>0</v>
      </c>
      <c r="T113">
        <v>0</v>
      </c>
      <c r="U113">
        <v>0</v>
      </c>
      <c r="V113">
        <v>0</v>
      </c>
      <c r="W113">
        <v>0</v>
      </c>
      <c r="X113">
        <v>0</v>
      </c>
      <c r="Y113">
        <v>0</v>
      </c>
      <c r="Z113">
        <v>0</v>
      </c>
      <c r="AA113">
        <v>0</v>
      </c>
      <c r="AB113">
        <v>0</v>
      </c>
    </row>
    <row r="114" spans="1:28">
      <c r="A114" t="s">
        <v>128</v>
      </c>
      <c r="B114" t="s">
        <v>129</v>
      </c>
      <c r="C114">
        <v>881.43</v>
      </c>
      <c r="D114">
        <v>799.11</v>
      </c>
      <c r="E114">
        <v>0</v>
      </c>
      <c r="F114">
        <v>0</v>
      </c>
      <c r="G114">
        <v>0</v>
      </c>
      <c r="H114">
        <v>0</v>
      </c>
      <c r="I114">
        <v>0</v>
      </c>
      <c r="J114">
        <v>0</v>
      </c>
      <c r="K114">
        <v>0</v>
      </c>
      <c r="L114">
        <v>-5.68</v>
      </c>
      <c r="M114">
        <v>88</v>
      </c>
      <c r="P114" s="326">
        <v>4164.72</v>
      </c>
      <c r="Q114">
        <v>4164.72</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6">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7902.03</v>
      </c>
      <c r="D332">
        <v>475.87</v>
      </c>
      <c r="E332">
        <v>909.24</v>
      </c>
      <c r="F332">
        <v>692.55</v>
      </c>
      <c r="G332">
        <v>495.59</v>
      </c>
      <c r="H332">
        <v>889.54</v>
      </c>
      <c r="I332">
        <v>522.74</v>
      </c>
      <c r="J332">
        <v>889.54</v>
      </c>
      <c r="K332">
        <v>630.77</v>
      </c>
      <c r="L332">
        <v>612.43</v>
      </c>
      <c r="M332">
        <v>467.76</v>
      </c>
      <c r="N332">
        <v>658</v>
      </c>
      <c r="O332">
        <v>658</v>
      </c>
      <c r="P332">
        <v>7569.26354716981</v>
      </c>
      <c r="Q332">
        <v>630.771962264151</v>
      </c>
      <c r="R332">
        <v>630.771962264151</v>
      </c>
      <c r="S332">
        <v>630.771962264151</v>
      </c>
      <c r="T332">
        <v>630.771962264151</v>
      </c>
      <c r="U332">
        <v>630.771962264151</v>
      </c>
      <c r="V332">
        <v>630.771962264151</v>
      </c>
      <c r="W332">
        <v>630.771962264151</v>
      </c>
      <c r="X332">
        <v>630.771962264151</v>
      </c>
      <c r="Y332">
        <v>630.771962264151</v>
      </c>
      <c r="Z332">
        <v>630.771962264151</v>
      </c>
      <c r="AA332">
        <v>630.771962264151</v>
      </c>
      <c r="AB332">
        <v>630.771962264151</v>
      </c>
    </row>
    <row r="333" spans="1:28">
      <c r="A333">
        <v>6404</v>
      </c>
      <c r="B333" t="s">
        <v>674</v>
      </c>
      <c r="C333">
        <v>4298.18000000007</v>
      </c>
      <c r="D333">
        <v>2614.82</v>
      </c>
      <c r="E333">
        <v>5765.94000000001</v>
      </c>
      <c r="F333">
        <v>12426.89</v>
      </c>
      <c r="G333">
        <v>6729.00000000001</v>
      </c>
      <c r="H333">
        <v>-1871.13</v>
      </c>
      <c r="I333">
        <v>4740.55000000001</v>
      </c>
      <c r="J333">
        <v>6212.4</v>
      </c>
      <c r="K333">
        <v>7687.11</v>
      </c>
      <c r="L333">
        <v>4174.07999999999</v>
      </c>
      <c r="M333">
        <v>-14659</v>
      </c>
      <c r="N333">
        <v>-14761.24</v>
      </c>
      <c r="O333">
        <v>-14761.24</v>
      </c>
      <c r="P333">
        <v>-173984.731849057</v>
      </c>
      <c r="Q333">
        <v>-17230.8293207547</v>
      </c>
      <c r="R333">
        <v>-13066.1093207547</v>
      </c>
      <c r="S333">
        <v>-13066.1093207547</v>
      </c>
      <c r="T333">
        <v>-13066.1093207547</v>
      </c>
      <c r="U333">
        <v>-13066.1093207547</v>
      </c>
      <c r="V333">
        <v>-13066.1093207547</v>
      </c>
      <c r="W333">
        <v>-13066.1093207547</v>
      </c>
      <c r="X333">
        <v>-9066.10932075473</v>
      </c>
      <c r="Y333">
        <v>-9066.10932075473</v>
      </c>
      <c r="Z333">
        <v>-9066.10932075473</v>
      </c>
      <c r="AA333">
        <v>-9066.10932075473</v>
      </c>
      <c r="AB333">
        <v>-42092.8093207548</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-130.96</v>
      </c>
      <c r="D343">
        <v>0</v>
      </c>
      <c r="E343">
        <v>0</v>
      </c>
      <c r="F343">
        <v>0</v>
      </c>
      <c r="G343">
        <v>0</v>
      </c>
      <c r="H343">
        <v>0</v>
      </c>
      <c r="I343">
        <v>0</v>
      </c>
      <c r="J343">
        <v>0</v>
      </c>
      <c r="K343">
        <v>-130.96</v>
      </c>
      <c r="P343">
        <v>0</v>
      </c>
    </row>
    <row r="344" spans="1:16">
      <c r="A344">
        <v>6111</v>
      </c>
      <c r="B344" t="s">
        <v>685</v>
      </c>
      <c r="C344">
        <v>0</v>
      </c>
      <c r="P344">
        <v>0</v>
      </c>
    </row>
    <row r="345" spans="1:16">
      <c r="A345">
        <v>6115</v>
      </c>
      <c r="B345" t="s">
        <v>686</v>
      </c>
      <c r="C345">
        <v>0</v>
      </c>
      <c r="P345">
        <v>0</v>
      </c>
    </row>
    <row r="346" spans="1:16">
      <c r="A346">
        <v>6112</v>
      </c>
      <c r="B346" t="s">
        <v>687</v>
      </c>
      <c r="C346">
        <v>0</v>
      </c>
      <c r="D346">
        <v>164.15</v>
      </c>
      <c r="E346">
        <v>-164.15</v>
      </c>
      <c r="F346">
        <v>0</v>
      </c>
      <c r="G346">
        <v>0</v>
      </c>
      <c r="H346">
        <v>0</v>
      </c>
      <c r="I346">
        <v>0</v>
      </c>
      <c r="J346">
        <v>0</v>
      </c>
      <c r="K346">
        <v>0</v>
      </c>
      <c r="P346">
        <v>0</v>
      </c>
    </row>
    <row r="347" spans="1:28">
      <c r="A347">
        <v>6113</v>
      </c>
      <c r="B347" t="s">
        <v>688</v>
      </c>
      <c r="C347">
        <v>4429.14000000006</v>
      </c>
      <c r="D347">
        <v>2778.97</v>
      </c>
      <c r="E347">
        <v>5601.79000000001</v>
      </c>
      <c r="F347">
        <v>12426.89</v>
      </c>
      <c r="G347">
        <v>6729.00000000001</v>
      </c>
      <c r="H347">
        <v>-1871.13</v>
      </c>
      <c r="I347">
        <v>4740.55000000001</v>
      </c>
      <c r="J347">
        <v>6212.4</v>
      </c>
      <c r="K347">
        <v>7818.07</v>
      </c>
      <c r="L347">
        <v>4174.07999999999</v>
      </c>
      <c r="M347">
        <v>-14659</v>
      </c>
      <c r="N347">
        <v>-14761.24</v>
      </c>
      <c r="O347">
        <v>-14761.24</v>
      </c>
      <c r="P347">
        <v>-173984.731849057</v>
      </c>
      <c r="Q347">
        <v>-17230.8293207547</v>
      </c>
      <c r="R347">
        <v>-13066.1093207547</v>
      </c>
      <c r="S347">
        <v>-13066.1093207547</v>
      </c>
      <c r="T347">
        <v>-13066.1093207547</v>
      </c>
      <c r="U347">
        <v>-13066.1093207547</v>
      </c>
      <c r="V347">
        <v>-13066.1093207547</v>
      </c>
      <c r="W347">
        <v>-13066.1093207547</v>
      </c>
      <c r="X347">
        <v>-9066.10932075473</v>
      </c>
      <c r="Y347">
        <v>-9066.10932075473</v>
      </c>
      <c r="Z347">
        <v>-9066.10932075473</v>
      </c>
      <c r="AA347">
        <v>-9066.10932075473</v>
      </c>
      <c r="AB347">
        <v>-42092.8093207548</v>
      </c>
    </row>
    <row r="348" spans="1:28">
      <c r="A348">
        <v>6712</v>
      </c>
      <c r="B348" t="s">
        <v>689</v>
      </c>
      <c r="C348">
        <v>-17.9</v>
      </c>
      <c r="D348">
        <v>0</v>
      </c>
      <c r="E348">
        <v>0</v>
      </c>
      <c r="F348">
        <v>0</v>
      </c>
      <c r="G348">
        <v>0</v>
      </c>
      <c r="H348">
        <v>0</v>
      </c>
      <c r="I348">
        <v>-17.9</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17.9</v>
      </c>
      <c r="D350">
        <v>0</v>
      </c>
      <c r="E350">
        <v>0</v>
      </c>
      <c r="F350">
        <v>0</v>
      </c>
      <c r="G350">
        <v>0</v>
      </c>
      <c r="H350">
        <v>0</v>
      </c>
      <c r="I350">
        <v>17.9</v>
      </c>
      <c r="J350">
        <v>0</v>
      </c>
      <c r="K350">
        <v>0</v>
      </c>
      <c r="L350">
        <v>0</v>
      </c>
      <c r="M350">
        <v>0</v>
      </c>
      <c r="P350">
        <v>0</v>
      </c>
    </row>
    <row r="351" spans="1:28">
      <c r="A351">
        <v>6713</v>
      </c>
      <c r="B351" t="s">
        <v>692</v>
      </c>
      <c r="C351">
        <v>4411.24000000007</v>
      </c>
      <c r="D351">
        <v>2778.97</v>
      </c>
      <c r="E351">
        <v>5601.79000000001</v>
      </c>
      <c r="F351">
        <v>12426.89</v>
      </c>
      <c r="G351">
        <v>6729.00000000001</v>
      </c>
      <c r="H351">
        <v>-1871.13</v>
      </c>
      <c r="I351">
        <v>4722.65000000001</v>
      </c>
      <c r="J351">
        <v>6212.4</v>
      </c>
      <c r="K351">
        <v>7818.07</v>
      </c>
      <c r="L351">
        <v>4174.07999999999</v>
      </c>
      <c r="M351">
        <v>-14659</v>
      </c>
      <c r="N351">
        <v>-14761.24</v>
      </c>
      <c r="O351">
        <v>-14761.24</v>
      </c>
      <c r="P351">
        <v>-173984.731849057</v>
      </c>
      <c r="Q351">
        <v>-17230.8293207547</v>
      </c>
      <c r="R351">
        <v>-13066.1093207547</v>
      </c>
      <c r="S351">
        <v>-13066.1093207547</v>
      </c>
      <c r="T351">
        <v>-13066.1093207547</v>
      </c>
      <c r="U351">
        <v>-13066.1093207547</v>
      </c>
      <c r="V351">
        <v>-13066.1093207547</v>
      </c>
      <c r="W351">
        <v>-13066.1093207547</v>
      </c>
      <c r="X351">
        <v>-9066.10932075473</v>
      </c>
      <c r="Y351">
        <v>-9066.10932075473</v>
      </c>
      <c r="Z351">
        <v>-9066.10932075473</v>
      </c>
      <c r="AA351">
        <v>-9066.10932075473</v>
      </c>
      <c r="AB351">
        <v>-42092.8093207548</v>
      </c>
    </row>
    <row r="352" spans="1:28">
      <c r="A352">
        <v>6714</v>
      </c>
      <c r="B352" t="s">
        <v>693</v>
      </c>
      <c r="C352">
        <v>4411.24000000007</v>
      </c>
      <c r="D352">
        <v>2778.97</v>
      </c>
      <c r="E352">
        <v>5601.79000000001</v>
      </c>
      <c r="F352">
        <v>12426.89</v>
      </c>
      <c r="G352">
        <v>6729.00000000001</v>
      </c>
      <c r="H352">
        <v>-1871.13</v>
      </c>
      <c r="I352">
        <v>4722.65000000001</v>
      </c>
      <c r="J352">
        <v>6212.4</v>
      </c>
      <c r="K352">
        <v>7818.07</v>
      </c>
      <c r="L352">
        <v>4174.07999999999</v>
      </c>
      <c r="M352">
        <v>-14659</v>
      </c>
      <c r="N352">
        <v>-14761.24</v>
      </c>
      <c r="O352">
        <v>-14761.24</v>
      </c>
      <c r="P352">
        <v>-173984.731849057</v>
      </c>
      <c r="Q352">
        <v>-17230.8293207547</v>
      </c>
      <c r="R352">
        <v>-13066.1093207547</v>
      </c>
      <c r="S352">
        <v>-13066.1093207547</v>
      </c>
      <c r="T352">
        <v>-13066.1093207547</v>
      </c>
      <c r="U352">
        <v>-13066.1093207547</v>
      </c>
      <c r="V352">
        <v>-13066.1093207547</v>
      </c>
      <c r="W352">
        <v>-13066.1093207547</v>
      </c>
      <c r="X352">
        <v>-9066.10932075473</v>
      </c>
      <c r="Y352">
        <v>-9066.10932075473</v>
      </c>
      <c r="Z352">
        <v>-9066.10932075473</v>
      </c>
      <c r="AA352">
        <v>-9066.10932075473</v>
      </c>
      <c r="AB352">
        <v>-42092.8093207548</v>
      </c>
    </row>
    <row r="353" spans="1:16">
      <c r="A353">
        <v>6801</v>
      </c>
      <c r="B353" t="s">
        <v>694</v>
      </c>
      <c r="C353">
        <v>12180.92</v>
      </c>
      <c r="D353">
        <v>0</v>
      </c>
      <c r="E353">
        <v>0</v>
      </c>
      <c r="F353">
        <v>5201.91</v>
      </c>
      <c r="G353">
        <v>0</v>
      </c>
      <c r="H353">
        <v>0</v>
      </c>
      <c r="I353">
        <v>2395.13</v>
      </c>
      <c r="J353">
        <v>0</v>
      </c>
      <c r="K353">
        <v>32.74</v>
      </c>
      <c r="L353">
        <v>4551.14</v>
      </c>
      <c r="M353">
        <v>0</v>
      </c>
      <c r="P353">
        <v>0</v>
      </c>
    </row>
    <row r="354" spans="1:28">
      <c r="A354">
        <v>6715</v>
      </c>
      <c r="B354" t="s">
        <v>695</v>
      </c>
      <c r="C354">
        <v>-7769.67999999993</v>
      </c>
      <c r="D354">
        <v>2778.97</v>
      </c>
      <c r="E354">
        <v>5601.79000000001</v>
      </c>
      <c r="F354">
        <v>7224.98</v>
      </c>
      <c r="G354">
        <v>6729.00000000001</v>
      </c>
      <c r="H354">
        <v>-1871.13</v>
      </c>
      <c r="I354">
        <v>2327.52000000001</v>
      </c>
      <c r="J354">
        <v>6212.4</v>
      </c>
      <c r="K354">
        <v>7785.33</v>
      </c>
      <c r="L354">
        <v>-377.060000000006</v>
      </c>
      <c r="M354">
        <v>-14659</v>
      </c>
      <c r="N354">
        <v>-14761.24</v>
      </c>
      <c r="O354">
        <v>-14761.24</v>
      </c>
      <c r="P354">
        <v>-173984.731849057</v>
      </c>
      <c r="Q354">
        <v>-17230.8293207547</v>
      </c>
      <c r="R354">
        <v>-13066.1093207547</v>
      </c>
      <c r="S354">
        <v>-13066.1093207547</v>
      </c>
      <c r="T354">
        <v>-13066.1093207547</v>
      </c>
      <c r="U354">
        <v>-13066.1093207547</v>
      </c>
      <c r="V354">
        <v>-13066.1093207547</v>
      </c>
      <c r="W354">
        <v>-13066.1093207547</v>
      </c>
      <c r="X354">
        <v>-9066.10932075473</v>
      </c>
      <c r="Y354">
        <v>-9066.10932075473</v>
      </c>
      <c r="Z354">
        <v>-9066.10932075473</v>
      </c>
      <c r="AA354">
        <v>-9066.10932075473</v>
      </c>
      <c r="AB354">
        <v>-42092.8093207548</v>
      </c>
    </row>
    <row r="355" spans="1:16">
      <c r="A355">
        <v>6716</v>
      </c>
      <c r="B355" t="s">
        <v>696</v>
      </c>
      <c r="C355">
        <v>0</v>
      </c>
      <c r="P355">
        <v>0</v>
      </c>
    </row>
    <row r="356" spans="1:28">
      <c r="A356" t="s">
        <v>697</v>
      </c>
      <c r="B356" t="s">
        <v>698</v>
      </c>
      <c r="C356">
        <v>0.00858693046914705</v>
      </c>
      <c r="D356">
        <v>0.0250163460297886</v>
      </c>
      <c r="E356">
        <v>0.054029557377519</v>
      </c>
      <c r="F356">
        <v>0.106190025773225</v>
      </c>
      <c r="G356">
        <v>0.0584765354543323</v>
      </c>
      <c r="H356">
        <v>-0.00794508511024401</v>
      </c>
      <c r="I356">
        <v>0.0426015821370393</v>
      </c>
      <c r="J356">
        <v>0.0574838316251809</v>
      </c>
      <c r="K356">
        <v>0.0748063801643498</v>
      </c>
      <c r="L356">
        <v>0.0430472051436738</v>
      </c>
      <c r="M356">
        <v>-0.127628108898364</v>
      </c>
      <c r="N356">
        <v>-0.126836685909037</v>
      </c>
      <c r="O356">
        <v>-0.126836685909037</v>
      </c>
      <c r="P356">
        <v>-0.124720666917522</v>
      </c>
      <c r="Q356">
        <v>-0.149291667108562</v>
      </c>
      <c r="R356">
        <v>-0.111836495815292</v>
      </c>
      <c r="S356">
        <v>-0.111836495815292</v>
      </c>
      <c r="T356">
        <v>-0.111836495815292</v>
      </c>
      <c r="U356">
        <v>-0.111836495815292</v>
      </c>
      <c r="V356">
        <v>-0.111836495815292</v>
      </c>
      <c r="W356">
        <v>-0.111836495815292</v>
      </c>
      <c r="X356">
        <v>-0.0758627244277605</v>
      </c>
      <c r="Y356">
        <v>-0.0758627244277605</v>
      </c>
      <c r="Z356">
        <v>-0.0758627244277605</v>
      </c>
      <c r="AA356">
        <v>-0.0758627244277605</v>
      </c>
      <c r="AB356">
        <v>-0.372886463298906</v>
      </c>
    </row>
    <row r="357" spans="2:28">
      <c r="B357" t="s">
        <v>697</v>
      </c>
      <c r="C357">
        <v>0.00310478353755546</v>
      </c>
      <c r="D357">
        <v>0.0224932539744852</v>
      </c>
      <c r="E357">
        <v>0.0453414341218981</v>
      </c>
      <c r="F357">
        <v>0.10058445858825</v>
      </c>
      <c r="G357">
        <v>0.0544651817019654</v>
      </c>
      <c r="H357">
        <v>-0.0151451085507502</v>
      </c>
      <c r="I357">
        <v>0.0382255892948115</v>
      </c>
      <c r="J357">
        <v>0.0502838035224564</v>
      </c>
      <c r="K357">
        <v>0.0703113673882646</v>
      </c>
      <c r="L357">
        <v>0.0375393508101113</v>
      </c>
      <c r="M357">
        <v>-0.131834881824359</v>
      </c>
      <c r="N357">
        <v>-0.132754371442868</v>
      </c>
      <c r="O357">
        <v>-0.132754371442868</v>
      </c>
      <c r="P357">
        <v>-0.13039347850956</v>
      </c>
      <c r="Q357">
        <v>-0.1549644787006</v>
      </c>
      <c r="R357">
        <v>-0.117509307407331</v>
      </c>
      <c r="S357">
        <v>-0.117509307407331</v>
      </c>
      <c r="T357">
        <v>-0.117509307407331</v>
      </c>
      <c r="U357">
        <v>-0.117509307407331</v>
      </c>
      <c r="V357">
        <v>-0.117509307407331</v>
      </c>
      <c r="W357">
        <v>-0.117509307407331</v>
      </c>
      <c r="X357">
        <v>-0.0815355360197993</v>
      </c>
      <c r="Y357">
        <v>-0.0815355360197993</v>
      </c>
      <c r="Z357">
        <v>-0.0815355360197993</v>
      </c>
      <c r="AA357">
        <v>-0.0815355360197993</v>
      </c>
      <c r="AB357">
        <v>-0.378559274890944</v>
      </c>
    </row>
    <row r="358" spans="2:28">
      <c r="B358" t="s">
        <v>699</v>
      </c>
      <c r="C358">
        <v>-0.00546856996129735</v>
      </c>
      <c r="D358">
        <v>0.0224932539744852</v>
      </c>
      <c r="E358">
        <v>0.0453414341218981</v>
      </c>
      <c r="F358">
        <v>0.0584796921523355</v>
      </c>
      <c r="G358">
        <v>0.0544651817019654</v>
      </c>
      <c r="H358">
        <v>-0.0151451085507502</v>
      </c>
      <c r="I358">
        <v>0.0188391736833049</v>
      </c>
      <c r="J358">
        <v>0.0502838035224564</v>
      </c>
      <c r="K358">
        <v>0.0700169220624627</v>
      </c>
      <c r="L358">
        <v>-0.00339106764040479</v>
      </c>
      <c r="M358">
        <v>-0.131834881824359</v>
      </c>
      <c r="N358">
        <v>-0.132754371442868</v>
      </c>
      <c r="O358">
        <v>-0.132754371442868</v>
      </c>
      <c r="P358">
        <v>-0.13039347850956</v>
      </c>
      <c r="Q358">
        <v>-0.1549644787006</v>
      </c>
      <c r="R358">
        <v>-0.117509307407331</v>
      </c>
      <c r="S358">
        <v>-0.117509307407331</v>
      </c>
      <c r="T358">
        <v>-0.117509307407331</v>
      </c>
      <c r="U358">
        <v>-0.117509307407331</v>
      </c>
      <c r="V358">
        <v>-0.117509307407331</v>
      </c>
      <c r="W358">
        <v>-0.117509307407331</v>
      </c>
      <c r="X358">
        <v>-0.0815355360197993</v>
      </c>
      <c r="Y358">
        <v>-0.0815355360197993</v>
      </c>
      <c r="Z358">
        <v>-0.0815355360197993</v>
      </c>
      <c r="AA358">
        <v>-0.0815355360197993</v>
      </c>
      <c r="AB358">
        <v>-0.378559274890944</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F26" sqref="F26"/>
    </sheetView>
  </sheetViews>
  <sheetFormatPr defaultColWidth="9" defaultRowHeight="14"/>
  <cols>
    <col min="3" max="3" width="12.8727272727273" customWidth="1"/>
    <col min="4" max="4" width="12.8727272727273" hidden="1" customWidth="1"/>
  </cols>
  <sheetData>
    <row r="1" ht="13.5" customHeight="1" spans="1:3">
      <c r="A1" t="s">
        <v>709</v>
      </c>
      <c r="B1" t="s">
        <v>710</v>
      </c>
      <c r="C1" t="s">
        <v>711</v>
      </c>
    </row>
    <row r="2" ht="13.5" customHeight="1" spans="2:4">
      <c r="B2" t="s">
        <v>712</v>
      </c>
      <c r="C2" t="s">
        <v>713</v>
      </c>
      <c r="D2" t="s">
        <v>714</v>
      </c>
    </row>
    <row r="3" ht="13.5" customHeight="1" spans="2:4">
      <c r="B3" t="s">
        <v>715</v>
      </c>
      <c r="C3" t="s">
        <v>716</v>
      </c>
      <c r="D3" t="s">
        <v>717</v>
      </c>
    </row>
    <row r="4" ht="13.5" customHeight="1" spans="2:3">
      <c r="B4" t="s">
        <v>718</v>
      </c>
      <c r="C4" t="s">
        <v>719</v>
      </c>
    </row>
    <row r="5" ht="13.5" customHeight="1" spans="2:4">
      <c r="B5" t="s">
        <v>720</v>
      </c>
      <c r="C5" t="s">
        <v>721</v>
      </c>
      <c r="D5" t="s">
        <v>722</v>
      </c>
    </row>
    <row r="7" ht="13.5" customHeight="1" spans="2:2">
      <c r="B7" t="s">
        <v>723</v>
      </c>
    </row>
    <row r="8" ht="13.5"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ht="13.5" customHeight="1" spans="2:18">
      <c r="B9" t="s">
        <v>731</v>
      </c>
      <c r="C9" t="s">
        <v>732</v>
      </c>
      <c r="D9">
        <v>1</v>
      </c>
      <c r="E9">
        <v>1</v>
      </c>
      <c r="F9">
        <v>1</v>
      </c>
      <c r="G9">
        <v>1</v>
      </c>
      <c r="H9">
        <v>1</v>
      </c>
      <c r="I9">
        <v>1</v>
      </c>
      <c r="J9">
        <v>1</v>
      </c>
      <c r="K9">
        <v>1</v>
      </c>
      <c r="L9">
        <v>1</v>
      </c>
      <c r="M9">
        <v>1</v>
      </c>
      <c r="N9">
        <v>1</v>
      </c>
      <c r="O9">
        <v>1</v>
      </c>
      <c r="P9">
        <v>1</v>
      </c>
      <c r="Q9" t="s">
        <v>182</v>
      </c>
      <c r="R9" t="s">
        <v>182</v>
      </c>
    </row>
    <row r="10" ht="13.5" customHeight="1" spans="2:18">
      <c r="B10" t="s">
        <v>195</v>
      </c>
      <c r="C10" t="s">
        <v>733</v>
      </c>
      <c r="D10">
        <v>1</v>
      </c>
      <c r="E10">
        <v>1</v>
      </c>
      <c r="F10">
        <v>1</v>
      </c>
      <c r="G10">
        <v>1</v>
      </c>
      <c r="H10">
        <v>1</v>
      </c>
      <c r="I10">
        <v>1</v>
      </c>
      <c r="J10">
        <v>1</v>
      </c>
      <c r="K10">
        <v>1</v>
      </c>
      <c r="L10">
        <v>1</v>
      </c>
      <c r="M10">
        <v>1</v>
      </c>
      <c r="N10">
        <v>1</v>
      </c>
      <c r="O10">
        <v>1</v>
      </c>
      <c r="P10">
        <v>1</v>
      </c>
      <c r="Q10" t="s">
        <v>182</v>
      </c>
      <c r="R10" t="s">
        <v>182</v>
      </c>
    </row>
    <row r="11" ht="13.5" customHeight="1" spans="2:18">
      <c r="B11" t="s">
        <v>734</v>
      </c>
      <c r="C11" t="s">
        <v>735</v>
      </c>
      <c r="D11">
        <v>6</v>
      </c>
      <c r="E11">
        <v>6</v>
      </c>
      <c r="F11">
        <v>6</v>
      </c>
      <c r="G11">
        <v>6</v>
      </c>
      <c r="H11">
        <v>6</v>
      </c>
      <c r="I11">
        <v>6</v>
      </c>
      <c r="J11">
        <v>6</v>
      </c>
      <c r="K11">
        <v>6</v>
      </c>
      <c r="L11">
        <v>6</v>
      </c>
      <c r="M11">
        <v>6</v>
      </c>
      <c r="N11">
        <v>6</v>
      </c>
      <c r="O11">
        <v>6</v>
      </c>
      <c r="P11">
        <v>6</v>
      </c>
      <c r="Q11" t="s">
        <v>182</v>
      </c>
      <c r="R11" t="s">
        <v>182</v>
      </c>
    </row>
    <row r="12" ht="13.5" customHeight="1" spans="2:18">
      <c r="B12" t="s">
        <v>736</v>
      </c>
      <c r="C12" t="s">
        <v>737</v>
      </c>
      <c r="D12">
        <v>0</v>
      </c>
      <c r="Q12" t="s">
        <v>184</v>
      </c>
      <c r="R12" t="s">
        <v>184</v>
      </c>
    </row>
    <row r="13" ht="13.5" customHeight="1" spans="2:18">
      <c r="B13" t="s">
        <v>203</v>
      </c>
      <c r="C13" t="s">
        <v>738</v>
      </c>
      <c r="D13">
        <v>0</v>
      </c>
      <c r="Q13" t="s">
        <v>182</v>
      </c>
      <c r="R13" t="s">
        <v>182</v>
      </c>
    </row>
    <row r="14" ht="13.5" customHeight="1" spans="2:16">
      <c r="B14" t="s">
        <v>739</v>
      </c>
      <c r="C14" t="s">
        <v>740</v>
      </c>
      <c r="D14">
        <v>6</v>
      </c>
      <c r="E14">
        <v>6</v>
      </c>
      <c r="F14">
        <v>6</v>
      </c>
      <c r="G14">
        <v>6</v>
      </c>
      <c r="H14">
        <v>6</v>
      </c>
      <c r="I14">
        <v>6</v>
      </c>
      <c r="J14">
        <v>6</v>
      </c>
      <c r="K14">
        <v>6</v>
      </c>
      <c r="L14">
        <v>6</v>
      </c>
      <c r="M14">
        <v>6</v>
      </c>
      <c r="N14">
        <v>6</v>
      </c>
      <c r="O14">
        <v>6</v>
      </c>
      <c r="P14">
        <v>6</v>
      </c>
    </row>
    <row r="15" ht="13.5" customHeight="1" spans="2:4">
      <c r="B15" t="s">
        <v>741</v>
      </c>
      <c r="C15" t="s">
        <v>741</v>
      </c>
      <c r="D15">
        <v>0</v>
      </c>
    </row>
    <row r="16" ht="13.5" customHeight="1" spans="2:4">
      <c r="B16" t="s">
        <v>742</v>
      </c>
      <c r="C16" t="s">
        <v>742</v>
      </c>
      <c r="D16">
        <v>0</v>
      </c>
    </row>
    <row r="17" ht="13.5" customHeight="1" spans="2:4">
      <c r="B17" t="s">
        <v>743</v>
      </c>
      <c r="C17" t="s">
        <v>743</v>
      </c>
      <c r="D17">
        <v>0</v>
      </c>
    </row>
    <row r="18" ht="13.5" customHeight="1" spans="2:4">
      <c r="B18" t="s">
        <v>744</v>
      </c>
      <c r="C18" t="s">
        <v>744</v>
      </c>
      <c r="D18">
        <v>0</v>
      </c>
    </row>
    <row r="19" ht="13.5" customHeight="1" spans="2:4">
      <c r="B19" t="s">
        <v>739</v>
      </c>
      <c r="C19" t="s">
        <v>739</v>
      </c>
      <c r="D19">
        <v>0</v>
      </c>
    </row>
    <row r="20" ht="13.5" customHeight="1" spans="2:16">
      <c r="B20" t="s">
        <v>745</v>
      </c>
      <c r="D20">
        <v>14</v>
      </c>
      <c r="E20">
        <v>14</v>
      </c>
      <c r="F20">
        <v>14</v>
      </c>
      <c r="G20">
        <v>14</v>
      </c>
      <c r="H20">
        <v>14</v>
      </c>
      <c r="I20">
        <v>14</v>
      </c>
      <c r="J20">
        <v>14</v>
      </c>
      <c r="K20">
        <v>14</v>
      </c>
      <c r="L20">
        <v>14</v>
      </c>
      <c r="M20">
        <v>14</v>
      </c>
      <c r="N20">
        <v>14</v>
      </c>
      <c r="O20">
        <v>14</v>
      </c>
      <c r="P20">
        <v>14</v>
      </c>
    </row>
    <row r="22" ht="13.5" customHeight="1" spans="2:2">
      <c r="B22" t="s">
        <v>746</v>
      </c>
    </row>
    <row r="23" ht="13.5"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731</v>
      </c>
      <c r="C24" s="326" t="s">
        <v>732</v>
      </c>
      <c r="D24" s="326">
        <v>159727</v>
      </c>
      <c r="E24" s="326">
        <v>11937.24</v>
      </c>
      <c r="F24" s="326">
        <v>11639.76</v>
      </c>
      <c r="G24" s="326">
        <v>11639.76</v>
      </c>
      <c r="H24" s="326">
        <v>11639.76</v>
      </c>
      <c r="I24" s="326">
        <v>11639.76</v>
      </c>
      <c r="J24" s="326">
        <v>11639.76</v>
      </c>
      <c r="K24" s="326">
        <v>11639.76</v>
      </c>
      <c r="L24" s="326">
        <v>11639.76</v>
      </c>
      <c r="M24" s="326">
        <v>11639.76</v>
      </c>
      <c r="N24" s="326">
        <v>11639.76</v>
      </c>
      <c r="O24" s="326">
        <v>11639.76</v>
      </c>
      <c r="P24" s="326">
        <v>31392.16</v>
      </c>
    </row>
    <row r="25" s="326" customFormat="1" spans="2:16">
      <c r="B25" s="326" t="s">
        <v>195</v>
      </c>
      <c r="C25" s="326" t="s">
        <v>733</v>
      </c>
      <c r="D25" s="326">
        <v>72047.3</v>
      </c>
      <c r="E25" s="326">
        <v>6191.54</v>
      </c>
      <c r="F25" s="326">
        <v>5894.06</v>
      </c>
      <c r="G25" s="326">
        <v>5894.06</v>
      </c>
      <c r="H25" s="326">
        <v>5894.06</v>
      </c>
      <c r="I25" s="326">
        <v>5894.06</v>
      </c>
      <c r="J25" s="326">
        <v>5894.06</v>
      </c>
      <c r="K25" s="326">
        <v>5894.06</v>
      </c>
      <c r="L25" s="326">
        <v>5894.06</v>
      </c>
      <c r="M25" s="326">
        <v>5894.06</v>
      </c>
      <c r="N25" s="326">
        <v>5894.06</v>
      </c>
      <c r="O25" s="326">
        <v>5894.06</v>
      </c>
      <c r="P25" s="326">
        <v>6915.16</v>
      </c>
    </row>
    <row r="26" s="326" customFormat="1" spans="2:16">
      <c r="B26" s="326" t="s">
        <v>734</v>
      </c>
      <c r="C26" s="326" t="s">
        <v>735</v>
      </c>
      <c r="D26" s="326">
        <v>445483.56</v>
      </c>
      <c r="E26" s="326">
        <v>38249.22</v>
      </c>
      <c r="F26" s="326">
        <v>36464.34</v>
      </c>
      <c r="G26" s="326">
        <v>36464.34</v>
      </c>
      <c r="H26" s="326">
        <v>36464.34</v>
      </c>
      <c r="I26" s="326">
        <v>36464.34</v>
      </c>
      <c r="J26" s="326">
        <v>36464.34</v>
      </c>
      <c r="K26" s="326">
        <v>36464.34</v>
      </c>
      <c r="L26" s="326">
        <v>36464.34</v>
      </c>
      <c r="M26" s="326">
        <v>36464.34</v>
      </c>
      <c r="N26" s="326">
        <v>36464.34</v>
      </c>
      <c r="O26" s="326">
        <v>36464.34</v>
      </c>
      <c r="P26" s="326">
        <v>42590.94</v>
      </c>
    </row>
    <row r="27" s="326" customFormat="1" spans="2:16">
      <c r="B27" s="326" t="s">
        <v>736</v>
      </c>
      <c r="C27" s="326" t="s">
        <v>737</v>
      </c>
      <c r="D27" s="326">
        <v>0</v>
      </c>
      <c r="E27" s="326">
        <v>0</v>
      </c>
      <c r="F27" s="326">
        <v>0</v>
      </c>
      <c r="G27" s="326">
        <v>0</v>
      </c>
      <c r="H27" s="326">
        <v>0</v>
      </c>
      <c r="I27" s="326">
        <v>0</v>
      </c>
      <c r="J27" s="326">
        <v>0</v>
      </c>
      <c r="K27" s="326">
        <v>0</v>
      </c>
      <c r="L27" s="326">
        <v>0</v>
      </c>
      <c r="M27" s="326">
        <v>0</v>
      </c>
      <c r="N27" s="326">
        <v>0</v>
      </c>
      <c r="O27" s="326">
        <v>0</v>
      </c>
      <c r="P27" s="326">
        <v>0</v>
      </c>
    </row>
    <row r="28" s="326" customFormat="1" spans="2:16">
      <c r="B28" s="326" t="s">
        <v>203</v>
      </c>
      <c r="C28" s="326" t="s">
        <v>738</v>
      </c>
      <c r="D28" s="326">
        <v>0</v>
      </c>
      <c r="E28" s="326">
        <v>0</v>
      </c>
      <c r="F28" s="326">
        <v>0</v>
      </c>
      <c r="G28" s="326">
        <v>0</v>
      </c>
      <c r="H28" s="326">
        <v>0</v>
      </c>
      <c r="I28" s="326">
        <v>0</v>
      </c>
      <c r="J28" s="326">
        <v>0</v>
      </c>
      <c r="K28" s="326">
        <v>0</v>
      </c>
      <c r="L28" s="326">
        <v>0</v>
      </c>
      <c r="M28" s="326">
        <v>0</v>
      </c>
      <c r="N28" s="326">
        <v>0</v>
      </c>
      <c r="O28" s="326">
        <v>0</v>
      </c>
      <c r="P28" s="326">
        <v>0</v>
      </c>
    </row>
    <row r="29" s="326" customFormat="1" spans="2:16">
      <c r="B29" s="326" t="s">
        <v>739</v>
      </c>
      <c r="C29" s="326" t="s">
        <v>740</v>
      </c>
      <c r="D29" s="326">
        <v>495463.08</v>
      </c>
      <c r="E29" s="326">
        <v>42414.18</v>
      </c>
      <c r="F29" s="326">
        <v>40629.3</v>
      </c>
      <c r="G29" s="326">
        <v>40629.3</v>
      </c>
      <c r="H29" s="326">
        <v>40629.3</v>
      </c>
      <c r="I29" s="326">
        <v>40629.3</v>
      </c>
      <c r="J29" s="326">
        <v>40629.3</v>
      </c>
      <c r="K29" s="326">
        <v>40629.3</v>
      </c>
      <c r="L29" s="326">
        <v>40629.3</v>
      </c>
      <c r="M29" s="326">
        <v>40629.3</v>
      </c>
      <c r="N29" s="326">
        <v>40629.3</v>
      </c>
      <c r="O29" s="326">
        <v>40629.3</v>
      </c>
      <c r="P29" s="326">
        <v>46755.9</v>
      </c>
    </row>
    <row r="30" ht="13.5" customHeight="1" spans="2:16">
      <c r="B30" t="s">
        <v>741</v>
      </c>
      <c r="C30" t="s">
        <v>741</v>
      </c>
      <c r="D30">
        <v>0</v>
      </c>
      <c r="E30">
        <v>0</v>
      </c>
      <c r="F30">
        <v>0</v>
      </c>
      <c r="G30">
        <v>0</v>
      </c>
      <c r="H30">
        <v>0</v>
      </c>
      <c r="I30">
        <v>0</v>
      </c>
      <c r="J30">
        <v>0</v>
      </c>
      <c r="K30">
        <v>0</v>
      </c>
      <c r="L30">
        <v>0</v>
      </c>
      <c r="M30">
        <v>0</v>
      </c>
      <c r="N30">
        <v>0</v>
      </c>
      <c r="O30">
        <v>0</v>
      </c>
      <c r="P30">
        <v>0</v>
      </c>
    </row>
    <row r="31" ht="13.5" customHeight="1" spans="2:16">
      <c r="B31" t="s">
        <v>742</v>
      </c>
      <c r="C31" t="s">
        <v>742</v>
      </c>
      <c r="D31">
        <v>0</v>
      </c>
      <c r="E31">
        <v>0</v>
      </c>
      <c r="F31">
        <v>0</v>
      </c>
      <c r="G31">
        <v>0</v>
      </c>
      <c r="H31">
        <v>0</v>
      </c>
      <c r="I31">
        <v>0</v>
      </c>
      <c r="J31">
        <v>0</v>
      </c>
      <c r="K31">
        <v>0</v>
      </c>
      <c r="L31">
        <v>0</v>
      </c>
      <c r="M31">
        <v>0</v>
      </c>
      <c r="N31">
        <v>0</v>
      </c>
      <c r="O31">
        <v>0</v>
      </c>
      <c r="P31">
        <v>0</v>
      </c>
    </row>
    <row r="32" ht="13.5" customHeight="1" spans="2:16">
      <c r="B32" t="s">
        <v>743</v>
      </c>
      <c r="C32" t="s">
        <v>743</v>
      </c>
      <c r="D32">
        <v>0</v>
      </c>
      <c r="E32">
        <v>0</v>
      </c>
      <c r="F32">
        <v>0</v>
      </c>
      <c r="G32">
        <v>0</v>
      </c>
      <c r="H32">
        <v>0</v>
      </c>
      <c r="I32">
        <v>0</v>
      </c>
      <c r="J32">
        <v>0</v>
      </c>
      <c r="K32">
        <v>0</v>
      </c>
      <c r="L32">
        <v>0</v>
      </c>
      <c r="M32">
        <v>0</v>
      </c>
      <c r="N32">
        <v>0</v>
      </c>
      <c r="O32">
        <v>0</v>
      </c>
      <c r="P32">
        <v>0</v>
      </c>
    </row>
    <row r="33" ht="13.5" customHeight="1" spans="2:16">
      <c r="B33" t="s">
        <v>744</v>
      </c>
      <c r="C33" t="s">
        <v>744</v>
      </c>
      <c r="D33">
        <v>0</v>
      </c>
      <c r="E33">
        <v>0</v>
      </c>
      <c r="F33">
        <v>0</v>
      </c>
      <c r="G33">
        <v>0</v>
      </c>
      <c r="H33">
        <v>0</v>
      </c>
      <c r="I33">
        <v>0</v>
      </c>
      <c r="J33">
        <v>0</v>
      </c>
      <c r="K33">
        <v>0</v>
      </c>
      <c r="L33">
        <v>0</v>
      </c>
      <c r="M33">
        <v>0</v>
      </c>
      <c r="N33">
        <v>0</v>
      </c>
      <c r="O33">
        <v>0</v>
      </c>
      <c r="P33">
        <v>0</v>
      </c>
    </row>
    <row r="34" ht="13.5" customHeight="1" spans="2:16">
      <c r="B34" t="s">
        <v>739</v>
      </c>
      <c r="C34" t="s">
        <v>739</v>
      </c>
      <c r="D34">
        <v>0</v>
      </c>
      <c r="E34">
        <v>0</v>
      </c>
      <c r="F34">
        <v>0</v>
      </c>
      <c r="G34">
        <v>0</v>
      </c>
      <c r="H34">
        <v>0</v>
      </c>
      <c r="I34">
        <v>0</v>
      </c>
      <c r="J34">
        <v>0</v>
      </c>
      <c r="K34">
        <v>0</v>
      </c>
      <c r="L34">
        <v>0</v>
      </c>
      <c r="M34">
        <v>0</v>
      </c>
      <c r="N34">
        <v>0</v>
      </c>
      <c r="O34">
        <v>0</v>
      </c>
      <c r="P34">
        <v>0</v>
      </c>
    </row>
    <row r="35" ht="13.5" customHeight="1" spans="2:16">
      <c r="B35" t="s">
        <v>745</v>
      </c>
      <c r="D35">
        <v>1172720.94</v>
      </c>
      <c r="E35">
        <v>98792.18</v>
      </c>
      <c r="F35">
        <v>94627.46</v>
      </c>
      <c r="G35">
        <v>94627.46</v>
      </c>
      <c r="H35">
        <v>94627.46</v>
      </c>
      <c r="I35">
        <v>94627.46</v>
      </c>
      <c r="J35">
        <v>94627.46</v>
      </c>
      <c r="K35">
        <v>94627.46</v>
      </c>
      <c r="L35">
        <v>94627.46</v>
      </c>
      <c r="M35">
        <v>94627.46</v>
      </c>
      <c r="N35">
        <v>94627.46</v>
      </c>
      <c r="O35">
        <v>94627.46</v>
      </c>
      <c r="P35">
        <v>127654.16</v>
      </c>
    </row>
    <row r="37" ht="13.5" customHeight="1" spans="2:2">
      <c r="B37" t="s">
        <v>747</v>
      </c>
    </row>
    <row r="38" ht="13.5"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731</v>
      </c>
      <c r="C39" t="s">
        <v>732</v>
      </c>
      <c r="D39">
        <v>111720</v>
      </c>
      <c r="E39">
        <v>9310</v>
      </c>
      <c r="F39">
        <v>9310</v>
      </c>
      <c r="G39">
        <v>9310</v>
      </c>
      <c r="H39">
        <v>9310</v>
      </c>
      <c r="I39">
        <v>9310</v>
      </c>
      <c r="J39">
        <v>9310</v>
      </c>
      <c r="K39">
        <v>9310</v>
      </c>
      <c r="L39">
        <v>9310</v>
      </c>
      <c r="M39">
        <v>9310</v>
      </c>
      <c r="N39">
        <v>9310</v>
      </c>
      <c r="O39">
        <v>9310</v>
      </c>
      <c r="P39">
        <v>9310</v>
      </c>
    </row>
    <row r="40" ht="13.5" customHeight="1" spans="2:16">
      <c r="B40" t="s">
        <v>195</v>
      </c>
      <c r="C40" t="s">
        <v>733</v>
      </c>
      <c r="D40">
        <v>60480.48</v>
      </c>
      <c r="E40">
        <v>5040.04</v>
      </c>
      <c r="F40">
        <v>5040.04</v>
      </c>
      <c r="G40">
        <v>5040.04</v>
      </c>
      <c r="H40">
        <v>5040.04</v>
      </c>
      <c r="I40">
        <v>5040.04</v>
      </c>
      <c r="J40">
        <v>5040.04</v>
      </c>
      <c r="K40">
        <v>5040.04</v>
      </c>
      <c r="L40">
        <v>5040.04</v>
      </c>
      <c r="M40">
        <v>5040.04</v>
      </c>
      <c r="N40">
        <v>5040.04</v>
      </c>
      <c r="O40">
        <v>5040.04</v>
      </c>
      <c r="P40">
        <v>5040.04</v>
      </c>
    </row>
    <row r="41" ht="13.5" customHeight="1" spans="2:16">
      <c r="B41" t="s">
        <v>734</v>
      </c>
      <c r="C41" t="s">
        <v>735</v>
      </c>
      <c r="D41">
        <v>376082.64</v>
      </c>
      <c r="E41">
        <v>31340.22</v>
      </c>
      <c r="F41">
        <v>31340.22</v>
      </c>
      <c r="G41">
        <v>31340.22</v>
      </c>
      <c r="H41">
        <v>31340.22</v>
      </c>
      <c r="I41">
        <v>31340.22</v>
      </c>
      <c r="J41">
        <v>31340.22</v>
      </c>
      <c r="K41">
        <v>31340.22</v>
      </c>
      <c r="L41">
        <v>31340.22</v>
      </c>
      <c r="M41">
        <v>31340.22</v>
      </c>
      <c r="N41">
        <v>31340.22</v>
      </c>
      <c r="O41">
        <v>31340.22</v>
      </c>
      <c r="P41">
        <v>31340.22</v>
      </c>
    </row>
    <row r="42" ht="13.5" customHeight="1" spans="2:4">
      <c r="B42" t="s">
        <v>736</v>
      </c>
      <c r="C42" t="s">
        <v>737</v>
      </c>
      <c r="D42">
        <v>0</v>
      </c>
    </row>
    <row r="43" ht="13.5" customHeight="1" spans="2:4">
      <c r="B43" t="s">
        <v>203</v>
      </c>
      <c r="C43" t="s">
        <v>738</v>
      </c>
      <c r="D43">
        <v>0</v>
      </c>
    </row>
    <row r="44" ht="13.5" customHeight="1" spans="2:16">
      <c r="B44" t="s">
        <v>739</v>
      </c>
      <c r="C44" t="s">
        <v>740</v>
      </c>
      <c r="D44">
        <v>426062.16</v>
      </c>
      <c r="E44">
        <v>35505.18</v>
      </c>
      <c r="F44">
        <v>35505.18</v>
      </c>
      <c r="G44">
        <v>35505.18</v>
      </c>
      <c r="H44">
        <v>35505.18</v>
      </c>
      <c r="I44">
        <v>35505.18</v>
      </c>
      <c r="J44">
        <v>35505.18</v>
      </c>
      <c r="K44">
        <v>35505.18</v>
      </c>
      <c r="L44">
        <v>35505.18</v>
      </c>
      <c r="M44">
        <v>35505.18</v>
      </c>
      <c r="N44">
        <v>35505.18</v>
      </c>
      <c r="O44">
        <v>35505.18</v>
      </c>
      <c r="P44">
        <v>35505.18</v>
      </c>
    </row>
    <row r="45" ht="13.5" customHeight="1" spans="2:4">
      <c r="B45" t="s">
        <v>741</v>
      </c>
      <c r="C45" t="s">
        <v>741</v>
      </c>
      <c r="D45">
        <v>0</v>
      </c>
    </row>
    <row r="46" ht="13.5" customHeight="1" spans="2:4">
      <c r="B46" t="s">
        <v>742</v>
      </c>
      <c r="C46" t="s">
        <v>742</v>
      </c>
      <c r="D46">
        <v>0</v>
      </c>
    </row>
    <row r="47" ht="13.5" customHeight="1" spans="2:4">
      <c r="B47" t="s">
        <v>743</v>
      </c>
      <c r="C47" t="s">
        <v>743</v>
      </c>
      <c r="D47">
        <v>0</v>
      </c>
    </row>
    <row r="48" ht="13.5" customHeight="1" spans="2:4">
      <c r="B48" t="s">
        <v>744</v>
      </c>
      <c r="C48" t="s">
        <v>744</v>
      </c>
      <c r="D48">
        <v>0</v>
      </c>
    </row>
    <row r="49" ht="13.5" customHeight="1" spans="2:4">
      <c r="B49" t="s">
        <v>739</v>
      </c>
      <c r="C49" t="s">
        <v>739</v>
      </c>
      <c r="D49">
        <v>0</v>
      </c>
    </row>
    <row r="50" ht="13.5" customHeight="1" spans="2:16">
      <c r="B50" t="s">
        <v>745</v>
      </c>
      <c r="D50">
        <v>974345.28</v>
      </c>
      <c r="E50">
        <v>81195.44</v>
      </c>
      <c r="F50">
        <v>81195.44</v>
      </c>
      <c r="G50">
        <v>81195.44</v>
      </c>
      <c r="H50">
        <v>81195.44</v>
      </c>
      <c r="I50">
        <v>81195.44</v>
      </c>
      <c r="J50">
        <v>81195.44</v>
      </c>
      <c r="K50">
        <v>81195.44</v>
      </c>
      <c r="L50">
        <v>81195.44</v>
      </c>
      <c r="M50">
        <v>81195.44</v>
      </c>
      <c r="N50">
        <v>81195.44</v>
      </c>
      <c r="O50">
        <v>81195.44</v>
      </c>
      <c r="P50">
        <v>81195.44</v>
      </c>
    </row>
    <row r="52" ht="13.5" customHeight="1" spans="2:2">
      <c r="B52" t="s">
        <v>748</v>
      </c>
    </row>
    <row r="53" ht="13.5"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ht="13.5" customHeight="1" spans="2:16">
      <c r="B54" t="s">
        <v>731</v>
      </c>
      <c r="C54" t="s">
        <v>732</v>
      </c>
      <c r="D54">
        <v>19752.4</v>
      </c>
      <c r="P54">
        <v>19752.4</v>
      </c>
    </row>
    <row r="55" ht="13.5" customHeight="1" spans="2:4">
      <c r="B55" t="s">
        <v>195</v>
      </c>
      <c r="C55" t="s">
        <v>733</v>
      </c>
      <c r="D55">
        <v>0</v>
      </c>
    </row>
    <row r="56" ht="13.5" customHeight="1" spans="2:4">
      <c r="B56" t="s">
        <v>734</v>
      </c>
      <c r="C56" t="s">
        <v>735</v>
      </c>
      <c r="D56">
        <v>0</v>
      </c>
    </row>
    <row r="57" ht="13.5" customHeight="1" spans="2:4">
      <c r="B57" t="s">
        <v>736</v>
      </c>
      <c r="C57" t="s">
        <v>737</v>
      </c>
      <c r="D57">
        <v>0</v>
      </c>
    </row>
    <row r="58" ht="13.5" customHeight="1" spans="2:4">
      <c r="B58" t="s">
        <v>203</v>
      </c>
      <c r="C58" t="s">
        <v>738</v>
      </c>
      <c r="D58">
        <v>0</v>
      </c>
    </row>
    <row r="59" ht="13.5" customHeight="1" spans="2:4">
      <c r="B59" t="s">
        <v>739</v>
      </c>
      <c r="C59" t="s">
        <v>740</v>
      </c>
      <c r="D59">
        <v>0</v>
      </c>
    </row>
    <row r="60" ht="13.5" customHeight="1" spans="2:4">
      <c r="B60" t="s">
        <v>741</v>
      </c>
      <c r="C60" t="s">
        <v>741</v>
      </c>
      <c r="D60">
        <v>0</v>
      </c>
    </row>
    <row r="61" ht="13.5" customHeight="1" spans="2:4">
      <c r="B61" t="s">
        <v>742</v>
      </c>
      <c r="C61" t="s">
        <v>742</v>
      </c>
      <c r="D61">
        <v>0</v>
      </c>
    </row>
    <row r="62" ht="13.5" customHeight="1" spans="2:4">
      <c r="B62" t="s">
        <v>743</v>
      </c>
      <c r="C62" t="s">
        <v>743</v>
      </c>
      <c r="D62">
        <v>0</v>
      </c>
    </row>
    <row r="63" ht="13.5" customHeight="1" spans="2:4">
      <c r="B63" t="s">
        <v>744</v>
      </c>
      <c r="C63" t="s">
        <v>744</v>
      </c>
      <c r="D63">
        <v>0</v>
      </c>
    </row>
    <row r="64" ht="13.5" customHeight="1" spans="2:4">
      <c r="B64" t="s">
        <v>739</v>
      </c>
      <c r="C64" t="s">
        <v>739</v>
      </c>
      <c r="D64">
        <v>0</v>
      </c>
    </row>
    <row r="65" ht="13.5" customHeight="1" spans="2:16">
      <c r="B65" t="s">
        <v>745</v>
      </c>
      <c r="D65">
        <v>19752.4</v>
      </c>
      <c r="E65">
        <v>0</v>
      </c>
      <c r="F65">
        <v>0</v>
      </c>
      <c r="G65">
        <v>0</v>
      </c>
      <c r="H65">
        <v>0</v>
      </c>
      <c r="I65">
        <v>0</v>
      </c>
      <c r="J65">
        <v>0</v>
      </c>
      <c r="K65">
        <v>0</v>
      </c>
      <c r="L65">
        <v>0</v>
      </c>
      <c r="M65">
        <v>0</v>
      </c>
      <c r="N65">
        <v>0</v>
      </c>
      <c r="O65">
        <v>0</v>
      </c>
      <c r="P65">
        <v>19752.4</v>
      </c>
    </row>
    <row r="67" ht="13.5" customHeight="1" spans="2:2">
      <c r="B67" t="s">
        <v>749</v>
      </c>
    </row>
    <row r="68" ht="13.5"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731</v>
      </c>
      <c r="C69" t="s">
        <v>732</v>
      </c>
      <c r="D69">
        <v>16723.2</v>
      </c>
      <c r="E69">
        <v>1393.6</v>
      </c>
      <c r="F69">
        <v>1393.6</v>
      </c>
      <c r="G69">
        <v>1393.6</v>
      </c>
      <c r="H69">
        <v>1393.6</v>
      </c>
      <c r="I69">
        <v>1393.6</v>
      </c>
      <c r="J69">
        <v>1393.6</v>
      </c>
      <c r="K69">
        <v>1393.6</v>
      </c>
      <c r="L69">
        <v>1393.6</v>
      </c>
      <c r="M69">
        <v>1393.6</v>
      </c>
      <c r="N69">
        <v>1393.6</v>
      </c>
      <c r="O69">
        <v>1393.6</v>
      </c>
      <c r="P69">
        <v>1393.6</v>
      </c>
    </row>
    <row r="70" ht="13.5" customHeight="1" spans="2:16">
      <c r="B70" t="s">
        <v>195</v>
      </c>
      <c r="C70" t="s">
        <v>733</v>
      </c>
      <c r="D70">
        <v>8424.24</v>
      </c>
      <c r="E70">
        <v>702.02</v>
      </c>
      <c r="F70">
        <v>702.02</v>
      </c>
      <c r="G70">
        <v>702.02</v>
      </c>
      <c r="H70">
        <v>702.02</v>
      </c>
      <c r="I70">
        <v>702.02</v>
      </c>
      <c r="J70">
        <v>702.02</v>
      </c>
      <c r="K70">
        <v>702.02</v>
      </c>
      <c r="L70">
        <v>702.02</v>
      </c>
      <c r="M70">
        <v>702.02</v>
      </c>
      <c r="N70">
        <v>702.02</v>
      </c>
      <c r="O70">
        <v>702.02</v>
      </c>
      <c r="P70">
        <v>702.02</v>
      </c>
    </row>
    <row r="71" ht="13.5" customHeight="1" spans="2:16">
      <c r="B71" t="s">
        <v>734</v>
      </c>
      <c r="C71" t="s">
        <v>735</v>
      </c>
      <c r="D71">
        <v>50545.44</v>
      </c>
      <c r="E71">
        <v>4212.12</v>
      </c>
      <c r="F71">
        <v>4212.12</v>
      </c>
      <c r="G71">
        <v>4212.12</v>
      </c>
      <c r="H71">
        <v>4212.12</v>
      </c>
      <c r="I71">
        <v>4212.12</v>
      </c>
      <c r="J71">
        <v>4212.12</v>
      </c>
      <c r="K71">
        <v>4212.12</v>
      </c>
      <c r="L71">
        <v>4212.12</v>
      </c>
      <c r="M71">
        <v>4212.12</v>
      </c>
      <c r="N71">
        <v>4212.12</v>
      </c>
      <c r="O71">
        <v>4212.12</v>
      </c>
      <c r="P71">
        <v>4212.12</v>
      </c>
    </row>
    <row r="72" ht="13.5" customHeight="1" spans="2:4">
      <c r="B72" t="s">
        <v>736</v>
      </c>
      <c r="C72" t="s">
        <v>737</v>
      </c>
      <c r="D72">
        <v>0</v>
      </c>
    </row>
    <row r="73" ht="13.5" customHeight="1" spans="2:4">
      <c r="B73" t="s">
        <v>203</v>
      </c>
      <c r="C73" t="s">
        <v>738</v>
      </c>
      <c r="D73">
        <v>0</v>
      </c>
    </row>
    <row r="74" ht="13.5" customHeight="1" spans="2:16">
      <c r="B74" t="s">
        <v>739</v>
      </c>
      <c r="C74" t="s">
        <v>740</v>
      </c>
      <c r="D74">
        <v>50545.44</v>
      </c>
      <c r="E74">
        <v>4212.12</v>
      </c>
      <c r="F74">
        <v>4212.12</v>
      </c>
      <c r="G74">
        <v>4212.12</v>
      </c>
      <c r="H74">
        <v>4212.12</v>
      </c>
      <c r="I74">
        <v>4212.12</v>
      </c>
      <c r="J74">
        <v>4212.12</v>
      </c>
      <c r="K74">
        <v>4212.12</v>
      </c>
      <c r="L74">
        <v>4212.12</v>
      </c>
      <c r="M74">
        <v>4212.12</v>
      </c>
      <c r="N74">
        <v>4212.12</v>
      </c>
      <c r="O74">
        <v>4212.12</v>
      </c>
      <c r="P74">
        <v>4212.12</v>
      </c>
    </row>
    <row r="75" ht="13.5" customHeight="1" spans="2:4">
      <c r="B75" t="s">
        <v>741</v>
      </c>
      <c r="C75" t="s">
        <v>741</v>
      </c>
      <c r="D75">
        <v>0</v>
      </c>
    </row>
    <row r="76" ht="13.5" customHeight="1" spans="2:4">
      <c r="B76" t="s">
        <v>742</v>
      </c>
      <c r="C76" t="s">
        <v>742</v>
      </c>
      <c r="D76">
        <v>0</v>
      </c>
    </row>
    <row r="77" ht="13.5" customHeight="1" spans="2:4">
      <c r="B77" t="s">
        <v>743</v>
      </c>
      <c r="C77" t="s">
        <v>743</v>
      </c>
      <c r="D77">
        <v>0</v>
      </c>
    </row>
    <row r="78" ht="13.5" customHeight="1" spans="2:4">
      <c r="B78" t="s">
        <v>744</v>
      </c>
      <c r="C78" t="s">
        <v>744</v>
      </c>
      <c r="D78">
        <v>0</v>
      </c>
    </row>
    <row r="79" ht="13.5" customHeight="1" spans="2:4">
      <c r="B79" t="s">
        <v>739</v>
      </c>
      <c r="C79" t="s">
        <v>739</v>
      </c>
      <c r="D79">
        <v>0</v>
      </c>
    </row>
    <row r="80" ht="13.5" customHeight="1" spans="2:16">
      <c r="B80" t="s">
        <v>745</v>
      </c>
      <c r="D80">
        <v>126238.32</v>
      </c>
      <c r="E80">
        <v>10519.86</v>
      </c>
      <c r="F80">
        <v>10519.86</v>
      </c>
      <c r="G80">
        <v>10519.86</v>
      </c>
      <c r="H80">
        <v>10519.86</v>
      </c>
      <c r="I80">
        <v>10519.86</v>
      </c>
      <c r="J80">
        <v>10519.86</v>
      </c>
      <c r="K80">
        <v>10519.86</v>
      </c>
      <c r="L80">
        <v>10519.86</v>
      </c>
      <c r="M80">
        <v>10519.86</v>
      </c>
      <c r="N80">
        <v>10519.86</v>
      </c>
      <c r="O80">
        <v>10519.86</v>
      </c>
      <c r="P80">
        <v>10519.86</v>
      </c>
    </row>
    <row r="82" ht="13.5" customHeight="1" spans="2:2">
      <c r="B82" t="s">
        <v>750</v>
      </c>
    </row>
    <row r="83" ht="13.5"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731</v>
      </c>
      <c r="C84" t="s">
        <v>732</v>
      </c>
      <c r="D84">
        <v>10033.92</v>
      </c>
      <c r="E84">
        <v>836.16</v>
      </c>
      <c r="F84">
        <v>836.16</v>
      </c>
      <c r="G84">
        <v>836.16</v>
      </c>
      <c r="H84">
        <v>836.16</v>
      </c>
      <c r="I84">
        <v>836.16</v>
      </c>
      <c r="J84">
        <v>836.16</v>
      </c>
      <c r="K84">
        <v>836.16</v>
      </c>
      <c r="L84">
        <v>836.16</v>
      </c>
      <c r="M84">
        <v>836.16</v>
      </c>
      <c r="N84">
        <v>836.16</v>
      </c>
      <c r="O84">
        <v>836.16</v>
      </c>
      <c r="P84">
        <v>836.16</v>
      </c>
    </row>
    <row r="85" ht="13.5" customHeight="1" spans="2:16">
      <c r="B85" t="s">
        <v>195</v>
      </c>
      <c r="C85" t="s">
        <v>733</v>
      </c>
      <c r="D85">
        <v>1416</v>
      </c>
      <c r="E85">
        <v>118</v>
      </c>
      <c r="F85">
        <v>118</v>
      </c>
      <c r="G85">
        <v>118</v>
      </c>
      <c r="H85">
        <v>118</v>
      </c>
      <c r="I85">
        <v>118</v>
      </c>
      <c r="J85">
        <v>118</v>
      </c>
      <c r="K85">
        <v>118</v>
      </c>
      <c r="L85">
        <v>118</v>
      </c>
      <c r="M85">
        <v>118</v>
      </c>
      <c r="N85">
        <v>118</v>
      </c>
      <c r="O85">
        <v>118</v>
      </c>
      <c r="P85">
        <v>118</v>
      </c>
    </row>
    <row r="86" ht="13.5" customHeight="1" spans="2:16">
      <c r="B86" t="s">
        <v>734</v>
      </c>
      <c r="C86" t="s">
        <v>735</v>
      </c>
      <c r="D86">
        <v>8496</v>
      </c>
      <c r="E86">
        <v>708</v>
      </c>
      <c r="F86">
        <v>708</v>
      </c>
      <c r="G86">
        <v>708</v>
      </c>
      <c r="H86">
        <v>708</v>
      </c>
      <c r="I86">
        <v>708</v>
      </c>
      <c r="J86">
        <v>708</v>
      </c>
      <c r="K86">
        <v>708</v>
      </c>
      <c r="L86">
        <v>708</v>
      </c>
      <c r="M86">
        <v>708</v>
      </c>
      <c r="N86">
        <v>708</v>
      </c>
      <c r="O86">
        <v>708</v>
      </c>
      <c r="P86">
        <v>708</v>
      </c>
    </row>
    <row r="87" ht="13.5" customHeight="1" spans="2:4">
      <c r="B87" t="s">
        <v>736</v>
      </c>
      <c r="C87" t="s">
        <v>737</v>
      </c>
      <c r="D87">
        <v>0</v>
      </c>
    </row>
    <row r="88" ht="13.5" customHeight="1" spans="2:4">
      <c r="B88" t="s">
        <v>203</v>
      </c>
      <c r="C88" t="s">
        <v>738</v>
      </c>
      <c r="D88">
        <v>0</v>
      </c>
    </row>
    <row r="89" ht="13.5" customHeight="1" spans="2:16">
      <c r="B89" t="s">
        <v>739</v>
      </c>
      <c r="C89" t="s">
        <v>740</v>
      </c>
      <c r="D89">
        <v>8496</v>
      </c>
      <c r="E89">
        <v>708</v>
      </c>
      <c r="F89">
        <v>708</v>
      </c>
      <c r="G89">
        <v>708</v>
      </c>
      <c r="H89">
        <v>708</v>
      </c>
      <c r="I89">
        <v>708</v>
      </c>
      <c r="J89">
        <v>708</v>
      </c>
      <c r="K89">
        <v>708</v>
      </c>
      <c r="L89">
        <v>708</v>
      </c>
      <c r="M89">
        <v>708</v>
      </c>
      <c r="N89">
        <v>708</v>
      </c>
      <c r="O89">
        <v>708</v>
      </c>
      <c r="P89">
        <v>708</v>
      </c>
    </row>
    <row r="90" ht="13.5" customHeight="1" spans="2:4">
      <c r="B90" t="s">
        <v>741</v>
      </c>
      <c r="C90" t="s">
        <v>741</v>
      </c>
      <c r="D90">
        <v>0</v>
      </c>
    </row>
    <row r="91" ht="13.5" customHeight="1" spans="2:4">
      <c r="B91" t="s">
        <v>742</v>
      </c>
      <c r="C91" t="s">
        <v>742</v>
      </c>
      <c r="D91">
        <v>0</v>
      </c>
    </row>
    <row r="92" ht="13.5" customHeight="1" spans="2:4">
      <c r="B92" t="s">
        <v>743</v>
      </c>
      <c r="C92" t="s">
        <v>743</v>
      </c>
      <c r="D92">
        <v>0</v>
      </c>
    </row>
    <row r="93" ht="13.5" customHeight="1" spans="2:4">
      <c r="B93" t="s">
        <v>744</v>
      </c>
      <c r="C93" t="s">
        <v>744</v>
      </c>
      <c r="D93">
        <v>0</v>
      </c>
    </row>
    <row r="94" ht="13.5" customHeight="1" spans="2:4">
      <c r="B94" t="s">
        <v>739</v>
      </c>
      <c r="C94" t="s">
        <v>739</v>
      </c>
      <c r="D94">
        <v>0</v>
      </c>
    </row>
    <row r="95" ht="13.5" customHeight="1" spans="2:16">
      <c r="B95" t="s">
        <v>745</v>
      </c>
      <c r="D95">
        <v>28441.92</v>
      </c>
      <c r="E95">
        <v>2370.16</v>
      </c>
      <c r="F95">
        <v>2370.16</v>
      </c>
      <c r="G95">
        <v>2370.16</v>
      </c>
      <c r="H95">
        <v>2370.16</v>
      </c>
      <c r="I95">
        <v>2370.16</v>
      </c>
      <c r="J95">
        <v>2370.16</v>
      </c>
      <c r="K95">
        <v>2370.16</v>
      </c>
      <c r="L95">
        <v>2370.16</v>
      </c>
      <c r="M95">
        <v>2370.16</v>
      </c>
      <c r="N95">
        <v>2370.16</v>
      </c>
      <c r="O95">
        <v>2370.16</v>
      </c>
      <c r="P95">
        <v>2370.16</v>
      </c>
    </row>
    <row r="97" ht="13.5" customHeight="1" spans="2:2">
      <c r="B97" t="s">
        <v>751</v>
      </c>
    </row>
    <row r="98" ht="13.5"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731</v>
      </c>
      <c r="C99" t="s">
        <v>732</v>
      </c>
      <c r="D99">
        <v>1200</v>
      </c>
      <c r="E99">
        <v>100</v>
      </c>
      <c r="F99">
        <v>100</v>
      </c>
      <c r="G99">
        <v>100</v>
      </c>
      <c r="H99">
        <v>100</v>
      </c>
      <c r="I99">
        <v>100</v>
      </c>
      <c r="J99">
        <v>100</v>
      </c>
      <c r="K99">
        <v>100</v>
      </c>
      <c r="L99">
        <v>100</v>
      </c>
      <c r="M99">
        <v>100</v>
      </c>
      <c r="N99">
        <v>100</v>
      </c>
      <c r="O99">
        <v>100</v>
      </c>
      <c r="P99">
        <v>100</v>
      </c>
    </row>
    <row r="100" ht="13.5" customHeight="1" spans="2:16">
      <c r="B100" t="s">
        <v>195</v>
      </c>
      <c r="C100" t="s">
        <v>733</v>
      </c>
      <c r="D100">
        <v>408</v>
      </c>
      <c r="E100">
        <v>34</v>
      </c>
      <c r="F100">
        <v>34</v>
      </c>
      <c r="G100">
        <v>34</v>
      </c>
      <c r="H100">
        <v>34</v>
      </c>
      <c r="I100">
        <v>34</v>
      </c>
      <c r="J100">
        <v>34</v>
      </c>
      <c r="K100">
        <v>34</v>
      </c>
      <c r="L100">
        <v>34</v>
      </c>
      <c r="M100">
        <v>34</v>
      </c>
      <c r="N100">
        <v>34</v>
      </c>
      <c r="O100">
        <v>34</v>
      </c>
      <c r="P100">
        <v>34</v>
      </c>
    </row>
    <row r="101" ht="13.5" customHeight="1" spans="2:16">
      <c r="B101" t="s">
        <v>734</v>
      </c>
      <c r="C101" t="s">
        <v>735</v>
      </c>
      <c r="D101">
        <v>2448</v>
      </c>
      <c r="E101">
        <v>204</v>
      </c>
      <c r="F101">
        <v>204</v>
      </c>
      <c r="G101">
        <v>204</v>
      </c>
      <c r="H101">
        <v>204</v>
      </c>
      <c r="I101">
        <v>204</v>
      </c>
      <c r="J101">
        <v>204</v>
      </c>
      <c r="K101">
        <v>204</v>
      </c>
      <c r="L101">
        <v>204</v>
      </c>
      <c r="M101">
        <v>204</v>
      </c>
      <c r="N101">
        <v>204</v>
      </c>
      <c r="O101">
        <v>204</v>
      </c>
      <c r="P101">
        <v>204</v>
      </c>
    </row>
    <row r="102" ht="13.5" customHeight="1" spans="2:4">
      <c r="B102" t="s">
        <v>736</v>
      </c>
      <c r="C102" t="s">
        <v>737</v>
      </c>
      <c r="D102">
        <v>0</v>
      </c>
    </row>
    <row r="103" ht="13.5" customHeight="1" spans="2:4">
      <c r="B103" t="s">
        <v>203</v>
      </c>
      <c r="C103" t="s">
        <v>738</v>
      </c>
      <c r="D103">
        <v>0</v>
      </c>
    </row>
    <row r="104" ht="13.5" customHeight="1" spans="2:16">
      <c r="B104" t="s">
        <v>739</v>
      </c>
      <c r="C104" t="s">
        <v>740</v>
      </c>
      <c r="D104">
        <v>2448</v>
      </c>
      <c r="E104">
        <v>204</v>
      </c>
      <c r="F104">
        <v>204</v>
      </c>
      <c r="G104">
        <v>204</v>
      </c>
      <c r="H104">
        <v>204</v>
      </c>
      <c r="I104">
        <v>204</v>
      </c>
      <c r="J104">
        <v>204</v>
      </c>
      <c r="K104">
        <v>204</v>
      </c>
      <c r="L104">
        <v>204</v>
      </c>
      <c r="M104">
        <v>204</v>
      </c>
      <c r="N104">
        <v>204</v>
      </c>
      <c r="O104">
        <v>204</v>
      </c>
      <c r="P104">
        <v>204</v>
      </c>
    </row>
    <row r="105" ht="13.5" customHeight="1" spans="2:4">
      <c r="B105" t="s">
        <v>741</v>
      </c>
      <c r="C105" t="s">
        <v>741</v>
      </c>
      <c r="D105">
        <v>0</v>
      </c>
    </row>
    <row r="106" ht="13.5" customHeight="1" spans="2:4">
      <c r="B106" t="s">
        <v>742</v>
      </c>
      <c r="C106" t="s">
        <v>742</v>
      </c>
      <c r="D106">
        <v>0</v>
      </c>
    </row>
    <row r="107" ht="13.5" customHeight="1" spans="2:4">
      <c r="B107" t="s">
        <v>743</v>
      </c>
      <c r="C107" t="s">
        <v>743</v>
      </c>
      <c r="D107">
        <v>0</v>
      </c>
    </row>
    <row r="108" ht="13.5" customHeight="1" spans="2:4">
      <c r="B108" t="s">
        <v>744</v>
      </c>
      <c r="C108" t="s">
        <v>744</v>
      </c>
      <c r="D108">
        <v>0</v>
      </c>
    </row>
    <row r="109" ht="13.5" customHeight="1" spans="2:4">
      <c r="B109" t="s">
        <v>739</v>
      </c>
      <c r="C109" t="s">
        <v>739</v>
      </c>
      <c r="D109">
        <v>0</v>
      </c>
    </row>
    <row r="110" ht="13.5" customHeight="1" spans="2:16">
      <c r="B110" t="s">
        <v>745</v>
      </c>
      <c r="D110">
        <v>6504</v>
      </c>
      <c r="E110">
        <v>542</v>
      </c>
      <c r="F110">
        <v>542</v>
      </c>
      <c r="G110">
        <v>542</v>
      </c>
      <c r="H110">
        <v>542</v>
      </c>
      <c r="I110">
        <v>542</v>
      </c>
      <c r="J110">
        <v>542</v>
      </c>
      <c r="K110">
        <v>542</v>
      </c>
      <c r="L110">
        <v>542</v>
      </c>
      <c r="M110">
        <v>542</v>
      </c>
      <c r="N110">
        <v>542</v>
      </c>
      <c r="O110">
        <v>542</v>
      </c>
      <c r="P110">
        <v>542</v>
      </c>
    </row>
    <row r="112" ht="13.5" customHeight="1" spans="2:2">
      <c r="B112" t="s">
        <v>752</v>
      </c>
    </row>
    <row r="113" ht="13.5"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5">
      <c r="B114" t="s">
        <v>731</v>
      </c>
      <c r="C114" t="s">
        <v>732</v>
      </c>
      <c r="D114">
        <v>297.48</v>
      </c>
      <c r="E114">
        <v>297.48</v>
      </c>
    </row>
    <row r="115" ht="13.5" customHeight="1" spans="2:5">
      <c r="B115" t="s">
        <v>195</v>
      </c>
      <c r="C115" t="s">
        <v>733</v>
      </c>
      <c r="D115">
        <v>297.48</v>
      </c>
      <c r="E115">
        <v>297.48</v>
      </c>
    </row>
    <row r="116" ht="13.5" customHeight="1" spans="2:5">
      <c r="B116" t="s">
        <v>734</v>
      </c>
      <c r="C116" t="s">
        <v>735</v>
      </c>
      <c r="D116">
        <v>1784.88</v>
      </c>
      <c r="E116">
        <v>1784.88</v>
      </c>
    </row>
    <row r="117" ht="13.5" customHeight="1" spans="2:4">
      <c r="B117" t="s">
        <v>736</v>
      </c>
      <c r="C117" t="s">
        <v>737</v>
      </c>
      <c r="D117">
        <v>0</v>
      </c>
    </row>
    <row r="118" ht="13.5" customHeight="1" spans="2:4">
      <c r="B118" t="s">
        <v>203</v>
      </c>
      <c r="C118" t="s">
        <v>738</v>
      </c>
      <c r="D118">
        <v>0</v>
      </c>
    </row>
    <row r="119" ht="13.5" customHeight="1" spans="2:5">
      <c r="B119" t="s">
        <v>739</v>
      </c>
      <c r="C119" t="s">
        <v>740</v>
      </c>
      <c r="D119">
        <v>1784.88</v>
      </c>
      <c r="E119">
        <v>1784.88</v>
      </c>
    </row>
    <row r="120" ht="13.5" customHeight="1" spans="2:4">
      <c r="B120" t="s">
        <v>741</v>
      </c>
      <c r="C120" t="s">
        <v>741</v>
      </c>
      <c r="D120">
        <v>0</v>
      </c>
    </row>
    <row r="121" ht="13.5" customHeight="1" spans="2:4">
      <c r="B121" t="s">
        <v>742</v>
      </c>
      <c r="C121" t="s">
        <v>742</v>
      </c>
      <c r="D121">
        <v>0</v>
      </c>
    </row>
    <row r="122" ht="13.5" customHeight="1" spans="2:4">
      <c r="B122" t="s">
        <v>743</v>
      </c>
      <c r="C122" t="s">
        <v>743</v>
      </c>
      <c r="D122">
        <v>0</v>
      </c>
    </row>
    <row r="123" ht="13.5" customHeight="1" spans="2:4">
      <c r="B123" t="s">
        <v>744</v>
      </c>
      <c r="C123" t="s">
        <v>744</v>
      </c>
      <c r="D123">
        <v>0</v>
      </c>
    </row>
    <row r="124" ht="13.5" customHeight="1" spans="2:4">
      <c r="B124" t="s">
        <v>739</v>
      </c>
      <c r="C124" t="s">
        <v>739</v>
      </c>
      <c r="D124">
        <v>0</v>
      </c>
    </row>
    <row r="125" ht="13.5" customHeight="1" spans="2:16">
      <c r="B125" t="s">
        <v>745</v>
      </c>
      <c r="D125">
        <v>4164.72</v>
      </c>
      <c r="E125">
        <v>4164.72</v>
      </c>
      <c r="F125">
        <v>0</v>
      </c>
      <c r="G125">
        <v>0</v>
      </c>
      <c r="H125">
        <v>0</v>
      </c>
      <c r="I125">
        <v>0</v>
      </c>
      <c r="J125">
        <v>0</v>
      </c>
      <c r="K125">
        <v>0</v>
      </c>
      <c r="L125">
        <v>0</v>
      </c>
      <c r="M125">
        <v>0</v>
      </c>
      <c r="N125">
        <v>0</v>
      </c>
      <c r="O125">
        <v>0</v>
      </c>
      <c r="P125">
        <v>0</v>
      </c>
    </row>
    <row r="127" ht="13.5" customHeight="1" spans="2:2">
      <c r="B127" t="s">
        <v>753</v>
      </c>
    </row>
    <row r="128" ht="13.5"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4">
      <c r="B129" t="s">
        <v>731</v>
      </c>
      <c r="C129" t="s">
        <v>732</v>
      </c>
      <c r="D129">
        <v>0</v>
      </c>
    </row>
    <row r="130" ht="13.5" customHeight="1" spans="2:4">
      <c r="B130" t="s">
        <v>195</v>
      </c>
      <c r="C130" t="s">
        <v>733</v>
      </c>
      <c r="D130">
        <v>0</v>
      </c>
    </row>
    <row r="131" ht="13.5" customHeight="1" spans="2:4">
      <c r="B131" t="s">
        <v>734</v>
      </c>
      <c r="C131" t="s">
        <v>735</v>
      </c>
      <c r="D131">
        <v>0</v>
      </c>
    </row>
    <row r="132" ht="13.5" customHeight="1" spans="2:4">
      <c r="B132" t="s">
        <v>736</v>
      </c>
      <c r="C132" t="s">
        <v>737</v>
      </c>
      <c r="D132">
        <v>0</v>
      </c>
    </row>
    <row r="133" ht="13.5" customHeight="1" spans="2:4">
      <c r="B133" t="s">
        <v>203</v>
      </c>
      <c r="C133" t="s">
        <v>738</v>
      </c>
      <c r="D133">
        <v>0</v>
      </c>
    </row>
    <row r="134" ht="13.5" customHeight="1" spans="2:4">
      <c r="B134" t="s">
        <v>739</v>
      </c>
      <c r="C134" t="s">
        <v>740</v>
      </c>
      <c r="D134">
        <v>0</v>
      </c>
    </row>
    <row r="135" ht="13.5" customHeight="1" spans="2:4">
      <c r="B135" t="s">
        <v>741</v>
      </c>
      <c r="C135" t="s">
        <v>741</v>
      </c>
      <c r="D135">
        <v>0</v>
      </c>
    </row>
    <row r="136" ht="13.5" customHeight="1" spans="2:4">
      <c r="B136" t="s">
        <v>742</v>
      </c>
      <c r="C136" t="s">
        <v>742</v>
      </c>
      <c r="D136">
        <v>0</v>
      </c>
    </row>
    <row r="137" ht="13.5" customHeight="1" spans="2:4">
      <c r="B137" t="s">
        <v>743</v>
      </c>
      <c r="C137" t="s">
        <v>743</v>
      </c>
      <c r="D137">
        <v>0</v>
      </c>
    </row>
    <row r="138" ht="13.5" customHeight="1" spans="2:4">
      <c r="B138" t="s">
        <v>744</v>
      </c>
      <c r="C138" t="s">
        <v>744</v>
      </c>
      <c r="D138">
        <v>0</v>
      </c>
    </row>
    <row r="139" ht="13.5" customHeight="1" spans="2:4">
      <c r="B139" t="s">
        <v>739</v>
      </c>
      <c r="C139" t="s">
        <v>739</v>
      </c>
      <c r="D139">
        <v>0</v>
      </c>
    </row>
    <row r="140" ht="13.5" customHeight="1" spans="2:16">
      <c r="B140" t="s">
        <v>745</v>
      </c>
      <c r="D140">
        <v>0</v>
      </c>
      <c r="E140">
        <v>0</v>
      </c>
      <c r="F140">
        <v>0</v>
      </c>
      <c r="G140">
        <v>0</v>
      </c>
      <c r="H140">
        <v>0</v>
      </c>
      <c r="I140">
        <v>0</v>
      </c>
      <c r="J140">
        <v>0</v>
      </c>
      <c r="K140">
        <v>0</v>
      </c>
      <c r="L140">
        <v>0</v>
      </c>
      <c r="M140">
        <v>0</v>
      </c>
      <c r="N140">
        <v>0</v>
      </c>
      <c r="O140">
        <v>0</v>
      </c>
      <c r="P140">
        <v>0</v>
      </c>
    </row>
    <row r="142" ht="13.5" customHeight="1" spans="2:2">
      <c r="B142" t="s">
        <v>754</v>
      </c>
    </row>
    <row r="143" ht="13.5"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731</v>
      </c>
      <c r="C144" t="s">
        <v>732</v>
      </c>
      <c r="D144">
        <v>0</v>
      </c>
    </row>
    <row r="145" ht="13.5" customHeight="1" spans="2:4">
      <c r="B145" t="s">
        <v>195</v>
      </c>
      <c r="C145" t="s">
        <v>733</v>
      </c>
      <c r="D145">
        <v>0</v>
      </c>
    </row>
    <row r="146" ht="13.5" customHeight="1" spans="2:4">
      <c r="B146" t="s">
        <v>734</v>
      </c>
      <c r="C146" t="s">
        <v>735</v>
      </c>
      <c r="D146">
        <v>0</v>
      </c>
    </row>
    <row r="147" ht="13.5" customHeight="1" spans="2:4">
      <c r="B147" t="s">
        <v>736</v>
      </c>
      <c r="C147" t="s">
        <v>737</v>
      </c>
      <c r="D147">
        <v>0</v>
      </c>
    </row>
    <row r="148" ht="13.5" customHeight="1" spans="2:4">
      <c r="B148" t="s">
        <v>203</v>
      </c>
      <c r="C148" t="s">
        <v>738</v>
      </c>
      <c r="D148">
        <v>0</v>
      </c>
    </row>
    <row r="149" ht="13.5" customHeight="1" spans="2:4">
      <c r="B149" t="s">
        <v>739</v>
      </c>
      <c r="C149" t="s">
        <v>740</v>
      </c>
      <c r="D149">
        <v>0</v>
      </c>
    </row>
    <row r="150" ht="13.5" customHeight="1" spans="2:4">
      <c r="B150" t="s">
        <v>741</v>
      </c>
      <c r="C150" t="s">
        <v>741</v>
      </c>
      <c r="D150">
        <v>0</v>
      </c>
    </row>
    <row r="151" ht="13.5" customHeight="1" spans="2:4">
      <c r="B151" t="s">
        <v>742</v>
      </c>
      <c r="C151" t="s">
        <v>742</v>
      </c>
      <c r="D151">
        <v>0</v>
      </c>
    </row>
    <row r="152" ht="13.5" customHeight="1" spans="2:4">
      <c r="B152" t="s">
        <v>743</v>
      </c>
      <c r="C152" t="s">
        <v>743</v>
      </c>
      <c r="D152">
        <v>0</v>
      </c>
    </row>
    <row r="153" ht="13.5" customHeight="1" spans="2:4">
      <c r="B153" t="s">
        <v>744</v>
      </c>
      <c r="C153" t="s">
        <v>744</v>
      </c>
      <c r="D153">
        <v>0</v>
      </c>
    </row>
    <row r="154" ht="13.5" customHeight="1" spans="2:4">
      <c r="B154" t="s">
        <v>739</v>
      </c>
      <c r="C154" t="s">
        <v>739</v>
      </c>
      <c r="D154">
        <v>0</v>
      </c>
    </row>
    <row r="155" ht="13.5" customHeight="1" spans="2:16">
      <c r="B155" t="s">
        <v>745</v>
      </c>
      <c r="D155">
        <v>0</v>
      </c>
      <c r="E155">
        <v>0</v>
      </c>
      <c r="F155">
        <v>0</v>
      </c>
      <c r="G155">
        <v>0</v>
      </c>
      <c r="H155">
        <v>0</v>
      </c>
      <c r="I155">
        <v>0</v>
      </c>
      <c r="J155">
        <v>0</v>
      </c>
      <c r="K155">
        <v>0</v>
      </c>
      <c r="L155">
        <v>0</v>
      </c>
      <c r="M155">
        <v>0</v>
      </c>
      <c r="N155">
        <v>0</v>
      </c>
      <c r="O155">
        <v>0</v>
      </c>
      <c r="P155">
        <v>0</v>
      </c>
    </row>
    <row r="157" ht="13.5" customHeight="1" spans="2:2">
      <c r="B157" t="s">
        <v>755</v>
      </c>
    </row>
    <row r="158" ht="13.5"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731</v>
      </c>
      <c r="C159" t="s">
        <v>732</v>
      </c>
      <c r="D159">
        <v>0</v>
      </c>
    </row>
    <row r="160" ht="13.5" customHeight="1" spans="2:4">
      <c r="B160" t="s">
        <v>195</v>
      </c>
      <c r="C160" t="s">
        <v>733</v>
      </c>
      <c r="D160">
        <v>0</v>
      </c>
    </row>
    <row r="161" ht="13.5" customHeight="1" spans="2:4">
      <c r="B161" t="s">
        <v>734</v>
      </c>
      <c r="C161" t="s">
        <v>735</v>
      </c>
      <c r="D161">
        <v>0</v>
      </c>
    </row>
    <row r="162" ht="13.5" customHeight="1" spans="2:4">
      <c r="B162" t="s">
        <v>736</v>
      </c>
      <c r="C162" t="s">
        <v>737</v>
      </c>
      <c r="D162">
        <v>0</v>
      </c>
    </row>
    <row r="163" ht="13.5" customHeight="1" spans="2:4">
      <c r="B163" t="s">
        <v>203</v>
      </c>
      <c r="C163" t="s">
        <v>738</v>
      </c>
      <c r="D163">
        <v>0</v>
      </c>
    </row>
    <row r="164" ht="13.5" customHeight="1" spans="2:4">
      <c r="B164" t="s">
        <v>739</v>
      </c>
      <c r="C164" t="s">
        <v>740</v>
      </c>
      <c r="D164">
        <v>0</v>
      </c>
    </row>
    <row r="165" ht="13.5" customHeight="1" spans="2:4">
      <c r="B165" t="s">
        <v>741</v>
      </c>
      <c r="C165" t="s">
        <v>741</v>
      </c>
      <c r="D165">
        <v>0</v>
      </c>
    </row>
    <row r="166" ht="13.5" customHeight="1" spans="2:4">
      <c r="B166" t="s">
        <v>742</v>
      </c>
      <c r="C166" t="s">
        <v>742</v>
      </c>
      <c r="D166">
        <v>0</v>
      </c>
    </row>
    <row r="167" ht="13.5" customHeight="1" spans="2:4">
      <c r="B167" t="s">
        <v>743</v>
      </c>
      <c r="C167" t="s">
        <v>743</v>
      </c>
      <c r="D167">
        <v>0</v>
      </c>
    </row>
    <row r="168" ht="13.5" customHeight="1" spans="2:4">
      <c r="B168" t="s">
        <v>744</v>
      </c>
      <c r="C168" t="s">
        <v>744</v>
      </c>
      <c r="D168">
        <v>0</v>
      </c>
    </row>
    <row r="169" ht="13.5" customHeight="1" spans="2:4">
      <c r="B169" t="s">
        <v>739</v>
      </c>
      <c r="C169" t="s">
        <v>739</v>
      </c>
      <c r="D169">
        <v>0</v>
      </c>
    </row>
    <row r="170" ht="13.5" customHeight="1" spans="2:16">
      <c r="B170" t="s">
        <v>745</v>
      </c>
      <c r="D170">
        <v>0</v>
      </c>
      <c r="E170">
        <v>0</v>
      </c>
      <c r="F170">
        <v>0</v>
      </c>
      <c r="G170">
        <v>0</v>
      </c>
      <c r="H170">
        <v>0</v>
      </c>
      <c r="I170">
        <v>0</v>
      </c>
      <c r="J170">
        <v>0</v>
      </c>
      <c r="K170">
        <v>0</v>
      </c>
      <c r="L170">
        <v>0</v>
      </c>
      <c r="M170">
        <v>0</v>
      </c>
      <c r="N170">
        <v>0</v>
      </c>
      <c r="O170">
        <v>0</v>
      </c>
      <c r="P170">
        <v>0</v>
      </c>
    </row>
    <row r="172" ht="13.5" customHeight="1" spans="2:2">
      <c r="B172" t="s">
        <v>756</v>
      </c>
    </row>
    <row r="173" ht="13.5"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731</v>
      </c>
      <c r="C174" t="s">
        <v>732</v>
      </c>
      <c r="D174">
        <v>0</v>
      </c>
    </row>
    <row r="175" ht="13.5" customHeight="1" spans="2:4">
      <c r="B175" t="s">
        <v>195</v>
      </c>
      <c r="C175" t="s">
        <v>733</v>
      </c>
      <c r="D175">
        <v>0</v>
      </c>
    </row>
    <row r="176" ht="13.5" customHeight="1" spans="2:4">
      <c r="B176" t="s">
        <v>734</v>
      </c>
      <c r="C176" t="s">
        <v>735</v>
      </c>
      <c r="D176">
        <v>0</v>
      </c>
    </row>
    <row r="177" ht="13.5" customHeight="1" spans="2:4">
      <c r="B177" t="s">
        <v>736</v>
      </c>
      <c r="C177" t="s">
        <v>737</v>
      </c>
      <c r="D177">
        <v>0</v>
      </c>
    </row>
    <row r="178" ht="13.5" customHeight="1" spans="2:4">
      <c r="B178" t="s">
        <v>203</v>
      </c>
      <c r="C178" t="s">
        <v>738</v>
      </c>
      <c r="D178">
        <v>0</v>
      </c>
    </row>
    <row r="179" ht="13.5" customHeight="1" spans="2:4">
      <c r="B179" t="s">
        <v>739</v>
      </c>
      <c r="C179" t="s">
        <v>740</v>
      </c>
      <c r="D179">
        <v>0</v>
      </c>
    </row>
    <row r="180" ht="13.5" customHeight="1" spans="2:4">
      <c r="B180" t="s">
        <v>741</v>
      </c>
      <c r="C180" t="s">
        <v>741</v>
      </c>
      <c r="D180">
        <v>0</v>
      </c>
    </row>
    <row r="181" ht="13.5" customHeight="1" spans="2:4">
      <c r="B181" t="s">
        <v>742</v>
      </c>
      <c r="C181" t="s">
        <v>742</v>
      </c>
      <c r="D181">
        <v>0</v>
      </c>
    </row>
    <row r="182" ht="13.5" customHeight="1" spans="2:4">
      <c r="B182" t="s">
        <v>743</v>
      </c>
      <c r="C182" t="s">
        <v>743</v>
      </c>
      <c r="D182">
        <v>0</v>
      </c>
    </row>
    <row r="183" ht="13.5" customHeight="1" spans="2:4">
      <c r="B183" t="s">
        <v>744</v>
      </c>
      <c r="C183" t="s">
        <v>744</v>
      </c>
      <c r="D183">
        <v>0</v>
      </c>
    </row>
    <row r="184" ht="13.5" customHeight="1" spans="2:4">
      <c r="B184" t="s">
        <v>739</v>
      </c>
      <c r="C184" t="s">
        <v>739</v>
      </c>
      <c r="D184">
        <v>0</v>
      </c>
    </row>
    <row r="185" ht="13.5" customHeight="1" spans="2:16">
      <c r="B185" t="s">
        <v>745</v>
      </c>
      <c r="D185">
        <v>0</v>
      </c>
      <c r="E185">
        <v>0</v>
      </c>
      <c r="F185">
        <v>0</v>
      </c>
      <c r="G185">
        <v>0</v>
      </c>
      <c r="H185">
        <v>0</v>
      </c>
      <c r="I185">
        <v>0</v>
      </c>
      <c r="J185">
        <v>0</v>
      </c>
      <c r="K185">
        <v>0</v>
      </c>
      <c r="L185">
        <v>0</v>
      </c>
      <c r="M185">
        <v>0</v>
      </c>
      <c r="N185">
        <v>0</v>
      </c>
      <c r="O185">
        <v>0</v>
      </c>
      <c r="P185">
        <v>0</v>
      </c>
    </row>
    <row r="187" ht="13.5" customHeight="1" spans="2:2">
      <c r="B187" t="s">
        <v>757</v>
      </c>
    </row>
    <row r="188" ht="13.5"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731</v>
      </c>
      <c r="C189" t="s">
        <v>732</v>
      </c>
      <c r="D189">
        <v>0</v>
      </c>
    </row>
    <row r="190" ht="13.5" customHeight="1" spans="2:16">
      <c r="B190" t="s">
        <v>195</v>
      </c>
      <c r="C190" t="s">
        <v>733</v>
      </c>
      <c r="D190">
        <v>1021.1</v>
      </c>
      <c r="P190">
        <v>1021.1</v>
      </c>
    </row>
    <row r="191" ht="13.5" customHeight="1" spans="2:16">
      <c r="B191" t="s">
        <v>734</v>
      </c>
      <c r="C191" t="s">
        <v>735</v>
      </c>
      <c r="D191">
        <v>6126.6</v>
      </c>
      <c r="P191">
        <v>6126.6</v>
      </c>
    </row>
    <row r="192" ht="13.5" customHeight="1" spans="2:4">
      <c r="B192" t="s">
        <v>736</v>
      </c>
      <c r="C192" t="s">
        <v>737</v>
      </c>
      <c r="D192">
        <v>0</v>
      </c>
    </row>
    <row r="193" ht="13.5" customHeight="1" spans="2:4">
      <c r="B193" t="s">
        <v>203</v>
      </c>
      <c r="C193" t="s">
        <v>738</v>
      </c>
      <c r="D193">
        <v>0</v>
      </c>
    </row>
    <row r="194" ht="13.5" customHeight="1" spans="2:16">
      <c r="B194" t="s">
        <v>739</v>
      </c>
      <c r="C194" t="s">
        <v>740</v>
      </c>
      <c r="D194">
        <v>6126.6</v>
      </c>
      <c r="P194">
        <v>6126.6</v>
      </c>
    </row>
    <row r="195" ht="13.5" customHeight="1" spans="2:4">
      <c r="B195" t="s">
        <v>741</v>
      </c>
      <c r="C195" t="s">
        <v>741</v>
      </c>
      <c r="D195">
        <v>0</v>
      </c>
    </row>
    <row r="196" ht="13.5" customHeight="1" spans="2:4">
      <c r="B196" t="s">
        <v>742</v>
      </c>
      <c r="C196" t="s">
        <v>742</v>
      </c>
      <c r="D196">
        <v>0</v>
      </c>
    </row>
    <row r="197" ht="13.5" customHeight="1" spans="2:4">
      <c r="B197" t="s">
        <v>743</v>
      </c>
      <c r="C197" t="s">
        <v>743</v>
      </c>
      <c r="D197">
        <v>0</v>
      </c>
    </row>
    <row r="198" ht="13.5" customHeight="1" spans="2:4">
      <c r="B198" t="s">
        <v>744</v>
      </c>
      <c r="C198" t="s">
        <v>744</v>
      </c>
      <c r="D198">
        <v>0</v>
      </c>
    </row>
    <row r="199" ht="13.5" customHeight="1" spans="2:4">
      <c r="B199" t="s">
        <v>739</v>
      </c>
      <c r="C199" t="s">
        <v>739</v>
      </c>
      <c r="D199">
        <v>0</v>
      </c>
    </row>
    <row r="200" ht="13.5" customHeight="1" spans="2:16">
      <c r="B200" t="s">
        <v>745</v>
      </c>
      <c r="D200">
        <v>13274.3</v>
      </c>
      <c r="E200">
        <v>0</v>
      </c>
      <c r="F200">
        <v>0</v>
      </c>
      <c r="G200">
        <v>0</v>
      </c>
      <c r="H200">
        <v>0</v>
      </c>
      <c r="I200">
        <v>0</v>
      </c>
      <c r="J200">
        <v>0</v>
      </c>
      <c r="K200">
        <v>0</v>
      </c>
      <c r="L200">
        <v>0</v>
      </c>
      <c r="M200">
        <v>0</v>
      </c>
      <c r="N200">
        <v>0</v>
      </c>
      <c r="O200">
        <v>0</v>
      </c>
      <c r="P200">
        <v>13274.3</v>
      </c>
    </row>
    <row r="202" ht="13.5" customHeight="1" spans="2:2">
      <c r="B202" t="s">
        <v>758</v>
      </c>
    </row>
    <row r="203" ht="13.5"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731</v>
      </c>
      <c r="C204" t="s">
        <v>732</v>
      </c>
      <c r="D204">
        <v>0</v>
      </c>
    </row>
    <row r="205" ht="13.5" customHeight="1" spans="2:4">
      <c r="B205" t="s">
        <v>195</v>
      </c>
      <c r="C205" t="s">
        <v>733</v>
      </c>
      <c r="D205">
        <v>0</v>
      </c>
    </row>
    <row r="206" ht="13.5" customHeight="1" spans="2:4">
      <c r="B206" t="s">
        <v>734</v>
      </c>
      <c r="C206" t="s">
        <v>735</v>
      </c>
      <c r="D206">
        <v>0</v>
      </c>
    </row>
    <row r="207" ht="13.5" customHeight="1" spans="2:4">
      <c r="B207" t="s">
        <v>736</v>
      </c>
      <c r="C207" t="s">
        <v>737</v>
      </c>
      <c r="D207">
        <v>0</v>
      </c>
    </row>
    <row r="208" ht="13.5" customHeight="1" spans="2:4">
      <c r="B208" t="s">
        <v>203</v>
      </c>
      <c r="C208" t="s">
        <v>738</v>
      </c>
      <c r="D208">
        <v>0</v>
      </c>
    </row>
    <row r="209" ht="13.5" customHeight="1" spans="2:4">
      <c r="B209" t="s">
        <v>739</v>
      </c>
      <c r="C209" t="s">
        <v>740</v>
      </c>
      <c r="D209">
        <v>0</v>
      </c>
    </row>
    <row r="210" ht="13.5" customHeight="1" spans="2:4">
      <c r="B210" t="s">
        <v>741</v>
      </c>
      <c r="C210" t="s">
        <v>741</v>
      </c>
      <c r="D210">
        <v>0</v>
      </c>
    </row>
    <row r="211" ht="13.5" customHeight="1" spans="2:4">
      <c r="B211" t="s">
        <v>742</v>
      </c>
      <c r="C211" t="s">
        <v>742</v>
      </c>
      <c r="D211">
        <v>0</v>
      </c>
    </row>
    <row r="212" ht="13.5" customHeight="1" spans="2:4">
      <c r="B212" t="s">
        <v>743</v>
      </c>
      <c r="C212" t="s">
        <v>743</v>
      </c>
      <c r="D212">
        <v>0</v>
      </c>
    </row>
    <row r="213" ht="13.5" customHeight="1" spans="2:4">
      <c r="B213" t="s">
        <v>744</v>
      </c>
      <c r="C213" t="s">
        <v>744</v>
      </c>
      <c r="D213">
        <v>0</v>
      </c>
    </row>
    <row r="214" ht="13.5" customHeight="1" spans="2:4">
      <c r="B214" t="s">
        <v>739</v>
      </c>
      <c r="C214" t="s">
        <v>739</v>
      </c>
      <c r="D214">
        <v>0</v>
      </c>
    </row>
    <row r="215" ht="13.5" customHeight="1" spans="2:16">
      <c r="B215" t="s">
        <v>745</v>
      </c>
      <c r="D215">
        <v>0</v>
      </c>
      <c r="E215">
        <v>0</v>
      </c>
      <c r="F215">
        <v>0</v>
      </c>
      <c r="G215">
        <v>0</v>
      </c>
      <c r="H215">
        <v>0</v>
      </c>
      <c r="I215">
        <v>0</v>
      </c>
      <c r="J215">
        <v>0</v>
      </c>
      <c r="K215">
        <v>0</v>
      </c>
      <c r="L215">
        <v>0</v>
      </c>
      <c r="M215">
        <v>0</v>
      </c>
      <c r="N215">
        <v>0</v>
      </c>
      <c r="O215">
        <v>0</v>
      </c>
      <c r="P215">
        <v>0</v>
      </c>
    </row>
    <row r="217" ht="13.5" customHeight="1" spans="2:2">
      <c r="B217" t="s">
        <v>759</v>
      </c>
    </row>
    <row r="218" ht="13.5"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731</v>
      </c>
      <c r="C219" t="s">
        <v>732</v>
      </c>
      <c r="D219">
        <v>0</v>
      </c>
    </row>
    <row r="220" ht="13.5" customHeight="1" spans="2:4">
      <c r="B220" t="s">
        <v>195</v>
      </c>
      <c r="C220" t="s">
        <v>733</v>
      </c>
      <c r="D220">
        <v>0</v>
      </c>
    </row>
    <row r="221" ht="13.5" customHeight="1" spans="2:4">
      <c r="B221" t="s">
        <v>734</v>
      </c>
      <c r="C221" t="s">
        <v>735</v>
      </c>
      <c r="D221">
        <v>0</v>
      </c>
    </row>
    <row r="222" ht="13.5" customHeight="1" spans="2:4">
      <c r="B222" t="s">
        <v>736</v>
      </c>
      <c r="C222" t="s">
        <v>737</v>
      </c>
      <c r="D222">
        <v>0</v>
      </c>
    </row>
    <row r="223" ht="13.5" customHeight="1" spans="2:4">
      <c r="B223" t="s">
        <v>203</v>
      </c>
      <c r="C223" t="s">
        <v>738</v>
      </c>
      <c r="D223">
        <v>0</v>
      </c>
    </row>
    <row r="224" ht="13.5" customHeight="1" spans="2:4">
      <c r="B224" t="s">
        <v>739</v>
      </c>
      <c r="C224" t="s">
        <v>740</v>
      </c>
      <c r="D224">
        <v>0</v>
      </c>
    </row>
    <row r="225" ht="13.5" customHeight="1" spans="2:4">
      <c r="B225" t="s">
        <v>741</v>
      </c>
      <c r="C225" t="s">
        <v>741</v>
      </c>
      <c r="D225">
        <v>0</v>
      </c>
    </row>
    <row r="226" ht="13.5" customHeight="1" spans="2:4">
      <c r="B226" t="s">
        <v>742</v>
      </c>
      <c r="C226" t="s">
        <v>742</v>
      </c>
      <c r="D226">
        <v>0</v>
      </c>
    </row>
    <row r="227" ht="13.5" customHeight="1" spans="2:4">
      <c r="B227" t="s">
        <v>743</v>
      </c>
      <c r="C227" t="s">
        <v>743</v>
      </c>
      <c r="D227">
        <v>0</v>
      </c>
    </row>
    <row r="228" ht="13.5" customHeight="1" spans="2:4">
      <c r="B228" t="s">
        <v>744</v>
      </c>
      <c r="C228" t="s">
        <v>744</v>
      </c>
      <c r="D228">
        <v>0</v>
      </c>
    </row>
    <row r="229" ht="13.5" customHeight="1" spans="2:4">
      <c r="B229" t="s">
        <v>739</v>
      </c>
      <c r="C229" t="s">
        <v>739</v>
      </c>
      <c r="D229">
        <v>0</v>
      </c>
    </row>
    <row r="230" ht="13.5" customHeight="1" spans="2:16">
      <c r="B230" t="s">
        <v>745</v>
      </c>
      <c r="D230">
        <v>0</v>
      </c>
      <c r="E230">
        <v>0</v>
      </c>
      <c r="F230">
        <v>0</v>
      </c>
      <c r="G230">
        <v>0</v>
      </c>
      <c r="H230">
        <v>0</v>
      </c>
      <c r="I230">
        <v>0</v>
      </c>
      <c r="J230">
        <v>0</v>
      </c>
      <c r="K230">
        <v>0</v>
      </c>
      <c r="L230">
        <v>0</v>
      </c>
      <c r="M230">
        <v>0</v>
      </c>
      <c r="N230">
        <v>0</v>
      </c>
      <c r="O230">
        <v>0</v>
      </c>
      <c r="P230">
        <v>0</v>
      </c>
    </row>
    <row r="232" ht="13.5" customHeight="1" spans="2:2">
      <c r="B232" t="s">
        <v>760</v>
      </c>
    </row>
    <row r="233" ht="13.5"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4">
      <c r="B234" t="s">
        <v>731</v>
      </c>
      <c r="C234" t="s">
        <v>732</v>
      </c>
      <c r="D234">
        <v>0</v>
      </c>
    </row>
    <row r="235" ht="13.5" customHeight="1" spans="2:4">
      <c r="B235" t="s">
        <v>195</v>
      </c>
      <c r="C235" t="s">
        <v>733</v>
      </c>
      <c r="D235">
        <v>0</v>
      </c>
    </row>
    <row r="236" ht="13.5" customHeight="1" spans="2:4">
      <c r="B236" t="s">
        <v>734</v>
      </c>
      <c r="C236" t="s">
        <v>735</v>
      </c>
      <c r="D236">
        <v>0</v>
      </c>
    </row>
    <row r="237" ht="13.5" customHeight="1" spans="2:4">
      <c r="B237" t="s">
        <v>736</v>
      </c>
      <c r="C237" t="s">
        <v>737</v>
      </c>
      <c r="D237">
        <v>0</v>
      </c>
    </row>
    <row r="238" ht="13.5" customHeight="1" spans="2:4">
      <c r="B238" t="s">
        <v>203</v>
      </c>
      <c r="C238" t="s">
        <v>738</v>
      </c>
      <c r="D238">
        <v>0</v>
      </c>
    </row>
    <row r="239" ht="13.5" customHeight="1" spans="2:4">
      <c r="B239" t="s">
        <v>739</v>
      </c>
      <c r="C239" t="s">
        <v>740</v>
      </c>
      <c r="D239">
        <v>0</v>
      </c>
    </row>
    <row r="240" ht="13.5" customHeight="1" spans="2:4">
      <c r="B240" t="s">
        <v>741</v>
      </c>
      <c r="C240" t="s">
        <v>741</v>
      </c>
      <c r="D240">
        <v>0</v>
      </c>
    </row>
    <row r="241" ht="13.5" customHeight="1" spans="2:4">
      <c r="B241" t="s">
        <v>742</v>
      </c>
      <c r="C241" t="s">
        <v>742</v>
      </c>
      <c r="D241">
        <v>0</v>
      </c>
    </row>
    <row r="242" ht="13.5" customHeight="1" spans="2:4">
      <c r="B242" t="s">
        <v>743</v>
      </c>
      <c r="C242" t="s">
        <v>743</v>
      </c>
      <c r="D242">
        <v>0</v>
      </c>
    </row>
    <row r="243" ht="13.5" customHeight="1" spans="2:4">
      <c r="B243" t="s">
        <v>744</v>
      </c>
      <c r="C243" t="s">
        <v>744</v>
      </c>
      <c r="D243">
        <v>0</v>
      </c>
    </row>
    <row r="244" ht="13.5" customHeight="1" spans="2:4">
      <c r="B244" t="s">
        <v>739</v>
      </c>
      <c r="C244" t="s">
        <v>739</v>
      </c>
      <c r="D244">
        <v>0</v>
      </c>
    </row>
    <row r="245" ht="13.5" customHeight="1" spans="2:16">
      <c r="B245" t="s">
        <v>745</v>
      </c>
      <c r="D245">
        <v>0</v>
      </c>
      <c r="E245">
        <v>0</v>
      </c>
      <c r="F245">
        <v>0</v>
      </c>
      <c r="G245">
        <v>0</v>
      </c>
      <c r="H245">
        <v>0</v>
      </c>
      <c r="I245">
        <v>0</v>
      </c>
      <c r="J245">
        <v>0</v>
      </c>
      <c r="K245">
        <v>0</v>
      </c>
      <c r="L245">
        <v>0</v>
      </c>
      <c r="M245">
        <v>0</v>
      </c>
      <c r="N245">
        <v>0</v>
      </c>
      <c r="O245">
        <v>0</v>
      </c>
      <c r="P245">
        <v>0</v>
      </c>
    </row>
    <row r="247" ht="13.5" customHeight="1" spans="2:2">
      <c r="B247" t="s">
        <v>761</v>
      </c>
    </row>
    <row r="248" ht="13.5"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731</v>
      </c>
      <c r="C249" t="s">
        <v>732</v>
      </c>
      <c r="D249">
        <v>0</v>
      </c>
    </row>
    <row r="250" ht="13.5" customHeight="1" spans="2:4">
      <c r="B250" t="s">
        <v>195</v>
      </c>
      <c r="C250" t="s">
        <v>733</v>
      </c>
      <c r="D250">
        <v>0</v>
      </c>
    </row>
    <row r="251" ht="13.5" customHeight="1" spans="2:4">
      <c r="B251" t="s">
        <v>734</v>
      </c>
      <c r="C251" t="s">
        <v>735</v>
      </c>
      <c r="D251">
        <v>0</v>
      </c>
    </row>
    <row r="252" ht="13.5" customHeight="1" spans="2:4">
      <c r="B252" t="s">
        <v>736</v>
      </c>
      <c r="C252" t="s">
        <v>737</v>
      </c>
      <c r="D252">
        <v>0</v>
      </c>
    </row>
    <row r="253" ht="13.5" customHeight="1" spans="2:4">
      <c r="B253" t="s">
        <v>203</v>
      </c>
      <c r="C253" t="s">
        <v>738</v>
      </c>
      <c r="D253">
        <v>0</v>
      </c>
    </row>
    <row r="254" ht="13.5" customHeight="1" spans="2:4">
      <c r="B254" t="s">
        <v>739</v>
      </c>
      <c r="C254" t="s">
        <v>740</v>
      </c>
      <c r="D254">
        <v>0</v>
      </c>
    </row>
    <row r="255" ht="13.5" customHeight="1" spans="2:4">
      <c r="B255" t="s">
        <v>741</v>
      </c>
      <c r="C255" t="s">
        <v>741</v>
      </c>
      <c r="D255">
        <v>0</v>
      </c>
    </row>
    <row r="256" ht="13.5" customHeight="1" spans="2:4">
      <c r="B256" t="s">
        <v>742</v>
      </c>
      <c r="C256" t="s">
        <v>742</v>
      </c>
      <c r="D256">
        <v>0</v>
      </c>
    </row>
    <row r="257" ht="13.5" customHeight="1" spans="2:4">
      <c r="B257" t="s">
        <v>743</v>
      </c>
      <c r="C257" t="s">
        <v>743</v>
      </c>
      <c r="D257">
        <v>0</v>
      </c>
    </row>
    <row r="258" ht="13.5" customHeight="1" spans="2:4">
      <c r="B258" t="s">
        <v>744</v>
      </c>
      <c r="C258" t="s">
        <v>744</v>
      </c>
      <c r="D258">
        <v>0</v>
      </c>
    </row>
    <row r="259" ht="13.5" customHeight="1" spans="2:4">
      <c r="B259" t="s">
        <v>739</v>
      </c>
      <c r="C259" t="s">
        <v>739</v>
      </c>
      <c r="D259">
        <v>0</v>
      </c>
    </row>
    <row r="260" ht="13.5"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60" zoomScaleNormal="60" zoomScaleSheetLayoutView="40" workbookViewId="0">
      <pane xSplit="26790" topLeftCell="A1" activePane="topLeft"/>
      <selection activeCell="H381" sqref="H381"/>
      <selection pane="topRight"/>
    </sheetView>
  </sheetViews>
  <sheetFormatPr defaultColWidth="8.75454545454545" defaultRowHeight="14.5"/>
  <cols>
    <col min="1" max="1" width="8.75454545454545" style="263"/>
    <col min="2" max="2" width="10.5" style="121" customWidth="1"/>
    <col min="3" max="3" width="12.8727272727273" style="123" customWidth="1"/>
    <col min="4" max="4" width="25.1272727272727" style="121" customWidth="1"/>
    <col min="5" max="6" width="32.8727272727273" style="121" customWidth="1"/>
    <col min="7" max="7" width="16.3727272727273" style="122" customWidth="1"/>
    <col min="8" max="8" width="16.8727272727273" style="264" customWidth="1"/>
    <col min="9" max="9" width="13.1272727272727" style="264" customWidth="1" outlineLevel="1"/>
    <col min="10" max="13" width="12.3727272727273" style="122" customWidth="1" outlineLevel="1"/>
    <col min="14" max="14" width="15.5" style="122" customWidth="1"/>
    <col min="15" max="26" width="7.12727272727273" style="122" customWidth="1" outlineLevel="1"/>
    <col min="27" max="27" width="11.2545454545455" style="122" customWidth="1"/>
    <col min="28" max="28" width="18" style="122" customWidth="1"/>
    <col min="29" max="29" width="17.6272727272727"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727272727273" style="266" customWidth="1"/>
    <col min="66" max="66" width="8.75454545454545" style="267"/>
    <col min="67" max="16384" width="8.75454545454545" style="263"/>
  </cols>
  <sheetData>
    <row r="1" s="259" customFormat="1" ht="23.1" customHeight="1" spans="1:66">
      <c r="A1" s="268" t="s">
        <v>762</v>
      </c>
      <c r="B1" s="269" t="s">
        <v>763</v>
      </c>
      <c r="C1" s="270" t="s">
        <v>764</v>
      </c>
      <c r="D1" s="270"/>
      <c r="E1" s="270"/>
      <c r="F1" s="270"/>
      <c r="G1" s="270"/>
      <c r="H1" s="271" t="s">
        <v>719</v>
      </c>
      <c r="I1" s="271"/>
      <c r="J1" s="271"/>
      <c r="K1" s="271"/>
      <c r="L1" s="271"/>
      <c r="M1" s="271"/>
      <c r="N1" s="271"/>
      <c r="O1" s="271" t="s">
        <v>765</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766</v>
      </c>
      <c r="AD2" s="293"/>
      <c r="AE2" s="294"/>
      <c r="AF2" s="295" t="s">
        <v>767</v>
      </c>
      <c r="AG2" s="298"/>
      <c r="AH2" s="299"/>
      <c r="AI2" s="295" t="s">
        <v>768</v>
      </c>
      <c r="AJ2" s="298"/>
      <c r="AK2" s="299"/>
      <c r="AL2" s="295" t="s">
        <v>769</v>
      </c>
      <c r="AM2" s="298" t="s">
        <v>769</v>
      </c>
      <c r="AN2" s="299" t="s">
        <v>769</v>
      </c>
      <c r="AO2" s="295" t="s">
        <v>770</v>
      </c>
      <c r="AP2" s="298" t="s">
        <v>770</v>
      </c>
      <c r="AQ2" s="299" t="s">
        <v>770</v>
      </c>
      <c r="AR2" s="295" t="s">
        <v>771</v>
      </c>
      <c r="AS2" s="298" t="s">
        <v>771</v>
      </c>
      <c r="AT2" s="299" t="s">
        <v>771</v>
      </c>
      <c r="AU2" s="295" t="s">
        <v>772</v>
      </c>
      <c r="AV2" s="298" t="s">
        <v>772</v>
      </c>
      <c r="AW2" s="299" t="s">
        <v>772</v>
      </c>
      <c r="AX2" s="295" t="s">
        <v>773</v>
      </c>
      <c r="AY2" s="298" t="s">
        <v>773</v>
      </c>
      <c r="AZ2" s="299" t="s">
        <v>773</v>
      </c>
      <c r="BA2" s="295" t="s">
        <v>774</v>
      </c>
      <c r="BB2" s="298" t="s">
        <v>774</v>
      </c>
      <c r="BC2" s="299" t="s">
        <v>774</v>
      </c>
      <c r="BD2" s="295" t="s">
        <v>775</v>
      </c>
      <c r="BE2" s="298" t="s">
        <v>775</v>
      </c>
      <c r="BF2" s="299" t="s">
        <v>775</v>
      </c>
      <c r="BG2" s="295" t="s">
        <v>776</v>
      </c>
      <c r="BH2" s="298" t="s">
        <v>776</v>
      </c>
      <c r="BI2" s="299" t="s">
        <v>776</v>
      </c>
      <c r="BJ2" s="295" t="s">
        <v>777</v>
      </c>
      <c r="BK2" s="298" t="s">
        <v>777</v>
      </c>
      <c r="BL2" s="298" t="s">
        <v>777</v>
      </c>
      <c r="BM2" s="307"/>
      <c r="BN2" s="299"/>
    </row>
    <row r="3" s="260" customFormat="1" ht="53.1" customHeight="1" spans="1:66">
      <c r="A3" s="275"/>
      <c r="B3" s="276"/>
      <c r="C3" s="277" t="s">
        <v>778</v>
      </c>
      <c r="D3" s="278" t="s">
        <v>3</v>
      </c>
      <c r="E3" s="278" t="s">
        <v>779</v>
      </c>
      <c r="F3" s="278" t="s">
        <v>780</v>
      </c>
      <c r="G3" s="278" t="s">
        <v>781</v>
      </c>
      <c r="H3" s="260" t="s">
        <v>782</v>
      </c>
      <c r="I3" s="260" t="s">
        <v>783</v>
      </c>
      <c r="J3" s="260" t="s">
        <v>784</v>
      </c>
      <c r="K3" s="260" t="s">
        <v>785</v>
      </c>
      <c r="L3" s="260" t="s">
        <v>786</v>
      </c>
      <c r="M3" s="260" t="s">
        <v>787</v>
      </c>
      <c r="N3" s="260" t="s">
        <v>788</v>
      </c>
      <c r="O3" s="283" t="s">
        <v>766</v>
      </c>
      <c r="P3" s="283" t="s">
        <v>767</v>
      </c>
      <c r="Q3" s="283" t="s">
        <v>768</v>
      </c>
      <c r="R3" s="283" t="s">
        <v>769</v>
      </c>
      <c r="S3" s="283" t="s">
        <v>770</v>
      </c>
      <c r="T3" s="283" t="s">
        <v>771</v>
      </c>
      <c r="U3" s="283" t="s">
        <v>772</v>
      </c>
      <c r="V3" s="283" t="s">
        <v>773</v>
      </c>
      <c r="W3" s="283" t="s">
        <v>774</v>
      </c>
      <c r="X3" s="283" t="s">
        <v>775</v>
      </c>
      <c r="Y3" s="283" t="s">
        <v>776</v>
      </c>
      <c r="Z3" s="283" t="s">
        <v>777</v>
      </c>
      <c r="AA3" s="296" t="s">
        <v>789</v>
      </c>
      <c r="AB3" s="260" t="s">
        <v>790</v>
      </c>
      <c r="AC3" s="260" t="s">
        <v>791</v>
      </c>
      <c r="AD3" s="260" t="s">
        <v>792</v>
      </c>
      <c r="AE3" s="260" t="s">
        <v>793</v>
      </c>
      <c r="AF3" s="260" t="s">
        <v>791</v>
      </c>
      <c r="AG3" s="260" t="s">
        <v>792</v>
      </c>
      <c r="AH3" s="260" t="s">
        <v>793</v>
      </c>
      <c r="AI3" s="260" t="s">
        <v>791</v>
      </c>
      <c r="AJ3" s="260" t="s">
        <v>792</v>
      </c>
      <c r="AK3" s="260" t="s">
        <v>793</v>
      </c>
      <c r="AL3" s="260" t="s">
        <v>791</v>
      </c>
      <c r="AM3" s="260" t="s">
        <v>792</v>
      </c>
      <c r="AN3" s="260" t="s">
        <v>793</v>
      </c>
      <c r="AO3" s="260" t="s">
        <v>791</v>
      </c>
      <c r="AP3" s="260" t="s">
        <v>792</v>
      </c>
      <c r="AQ3" s="260" t="s">
        <v>793</v>
      </c>
      <c r="AR3" s="260" t="s">
        <v>791</v>
      </c>
      <c r="AS3" s="260" t="s">
        <v>792</v>
      </c>
      <c r="AT3" s="260" t="s">
        <v>793</v>
      </c>
      <c r="AU3" s="260" t="s">
        <v>791</v>
      </c>
      <c r="AV3" s="260" t="s">
        <v>792</v>
      </c>
      <c r="AW3" s="260" t="s">
        <v>793</v>
      </c>
      <c r="AX3" s="260" t="s">
        <v>791</v>
      </c>
      <c r="AY3" s="260" t="s">
        <v>792</v>
      </c>
      <c r="AZ3" s="260" t="s">
        <v>793</v>
      </c>
      <c r="BA3" s="260" t="s">
        <v>791</v>
      </c>
      <c r="BB3" s="260" t="s">
        <v>792</v>
      </c>
      <c r="BC3" s="260" t="s">
        <v>793</v>
      </c>
      <c r="BD3" s="260" t="s">
        <v>791</v>
      </c>
      <c r="BE3" s="260" t="s">
        <v>792</v>
      </c>
      <c r="BF3" s="260" t="s">
        <v>793</v>
      </c>
      <c r="BG3" s="260" t="s">
        <v>791</v>
      </c>
      <c r="BH3" s="260" t="s">
        <v>792</v>
      </c>
      <c r="BI3" s="260" t="s">
        <v>793</v>
      </c>
      <c r="BJ3" s="260" t="s">
        <v>791</v>
      </c>
      <c r="BK3" s="260" t="s">
        <v>792</v>
      </c>
      <c r="BL3" s="300" t="s">
        <v>793</v>
      </c>
      <c r="BM3" s="308"/>
      <c r="BN3" s="309"/>
    </row>
    <row r="4" s="261" customFormat="1" ht="33.95" customHeight="1" spans="2:66">
      <c r="B4" s="279" t="s">
        <v>794</v>
      </c>
      <c r="C4" s="280">
        <v>1</v>
      </c>
      <c r="D4" s="261" t="s">
        <v>795</v>
      </c>
      <c r="E4" s="261" t="s">
        <v>796</v>
      </c>
      <c r="G4" s="281"/>
      <c r="H4" s="261">
        <f>H5+H381+H582+H652+H658+H668</f>
        <v>1500720.94</v>
      </c>
      <c r="P4" s="284"/>
      <c r="Q4" s="284"/>
      <c r="R4" s="284"/>
      <c r="S4" s="284"/>
      <c r="T4" s="284"/>
      <c r="U4" s="284"/>
      <c r="V4" s="284"/>
      <c r="W4" s="284"/>
      <c r="X4" s="284"/>
      <c r="Y4" s="284"/>
      <c r="Z4" s="284"/>
      <c r="AA4" s="284"/>
      <c r="AB4" s="261">
        <f t="shared" ref="AB4:AF4" si="0">AB5+AB381+AB582+AB652+AB658+AB668</f>
        <v>1500720.94</v>
      </c>
      <c r="AC4" s="261">
        <f t="shared" si="0"/>
        <v>126125.513333333</v>
      </c>
      <c r="AF4" s="261">
        <f t="shared" si="0"/>
        <v>121960.793333333</v>
      </c>
      <c r="AI4" s="261">
        <f>AI5+AI381+AI582+AI652+AI658+AI668</f>
        <v>121960.793333333</v>
      </c>
      <c r="AL4" s="261">
        <f>AL5+AL381+AL582+AL652+AL658+AL668</f>
        <v>121960.793333333</v>
      </c>
      <c r="AO4" s="261">
        <f>AO5+AO381+AO582+AO652+AO658+AO668</f>
        <v>121960.793333333</v>
      </c>
      <c r="AR4" s="261">
        <f>AR5+AR381+AR582+AR652+AR658+AR668</f>
        <v>121960.793333333</v>
      </c>
      <c r="AU4" s="261">
        <f>AU5+AU381+AU582+AU652+AU658+AU668</f>
        <v>121960.793333333</v>
      </c>
      <c r="AX4" s="261">
        <f>AX5+AX381+AX582+AX652+AX658+AX668</f>
        <v>121960.793333333</v>
      </c>
      <c r="BA4" s="261">
        <f>BA5+BA381+BA582+BA652+BA658+BA668</f>
        <v>121960.793333333</v>
      </c>
      <c r="BD4" s="261">
        <f>BD5+BD381+BD582+BD652+BD658+BD668</f>
        <v>121960.793333333</v>
      </c>
      <c r="BG4" s="261">
        <f>BG5+BG381+BG582+BG652+BG658+BG668</f>
        <v>121960.793333333</v>
      </c>
      <c r="BJ4" s="261">
        <f>BJ5+BJ381+BJ582+BJ652+BJ658+BJ668</f>
        <v>154987.493333333</v>
      </c>
      <c r="BL4" s="301"/>
      <c r="BM4" s="307"/>
      <c r="BN4" s="284"/>
    </row>
    <row r="5" s="107" customFormat="1" ht="33.95" customHeight="1" outlineLevel="1" collapsed="1" spans="2:66">
      <c r="B5" s="108" t="s">
        <v>794</v>
      </c>
      <c r="C5" s="109">
        <v>1.1</v>
      </c>
      <c r="D5" s="107" t="s">
        <v>214</v>
      </c>
      <c r="E5" s="108"/>
      <c r="F5" s="108"/>
      <c r="H5" s="107">
        <f>H6+H208+H308</f>
        <v>1500720.94</v>
      </c>
      <c r="P5" s="285"/>
      <c r="Q5" s="285"/>
      <c r="R5" s="285"/>
      <c r="S5" s="285"/>
      <c r="T5" s="285"/>
      <c r="U5" s="285"/>
      <c r="V5" s="285"/>
      <c r="W5" s="285"/>
      <c r="X5" s="285"/>
      <c r="Y5" s="285"/>
      <c r="Z5" s="285"/>
      <c r="AA5" s="285"/>
      <c r="AB5" s="107">
        <f t="shared" ref="AB5:AF5" si="1">AB6+AB208+AB308</f>
        <v>1500720.94</v>
      </c>
      <c r="AC5" s="107">
        <f t="shared" si="1"/>
        <v>126125.513333333</v>
      </c>
      <c r="AF5" s="107">
        <f t="shared" si="1"/>
        <v>121960.793333333</v>
      </c>
      <c r="AI5" s="107">
        <f>AI6+AI208+AI308</f>
        <v>121960.793333333</v>
      </c>
      <c r="AL5" s="107">
        <f>AL6+AL208+AL308</f>
        <v>121960.793333333</v>
      </c>
      <c r="AO5" s="107">
        <f>AO6+AO208+AO308</f>
        <v>121960.793333333</v>
      </c>
      <c r="AR5" s="107">
        <f>AR6+AR208+AR308</f>
        <v>121960.793333333</v>
      </c>
      <c r="AU5" s="107">
        <f>AU6+AU208+AU308</f>
        <v>121960.793333333</v>
      </c>
      <c r="AX5" s="107">
        <f>AX6+AX208+AX308</f>
        <v>121960.793333333</v>
      </c>
      <c r="BA5" s="107">
        <f>BA6+BA208+BA308</f>
        <v>121960.793333333</v>
      </c>
      <c r="BD5" s="107">
        <f>BD6+BD208+BD308</f>
        <v>121960.793333333</v>
      </c>
      <c r="BG5" s="107">
        <f>BG6+BG208+BG308</f>
        <v>121960.793333333</v>
      </c>
      <c r="BJ5" s="107">
        <f>BJ6+BJ208+BJ308</f>
        <v>154987.493333333</v>
      </c>
      <c r="BL5" s="302"/>
      <c r="BM5" s="310"/>
      <c r="BN5" s="285"/>
    </row>
    <row r="6" s="29" customFormat="1" ht="33.95" hidden="1" customHeight="1" outlineLevel="2" collapsed="1" spans="2:66">
      <c r="B6" s="111" t="s">
        <v>794</v>
      </c>
      <c r="C6" s="112" t="s">
        <v>218</v>
      </c>
      <c r="D6" s="29" t="s">
        <v>219</v>
      </c>
      <c r="E6" s="111"/>
      <c r="F6" s="111"/>
      <c r="G6" s="111"/>
      <c r="H6" s="111">
        <f>H7+H29+H57+H111+H143+H159+H176+H189</f>
        <v>1500720.94</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1500720.94</v>
      </c>
      <c r="AC6" s="111">
        <f t="shared" si="2"/>
        <v>126125.513333333</v>
      </c>
      <c r="AD6" s="111"/>
      <c r="AE6" s="111"/>
      <c r="AF6" s="111">
        <f t="shared" si="2"/>
        <v>121960.793333333</v>
      </c>
      <c r="AG6" s="111"/>
      <c r="AH6" s="111"/>
      <c r="AI6" s="111">
        <f>AI7+AI29+AI57+AI111+AI143+AI159+AI176+AI189</f>
        <v>121960.793333333</v>
      </c>
      <c r="AJ6" s="111"/>
      <c r="AK6" s="111"/>
      <c r="AL6" s="111">
        <f>AL7+AL29+AL57+AL111+AL143+AL159+AL176+AL189</f>
        <v>121960.793333333</v>
      </c>
      <c r="AM6" s="111"/>
      <c r="AN6" s="111"/>
      <c r="AO6" s="111">
        <f>AO7+AO29+AO57+AO111+AO143+AO159+AO176+AO189</f>
        <v>121960.793333333</v>
      </c>
      <c r="AP6" s="111"/>
      <c r="AQ6" s="111"/>
      <c r="AR6" s="111">
        <f>AR7+AR29+AR57+AR111+AR143+AR159+AR176+AR189</f>
        <v>121960.793333333</v>
      </c>
      <c r="AS6" s="111"/>
      <c r="AT6" s="111"/>
      <c r="AU6" s="111">
        <f>AU7+AU29+AU57+AU111+AU143+AU159+AU176+AU189</f>
        <v>121960.793333333</v>
      </c>
      <c r="AV6" s="111"/>
      <c r="AW6" s="111"/>
      <c r="AX6" s="111">
        <f>AX7+AX29+AX57+AX111+AX143+AX159+AX176+AX189</f>
        <v>121960.793333333</v>
      </c>
      <c r="AY6" s="111"/>
      <c r="AZ6" s="111"/>
      <c r="BA6" s="111">
        <f>BA7+BA29+BA57+BA111+BA143+BA159+BA176+BA189</f>
        <v>121960.793333333</v>
      </c>
      <c r="BB6" s="111"/>
      <c r="BC6" s="111"/>
      <c r="BD6" s="111">
        <f>BD7+BD29+BD57+BD111+BD143+BD159+BD176+BD189</f>
        <v>121960.793333333</v>
      </c>
      <c r="BE6" s="111"/>
      <c r="BF6" s="111"/>
      <c r="BG6" s="111">
        <f>BG7+BG29+BG57+BG111+BG143+BG159+BG176+BG189</f>
        <v>121960.793333333</v>
      </c>
      <c r="BH6" s="111"/>
      <c r="BI6" s="111"/>
      <c r="BJ6" s="111">
        <f>BJ7+BJ29+BJ57+BJ111+BJ143+BJ159+BJ176+BJ189</f>
        <v>154987.493333333</v>
      </c>
      <c r="BK6" s="111"/>
      <c r="BL6" s="303"/>
      <c r="BM6" s="310"/>
      <c r="BN6" s="311"/>
    </row>
    <row r="7" s="48" customFormat="1" ht="33.95" hidden="1" customHeight="1" outlineLevel="3" collapsed="1" spans="2:66">
      <c r="B7" s="114" t="s">
        <v>794</v>
      </c>
      <c r="C7" s="115" t="s">
        <v>797</v>
      </c>
      <c r="D7" s="48" t="s">
        <v>798</v>
      </c>
      <c r="E7" s="114"/>
      <c r="F7" s="114"/>
      <c r="G7" s="114"/>
      <c r="H7" s="114">
        <f>H8+H15+H22</f>
        <v>445483.56</v>
      </c>
      <c r="I7" s="114"/>
      <c r="J7" s="114"/>
      <c r="K7" s="114"/>
      <c r="L7" s="114"/>
      <c r="M7" s="114"/>
      <c r="N7" s="114"/>
      <c r="O7" s="114"/>
      <c r="P7" s="287"/>
      <c r="Q7" s="287"/>
      <c r="R7" s="287"/>
      <c r="S7" s="287"/>
      <c r="T7" s="287"/>
      <c r="U7" s="287"/>
      <c r="V7" s="287"/>
      <c r="W7" s="287"/>
      <c r="X7" s="287"/>
      <c r="Y7" s="287"/>
      <c r="Z7" s="287"/>
      <c r="AA7" s="287"/>
      <c r="AB7" s="114">
        <f t="shared" ref="AB7:AF7" si="3">AB8+AB15+AB22</f>
        <v>445483.56</v>
      </c>
      <c r="AC7" s="114">
        <f t="shared" si="3"/>
        <v>38249.22</v>
      </c>
      <c r="AD7" s="114"/>
      <c r="AE7" s="114"/>
      <c r="AF7" s="114">
        <f t="shared" si="3"/>
        <v>36464.34</v>
      </c>
      <c r="AG7" s="114"/>
      <c r="AH7" s="114"/>
      <c r="AI7" s="114">
        <f>AI8+AI15+AI22</f>
        <v>36464.34</v>
      </c>
      <c r="AJ7" s="114"/>
      <c r="AK7" s="114"/>
      <c r="AL7" s="114">
        <f>AL8+AL15+AL22</f>
        <v>36464.34</v>
      </c>
      <c r="AM7" s="114"/>
      <c r="AN7" s="114"/>
      <c r="AO7" s="114">
        <f>AO8+AO15+AO22</f>
        <v>36464.34</v>
      </c>
      <c r="AP7" s="114"/>
      <c r="AQ7" s="114"/>
      <c r="AR7" s="114">
        <f>AR8+AR15+AR22</f>
        <v>36464.34</v>
      </c>
      <c r="AS7" s="114"/>
      <c r="AT7" s="114"/>
      <c r="AU7" s="114">
        <f>AU8+AU15+AU22</f>
        <v>36464.34</v>
      </c>
      <c r="AV7" s="114"/>
      <c r="AW7" s="114"/>
      <c r="AX7" s="114">
        <f>AX8+AX15+AX22</f>
        <v>36464.34</v>
      </c>
      <c r="AY7" s="114"/>
      <c r="AZ7" s="114"/>
      <c r="BA7" s="114">
        <f>BA8+BA15+BA22</f>
        <v>36464.34</v>
      </c>
      <c r="BB7" s="114"/>
      <c r="BC7" s="114"/>
      <c r="BD7" s="114">
        <f>BD8+BD15+BD22</f>
        <v>36464.34</v>
      </c>
      <c r="BE7" s="114"/>
      <c r="BF7" s="114"/>
      <c r="BG7" s="114">
        <f>BG8+BG15+BG22</f>
        <v>36464.34</v>
      </c>
      <c r="BH7" s="114"/>
      <c r="BI7" s="114"/>
      <c r="BJ7" s="114">
        <f>BJ8+BJ15+BJ22</f>
        <v>42590.94</v>
      </c>
      <c r="BK7" s="114"/>
      <c r="BL7" s="304"/>
      <c r="BM7" s="310"/>
      <c r="BN7" s="312"/>
    </row>
    <row r="8" s="117" customFormat="1" ht="33.95" hidden="1" customHeight="1" outlineLevel="4" collapsed="1" spans="2:66">
      <c r="B8" s="118" t="s">
        <v>794</v>
      </c>
      <c r="C8" s="119" t="s">
        <v>108</v>
      </c>
      <c r="D8" s="117" t="s">
        <v>109</v>
      </c>
      <c r="E8" s="118"/>
      <c r="F8" s="118"/>
      <c r="G8" s="118"/>
      <c r="H8" s="118">
        <f>SUM(H9:H14)</f>
        <v>445483.56</v>
      </c>
      <c r="I8" s="118"/>
      <c r="J8" s="118"/>
      <c r="K8" s="118"/>
      <c r="L8" s="118"/>
      <c r="M8" s="118"/>
      <c r="N8" s="118"/>
      <c r="O8" s="118"/>
      <c r="P8" s="288"/>
      <c r="Q8" s="288"/>
      <c r="R8" s="288"/>
      <c r="S8" s="288"/>
      <c r="T8" s="288"/>
      <c r="U8" s="288"/>
      <c r="V8" s="288"/>
      <c r="W8" s="288"/>
      <c r="X8" s="288"/>
      <c r="Y8" s="288"/>
      <c r="Z8" s="288"/>
      <c r="AA8" s="288"/>
      <c r="AB8" s="118">
        <f>SUM(AB9:AB14)</f>
        <v>445483.56</v>
      </c>
      <c r="AC8" s="118">
        <f t="shared" ref="AC8:AF8" si="4">SUM(AC9:AC14)</f>
        <v>38249.22</v>
      </c>
      <c r="AD8" s="118"/>
      <c r="AE8" s="118"/>
      <c r="AF8" s="118">
        <f t="shared" si="4"/>
        <v>36464.34</v>
      </c>
      <c r="AG8" s="118"/>
      <c r="AH8" s="118"/>
      <c r="AI8" s="118">
        <f>SUM(AI9:AI14)</f>
        <v>36464.34</v>
      </c>
      <c r="AJ8" s="118"/>
      <c r="AK8" s="118"/>
      <c r="AL8" s="118">
        <f>SUM(AL9:AL14)</f>
        <v>36464.34</v>
      </c>
      <c r="AM8" s="118"/>
      <c r="AN8" s="118"/>
      <c r="AO8" s="118">
        <f>SUM(AO9:AO14)</f>
        <v>36464.34</v>
      </c>
      <c r="AP8" s="118"/>
      <c r="AQ8" s="118"/>
      <c r="AR8" s="118">
        <f>SUM(AR9:AR14)</f>
        <v>36464.34</v>
      </c>
      <c r="AS8" s="118"/>
      <c r="AT8" s="118"/>
      <c r="AU8" s="118">
        <f>SUM(AU9:AU14)</f>
        <v>36464.34</v>
      </c>
      <c r="AV8" s="118"/>
      <c r="AW8" s="118"/>
      <c r="AX8" s="118">
        <f>SUM(AX9:AX14)</f>
        <v>36464.34</v>
      </c>
      <c r="AY8" s="118"/>
      <c r="AZ8" s="118"/>
      <c r="BA8" s="118">
        <f>SUM(BA9:BA14)</f>
        <v>36464.34</v>
      </c>
      <c r="BB8" s="118"/>
      <c r="BC8" s="118"/>
      <c r="BD8" s="118">
        <f>SUM(BD9:BD14)</f>
        <v>36464.34</v>
      </c>
      <c r="BE8" s="118"/>
      <c r="BF8" s="118"/>
      <c r="BG8" s="118">
        <f>SUM(BG9:BG14)</f>
        <v>36464.34</v>
      </c>
      <c r="BH8" s="118"/>
      <c r="BI8" s="118"/>
      <c r="BJ8" s="118">
        <f>SUM(BJ9:BJ14)</f>
        <v>42590.94</v>
      </c>
      <c r="BK8" s="118"/>
      <c r="BL8" s="305"/>
      <c r="BM8" s="310"/>
      <c r="BN8" s="313"/>
    </row>
    <row r="9" s="262" customFormat="1" ht="33.95" hidden="1" customHeight="1" outlineLevel="5" spans="2:66">
      <c r="B9" s="174" t="s">
        <v>799</v>
      </c>
      <c r="C9" s="282" t="s">
        <v>800</v>
      </c>
      <c r="D9" s="262" t="s">
        <v>801</v>
      </c>
      <c r="E9" s="174" t="s">
        <v>802</v>
      </c>
      <c r="F9" s="174"/>
      <c r="G9" s="174" t="s">
        <v>803</v>
      </c>
      <c r="H9" s="174">
        <f t="shared" ref="H9:H14" si="5">AB9</f>
        <v>445483.56</v>
      </c>
      <c r="I9" s="174" t="s">
        <v>804</v>
      </c>
      <c r="J9" s="174">
        <f t="shared" ref="J9:J14" si="6">SUM(AD9,AG9,AJ9,AM9,AP9,AS9,AV9,AY9,BB9,BE9,BH9,BK9)/N9</f>
        <v>6</v>
      </c>
      <c r="K9" s="174" t="s">
        <v>805</v>
      </c>
      <c r="L9" s="174">
        <f t="shared" ref="L9:L14" si="7">H9/N9/J9</f>
        <v>6187.27166666667</v>
      </c>
      <c r="M9" s="174" t="s">
        <v>806</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445483.56</v>
      </c>
      <c r="AC9" s="174">
        <f>AD9*AE9</f>
        <v>38249.22</v>
      </c>
      <c r="AD9" s="174">
        <f>'1-2 人员岗位信息'!F11</f>
        <v>6</v>
      </c>
      <c r="AE9" s="297">
        <f>IFERROR(自有人工预算!E26/AD9,0)</f>
        <v>6374.87</v>
      </c>
      <c r="AF9" s="174">
        <f t="shared" ref="AF9:AF14" si="9">AG9*AH9</f>
        <v>36464.34</v>
      </c>
      <c r="AG9" s="174">
        <f>SUMIFS('1-2 人员岗位信息'!G:G,'1-2 人员岗位信息'!$C:$C,"自有人员",'1-2 人员岗位信息'!$B:$B,$D9)</f>
        <v>6</v>
      </c>
      <c r="AH9" s="297">
        <f>IFERROR(自有人工预算!F26/AG9,0)</f>
        <v>6077.39</v>
      </c>
      <c r="AI9" s="174">
        <f t="shared" ref="AI9:AI14" si="10">AJ9*AK9</f>
        <v>36464.34</v>
      </c>
      <c r="AJ9" s="174">
        <f>SUMIFS('1-2 人员岗位信息'!H:H,'1-2 人员岗位信息'!$C:$C,"自有人员",'1-2 人员岗位信息'!$B:$B,$D9)</f>
        <v>6</v>
      </c>
      <c r="AK9" s="297">
        <f>IFERROR(自有人工预算!G26/AJ9,0)</f>
        <v>6077.39</v>
      </c>
      <c r="AL9" s="174">
        <f>AM9*AN9</f>
        <v>36464.34</v>
      </c>
      <c r="AM9" s="174">
        <f>SUMIFS('1-2 人员岗位信息'!I:I,'1-2 人员岗位信息'!$C:$C,"自有人员",'1-2 人员岗位信息'!$B:$B,$D9)</f>
        <v>6</v>
      </c>
      <c r="AN9" s="297">
        <f>IFERROR(自有人工预算!H26/AM9,0)</f>
        <v>6077.39</v>
      </c>
      <c r="AO9" s="174">
        <f t="shared" ref="AO9:AO14" si="11">AP9*AQ9</f>
        <v>36464.34</v>
      </c>
      <c r="AP9" s="174">
        <f>SUMIFS('1-2 人员岗位信息'!J:J,'1-2 人员岗位信息'!$C:$C,"自有人员",'1-2 人员岗位信息'!$B:$B,$D9)</f>
        <v>6</v>
      </c>
      <c r="AQ9" s="297">
        <f>IFERROR(自有人工预算!I26/AP9,0)</f>
        <v>6077.39</v>
      </c>
      <c r="AR9" s="174">
        <f>AS9*AT9</f>
        <v>36464.34</v>
      </c>
      <c r="AS9" s="174">
        <f>SUMIFS('1-2 人员岗位信息'!K:K,'1-2 人员岗位信息'!$C:$C,"自有人员",'1-2 人员岗位信息'!$B:$B,$D9)</f>
        <v>6</v>
      </c>
      <c r="AT9" s="297">
        <f>IFERROR(自有人工预算!J26/AS9,0)</f>
        <v>6077.39</v>
      </c>
      <c r="AU9" s="174">
        <f t="shared" ref="AU9:AU14" si="12">AV9*AW9</f>
        <v>36464.34</v>
      </c>
      <c r="AV9" s="174">
        <f>SUMIFS('1-2 人员岗位信息'!L:L,'1-2 人员岗位信息'!$C:$C,"自有人员",'1-2 人员岗位信息'!$B:$B,$D9)</f>
        <v>6</v>
      </c>
      <c r="AW9" s="297">
        <f>IFERROR(自有人工预算!K26/AV9,0)</f>
        <v>6077.39</v>
      </c>
      <c r="AX9" s="174">
        <f t="shared" ref="AX9:AX14" si="13">AY9*AZ9</f>
        <v>36464.34</v>
      </c>
      <c r="AY9" s="174">
        <f>SUMIFS('1-2 人员岗位信息'!M:M,'1-2 人员岗位信息'!$C:$C,"自有人员",'1-2 人员岗位信息'!$B:$B,$D9)</f>
        <v>6</v>
      </c>
      <c r="AZ9" s="297">
        <f>IFERROR(自有人工预算!L26/AY9,0)</f>
        <v>6077.39</v>
      </c>
      <c r="BA9" s="174">
        <f t="shared" ref="BA9:BA14" si="14">BB9*BC9</f>
        <v>36464.34</v>
      </c>
      <c r="BB9" s="174">
        <f>SUMIFS('1-2 人员岗位信息'!N:N,'1-2 人员岗位信息'!$C:$C,"自有人员",'1-2 人员岗位信息'!$B:$B,$D9)</f>
        <v>6</v>
      </c>
      <c r="BC9" s="297">
        <f>IFERROR(自有人工预算!M26/BB9,0)</f>
        <v>6077.39</v>
      </c>
      <c r="BD9" s="174">
        <f t="shared" ref="BD9:BD14" si="15">BE9*BF9</f>
        <v>36464.34</v>
      </c>
      <c r="BE9" s="174">
        <f>SUMIFS('1-2 人员岗位信息'!O:O,'1-2 人员岗位信息'!$C:$C,"自有人员",'1-2 人员岗位信息'!$B:$B,$D9)</f>
        <v>6</v>
      </c>
      <c r="BF9" s="297">
        <f>IFERROR(自有人工预算!N26/BE9,0)</f>
        <v>6077.39</v>
      </c>
      <c r="BG9" s="174">
        <f t="shared" ref="BG9:BG14" si="16">BH9*BI9</f>
        <v>36464.34</v>
      </c>
      <c r="BH9" s="174">
        <f>SUMIFS('1-2 人员岗位信息'!P:P,'1-2 人员岗位信息'!$C:$C,"自有人员",'1-2 人员岗位信息'!$B:$B,$D9)</f>
        <v>6</v>
      </c>
      <c r="BI9" s="297">
        <f>IFERROR(自有人工预算!O26/BH9,0)</f>
        <v>6077.39</v>
      </c>
      <c r="BJ9" s="174">
        <f t="shared" ref="BJ9:BJ14" si="17">BK9*BL9</f>
        <v>42590.94</v>
      </c>
      <c r="BK9" s="174">
        <f>SUMIFS('1-2 人员岗位信息'!Q:Q,'1-2 人员岗位信息'!$C:$C,"自有人员",'1-2 人员岗位信息'!$B:$B,$D9)</f>
        <v>6</v>
      </c>
      <c r="BL9" s="297">
        <f>IFERROR(自有人工预算!P26/BK9,0)</f>
        <v>7098.49</v>
      </c>
      <c r="BM9" s="310"/>
      <c r="BN9" s="314"/>
    </row>
    <row r="10" s="262" customFormat="1" ht="33.95" hidden="1" customHeight="1" outlineLevel="5" spans="2:66">
      <c r="B10" s="174" t="s">
        <v>799</v>
      </c>
      <c r="C10" s="282" t="s">
        <v>807</v>
      </c>
      <c r="D10" s="262"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799</v>
      </c>
      <c r="C11" s="282" t="s">
        <v>810</v>
      </c>
      <c r="D11" s="262"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799</v>
      </c>
      <c r="C12" s="282" t="s">
        <v>813</v>
      </c>
      <c r="D12" s="262"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799</v>
      </c>
      <c r="C13" s="282" t="s">
        <v>816</v>
      </c>
      <c r="D13" s="262"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799</v>
      </c>
      <c r="C14" s="282" t="s">
        <v>819</v>
      </c>
      <c r="D14" s="262"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799</v>
      </c>
      <c r="C16" s="282" t="s">
        <v>822</v>
      </c>
      <c r="D16" s="262"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799</v>
      </c>
      <c r="C17" s="282" t="s">
        <v>824</v>
      </c>
      <c r="D17" s="262"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799</v>
      </c>
      <c r="C18" s="282" t="s">
        <v>826</v>
      </c>
      <c r="D18" s="262"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799</v>
      </c>
      <c r="C19" s="282" t="s">
        <v>827</v>
      </c>
      <c r="D19" s="262"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799</v>
      </c>
      <c r="C20" s="282" t="s">
        <v>828</v>
      </c>
      <c r="D20" s="262"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799</v>
      </c>
      <c r="C21" s="282" t="s">
        <v>829</v>
      </c>
      <c r="D21" s="262"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799</v>
      </c>
      <c r="C23" s="282" t="s">
        <v>830</v>
      </c>
      <c r="D23" s="262"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799</v>
      </c>
      <c r="C24" s="282" t="s">
        <v>832</v>
      </c>
      <c r="D24" s="262"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799</v>
      </c>
      <c r="C25" s="282" t="s">
        <v>834</v>
      </c>
      <c r="D25" s="262"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799</v>
      </c>
      <c r="C26" s="282" t="s">
        <v>835</v>
      </c>
      <c r="D26" s="262"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799</v>
      </c>
      <c r="C27" s="282" t="s">
        <v>836</v>
      </c>
      <c r="D27" s="262"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799</v>
      </c>
      <c r="C28" s="282" t="s">
        <v>837</v>
      </c>
      <c r="D28" s="262"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4"/>
      <c r="BM29" s="310"/>
      <c r="BN29" s="312"/>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5"/>
      <c r="BM30" s="310"/>
      <c r="BN30" s="313"/>
    </row>
    <row r="31" s="262" customFormat="1" ht="33.95" hidden="1" customHeight="1" outlineLevel="5" spans="2:66">
      <c r="B31" s="174" t="s">
        <v>799</v>
      </c>
      <c r="C31" s="282" t="s">
        <v>840</v>
      </c>
      <c r="D31" s="262"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89"/>
      <c r="Q31" s="289"/>
      <c r="R31" s="289"/>
      <c r="S31" s="289"/>
      <c r="T31" s="289"/>
      <c r="U31" s="289"/>
      <c r="V31" s="289"/>
      <c r="W31" s="289"/>
      <c r="X31" s="289"/>
      <c r="Y31" s="289"/>
      <c r="Z31" s="289"/>
      <c r="AA31" s="289"/>
      <c r="AB31" s="174">
        <f t="shared" ref="AB31:AB38" si="63">SUM(AC31,AF31,AI31,AL31,AO31,AR31,AU31,AX31,BA31,BD31,BG31,BJ31)</f>
        <v>0</v>
      </c>
      <c r="AC31" s="174">
        <f t="shared" ref="AC31:AC38" si="64">AD31*AE31</f>
        <v>0</v>
      </c>
      <c r="AD31" s="174">
        <f>SUMIFS('1-2 人员岗位信息'!F:F,'1-2 人员岗位信息'!$C:$C,"自有人员",'1-2 人员岗位信息'!$B:$B,$D31)</f>
        <v>0</v>
      </c>
      <c r="AE31" s="297">
        <f>IFERROR(自有人工预算!E28/AD31,0)</f>
        <v>0</v>
      </c>
      <c r="AF31" s="174">
        <f t="shared" ref="AF31:AF38" si="65">AG31*AH31</f>
        <v>0</v>
      </c>
      <c r="AG31" s="174">
        <f>SUMIFS('1-2 人员岗位信息'!G:G,'1-2 人员岗位信息'!$C:$C,"自有人员",'1-2 人员岗位信息'!$B:$B,$D31)</f>
        <v>0</v>
      </c>
      <c r="AH31" s="297">
        <f>IFERROR(自有人工预算!F28/AG31,0)</f>
        <v>0</v>
      </c>
      <c r="AI31" s="174">
        <f t="shared" ref="AI31:AI38" si="66">AJ31*AK31</f>
        <v>0</v>
      </c>
      <c r="AJ31" s="174">
        <f>SUMIFS('1-2 人员岗位信息'!H:H,'1-2 人员岗位信息'!$C:$C,"自有人员",'1-2 人员岗位信息'!$B:$B,$D31)</f>
        <v>0</v>
      </c>
      <c r="AK31" s="297">
        <f>IFERROR(自有人工预算!G28/AJ31,0)</f>
        <v>0</v>
      </c>
      <c r="AL31" s="174">
        <f t="shared" ref="AL31:AL38" si="67">AM31*AN31</f>
        <v>0</v>
      </c>
      <c r="AM31" s="174">
        <f>SUMIFS('1-2 人员岗位信息'!I:I,'1-2 人员岗位信息'!$C:$C,"自有人员",'1-2 人员岗位信息'!$B:$B,$D31)</f>
        <v>0</v>
      </c>
      <c r="AN31" s="297">
        <f>IFERROR(自有人工预算!H28/AM31,0)</f>
        <v>0</v>
      </c>
      <c r="AO31" s="174">
        <f t="shared" ref="AO31:AO38" si="68">AP31*AQ31</f>
        <v>0</v>
      </c>
      <c r="AP31" s="174">
        <f>SUMIFS('1-2 人员岗位信息'!J:J,'1-2 人员岗位信息'!$C:$C,"自有人员",'1-2 人员岗位信息'!$B:$B,$D31)</f>
        <v>0</v>
      </c>
      <c r="AQ31" s="297">
        <f>IFERROR(自有人工预算!I28/AP31,0)</f>
        <v>0</v>
      </c>
      <c r="AR31" s="174">
        <f t="shared" ref="AR31:AR38" si="69">AS31*AT31</f>
        <v>0</v>
      </c>
      <c r="AS31" s="174">
        <f>SUMIFS('1-2 人员岗位信息'!K:K,'1-2 人员岗位信息'!$C:$C,"自有人员",'1-2 人员岗位信息'!$B:$B,$D31)</f>
        <v>0</v>
      </c>
      <c r="AT31" s="297">
        <f>IFERROR(自有人工预算!J28/AS31,0)</f>
        <v>0</v>
      </c>
      <c r="AU31" s="174">
        <f t="shared" ref="AU31:AU38" si="70">AV31*AW31</f>
        <v>0</v>
      </c>
      <c r="AV31" s="174">
        <f>SUMIFS('1-2 人员岗位信息'!L:L,'1-2 人员岗位信息'!$C:$C,"自有人员",'1-2 人员岗位信息'!$B:$B,$D31)</f>
        <v>0</v>
      </c>
      <c r="AW31" s="297">
        <f>IFERROR(自有人工预算!K28/AV31,0)</f>
        <v>0</v>
      </c>
      <c r="AX31" s="174">
        <f t="shared" ref="AX31:AX38" si="71">AY31*AZ31</f>
        <v>0</v>
      </c>
      <c r="AY31" s="174">
        <f>SUMIFS('1-2 人员岗位信息'!M:M,'1-2 人员岗位信息'!$C:$C,"自有人员",'1-2 人员岗位信息'!$B:$B,$D31)</f>
        <v>0</v>
      </c>
      <c r="AZ31" s="297">
        <f>IFERROR(自有人工预算!L28/AY31,0)</f>
        <v>0</v>
      </c>
      <c r="BA31" s="174">
        <f t="shared" ref="BA31:BA38" si="72">BB31*BC31</f>
        <v>0</v>
      </c>
      <c r="BB31" s="174">
        <f>SUMIFS('1-2 人员岗位信息'!N:N,'1-2 人员岗位信息'!$C:$C,"自有人员",'1-2 人员岗位信息'!$B:$B,$D31)</f>
        <v>0</v>
      </c>
      <c r="BC31" s="297">
        <f>IFERROR(自有人工预算!M28/BB31,0)</f>
        <v>0</v>
      </c>
      <c r="BD31" s="174">
        <f t="shared" ref="BD31:BD38" si="73">BE31*BF31</f>
        <v>0</v>
      </c>
      <c r="BE31" s="174">
        <f>SUMIFS('1-2 人员岗位信息'!O:O,'1-2 人员岗位信息'!$C:$C,"自有人员",'1-2 人员岗位信息'!$B:$B,$D31)</f>
        <v>0</v>
      </c>
      <c r="BF31" s="297">
        <f>IFERROR(自有人工预算!N28/BE31,0)</f>
        <v>0</v>
      </c>
      <c r="BG31" s="174">
        <f t="shared" ref="BG31:BG38" si="74">BH31*BI31</f>
        <v>0</v>
      </c>
      <c r="BH31" s="174">
        <f>SUMIFS('1-2 人员岗位信息'!P:P,'1-2 人员岗位信息'!$C:$C,"自有人员",'1-2 人员岗位信息'!$B:$B,$D31)</f>
        <v>0</v>
      </c>
      <c r="BI31" s="297">
        <f>IFERROR(自有人工预算!O28/BH31,0)</f>
        <v>0</v>
      </c>
      <c r="BJ31" s="174">
        <f t="shared" ref="BJ31:BJ38" si="75">BK31*BL31</f>
        <v>0</v>
      </c>
      <c r="BK31" s="174">
        <f>SUMIFS('1-2 人员岗位信息'!Q:Q,'1-2 人员岗位信息'!$C:$C,"自有人员",'1-2 人员岗位信息'!$B:$B,$D31)</f>
        <v>0</v>
      </c>
      <c r="BL31" s="297">
        <f>IFERROR(自有人工预算!P28/BK31,0)</f>
        <v>0</v>
      </c>
      <c r="BM31" s="310"/>
      <c r="BN31" s="314"/>
    </row>
    <row r="32" s="262" customFormat="1" ht="33.95" hidden="1" customHeight="1" outlineLevel="5" spans="2:66">
      <c r="B32" s="174" t="s">
        <v>799</v>
      </c>
      <c r="C32" s="282" t="s">
        <v>843</v>
      </c>
      <c r="D32" s="262"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799</v>
      </c>
      <c r="C33" s="282" t="s">
        <v>845</v>
      </c>
      <c r="D33" s="262"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799</v>
      </c>
      <c r="C34" s="282" t="s">
        <v>848</v>
      </c>
      <c r="D34" s="262"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799</v>
      </c>
      <c r="C35" s="282" t="s">
        <v>851</v>
      </c>
      <c r="D35" s="262"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799</v>
      </c>
      <c r="C36" s="282" t="s">
        <v>854</v>
      </c>
      <c r="D36" s="262"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799</v>
      </c>
      <c r="C37" s="282" t="s">
        <v>857</v>
      </c>
      <c r="D37" s="262"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799</v>
      </c>
      <c r="C38" s="282" t="s">
        <v>860</v>
      </c>
      <c r="D38" s="262"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799</v>
      </c>
      <c r="C40" s="282" t="s">
        <v>862</v>
      </c>
      <c r="D40" s="262"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799</v>
      </c>
      <c r="C41" s="282" t="s">
        <v>864</v>
      </c>
      <c r="D41" s="262"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799</v>
      </c>
      <c r="C42" s="282" t="s">
        <v>865</v>
      </c>
      <c r="D42" s="262"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799</v>
      </c>
      <c r="C43" s="282" t="s">
        <v>866</v>
      </c>
      <c r="D43" s="262"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799</v>
      </c>
      <c r="C44" s="282" t="s">
        <v>867</v>
      </c>
      <c r="D44" s="262"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799</v>
      </c>
      <c r="C45" s="282" t="s">
        <v>868</v>
      </c>
      <c r="D45" s="262"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799</v>
      </c>
      <c r="C46" s="282" t="s">
        <v>869</v>
      </c>
      <c r="D46" s="262"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799</v>
      </c>
      <c r="C47" s="282" t="s">
        <v>870</v>
      </c>
      <c r="D47" s="262"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799</v>
      </c>
      <c r="C49" s="282" t="s">
        <v>872</v>
      </c>
      <c r="D49" s="262"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799</v>
      </c>
      <c r="C50" s="282" t="s">
        <v>874</v>
      </c>
      <c r="D50" s="262"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799</v>
      </c>
      <c r="C51" s="282" t="s">
        <v>876</v>
      </c>
      <c r="D51" s="262"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799</v>
      </c>
      <c r="C52" s="282" t="s">
        <v>877</v>
      </c>
      <c r="D52" s="262"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799</v>
      </c>
      <c r="C53" s="282" t="s">
        <v>878</v>
      </c>
      <c r="D53" s="262"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799</v>
      </c>
      <c r="C54" s="282" t="s">
        <v>879</v>
      </c>
      <c r="D54" s="262"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799</v>
      </c>
      <c r="C55" s="282" t="s">
        <v>880</v>
      </c>
      <c r="D55" s="262"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799</v>
      </c>
      <c r="C56" s="282" t="s">
        <v>881</v>
      </c>
      <c r="D56" s="262"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8" customFormat="1" ht="33.95" hidden="1" customHeight="1" outlineLevel="3" collapsed="1" spans="2:66">
      <c r="B57" s="114" t="s">
        <v>794</v>
      </c>
      <c r="C57" s="115" t="s">
        <v>882</v>
      </c>
      <c r="D57" s="48" t="s">
        <v>883</v>
      </c>
      <c r="E57" s="114"/>
      <c r="F57" s="114"/>
      <c r="G57" s="114"/>
      <c r="H57" s="114">
        <f>H58+H69+H80+H91</f>
        <v>226415.094339623</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226415.094339623</v>
      </c>
      <c r="AC57" s="114">
        <f t="shared" si="112"/>
        <v>18867.9245283019</v>
      </c>
      <c r="AD57" s="114"/>
      <c r="AE57" s="114"/>
      <c r="AF57" s="114">
        <f t="shared" si="112"/>
        <v>18867.9245283019</v>
      </c>
      <c r="AG57" s="114"/>
      <c r="AH57" s="114"/>
      <c r="AI57" s="114">
        <f>AI58+AI69+AI80+AI91</f>
        <v>18867.9245283019</v>
      </c>
      <c r="AJ57" s="114"/>
      <c r="AK57" s="114"/>
      <c r="AL57" s="114">
        <f>AL58+AL69+AL80+AL91</f>
        <v>18867.9245283019</v>
      </c>
      <c r="AM57" s="114"/>
      <c r="AN57" s="114"/>
      <c r="AO57" s="114">
        <f>AO58+AO69+AO80+AO91</f>
        <v>18867.9245283019</v>
      </c>
      <c r="AP57" s="114"/>
      <c r="AQ57" s="114"/>
      <c r="AR57" s="114">
        <f>AR58+AR69+AR80+AR91</f>
        <v>18867.9245283019</v>
      </c>
      <c r="AS57" s="114"/>
      <c r="AT57" s="114"/>
      <c r="AU57" s="114">
        <f>AU58+AU69+AU80+AU91</f>
        <v>18867.9245283019</v>
      </c>
      <c r="AV57" s="114"/>
      <c r="AW57" s="114"/>
      <c r="AX57" s="114">
        <f>AX58+AX69+AX80+AX91</f>
        <v>18867.9245283019</v>
      </c>
      <c r="AY57" s="114"/>
      <c r="AZ57" s="114"/>
      <c r="BA57" s="114">
        <f>BA58+BA69+BA80+BA91</f>
        <v>18867.9245283019</v>
      </c>
      <c r="BB57" s="114"/>
      <c r="BC57" s="114"/>
      <c r="BD57" s="114">
        <f>BD58+BD69+BD80+BD91</f>
        <v>18867.9245283019</v>
      </c>
      <c r="BE57" s="114"/>
      <c r="BF57" s="114"/>
      <c r="BG57" s="114">
        <f>BG58+BG69+BG80+BG91</f>
        <v>18867.9245283019</v>
      </c>
      <c r="BH57" s="114"/>
      <c r="BI57" s="114"/>
      <c r="BJ57" s="114">
        <f>BJ58+BJ69+BJ80+BJ91</f>
        <v>18867.9245283019</v>
      </c>
      <c r="BK57" s="114"/>
      <c r="BL57" s="304"/>
      <c r="BM57" s="310"/>
      <c r="BN57" s="312"/>
    </row>
    <row r="58" s="117" customFormat="1" ht="33.95" hidden="1" customHeight="1" outlineLevel="4" collapsed="1" spans="2:66">
      <c r="B58" s="118" t="s">
        <v>794</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799</v>
      </c>
      <c r="C59" s="282" t="s">
        <v>884</v>
      </c>
      <c r="D59" s="262" t="s">
        <v>885</v>
      </c>
      <c r="E59" s="174" t="s">
        <v>886</v>
      </c>
      <c r="F59" s="174"/>
      <c r="G59" s="174" t="s">
        <v>803</v>
      </c>
      <c r="H59" s="174">
        <f t="shared" ref="H59:H68" si="114">AB59</f>
        <v>0</v>
      </c>
      <c r="I59" s="174" t="s">
        <v>804</v>
      </c>
      <c r="J59" s="174" t="e">
        <f t="shared" ref="J59:J68" si="115">SUM(AD59,AG59,AJ59,AM59,AP59,AS59,AV59,AY59,BB59,BE59,BH59,BK59)/N59</f>
        <v>#DIV/0!</v>
      </c>
      <c r="K59" s="174" t="s">
        <v>805</v>
      </c>
      <c r="L59" s="174" t="e">
        <f t="shared" ref="L59:L68" si="116">H59/N59/J59</f>
        <v>#DIV/0!</v>
      </c>
      <c r="M59" s="174" t="s">
        <v>806</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f>IFERROR(自有人工预算!E27/AD59,0)</f>
        <v>0</v>
      </c>
      <c r="AF59" s="174">
        <f t="shared" ref="AF59:AF68" si="120">AG59*AH59</f>
        <v>0</v>
      </c>
      <c r="AG59" s="174">
        <f>SUMIFS('1-2 人员岗位信息'!G:G,'1-2 人员岗位信息'!$C:$C,"自有人员",'1-2 人员岗位信息'!$B:$B,$D59)</f>
        <v>0</v>
      </c>
      <c r="AH59" s="297">
        <f>IFERROR(自有人工预算!F27/AG59,0)</f>
        <v>0</v>
      </c>
      <c r="AI59" s="174">
        <f t="shared" ref="AI59:AI68" si="121">AJ59*AK59</f>
        <v>0</v>
      </c>
      <c r="AJ59" s="174">
        <f>SUMIFS('1-2 人员岗位信息'!H:H,'1-2 人员岗位信息'!$C:$C,"自有人员",'1-2 人员岗位信息'!$B:$B,$D59)</f>
        <v>0</v>
      </c>
      <c r="AK59" s="297">
        <f>IFERROR(自有人工预算!G27/AJ59,0)</f>
        <v>0</v>
      </c>
      <c r="AL59" s="174">
        <f t="shared" ref="AL59:AL68" si="122">AM59*AN59</f>
        <v>0</v>
      </c>
      <c r="AM59" s="174">
        <f>SUMIFS('1-2 人员岗位信息'!I:I,'1-2 人员岗位信息'!$C:$C,"自有人员",'1-2 人员岗位信息'!$B:$B,$D59)</f>
        <v>0</v>
      </c>
      <c r="AN59" s="297">
        <f>IFERROR(自有人工预算!H27/AM59,0)</f>
        <v>0</v>
      </c>
      <c r="AO59" s="174">
        <f t="shared" ref="AO59:AO68" si="123">AP59*AQ59</f>
        <v>0</v>
      </c>
      <c r="AP59" s="174">
        <f>SUMIFS('1-2 人员岗位信息'!J:J,'1-2 人员岗位信息'!$C:$C,"自有人员",'1-2 人员岗位信息'!$B:$B,$D59)</f>
        <v>0</v>
      </c>
      <c r="AQ59" s="297">
        <f>IFERROR(自有人工预算!I27/AP59,0)</f>
        <v>0</v>
      </c>
      <c r="AR59" s="174">
        <f t="shared" ref="AR59:AR68" si="124">AS59*AT59</f>
        <v>0</v>
      </c>
      <c r="AS59" s="174">
        <f>SUMIFS('1-2 人员岗位信息'!K:K,'1-2 人员岗位信息'!$C:$C,"自有人员",'1-2 人员岗位信息'!$B:$B,$D59)</f>
        <v>0</v>
      </c>
      <c r="AT59" s="297">
        <f>IFERROR(自有人工预算!J27/AS59,0)</f>
        <v>0</v>
      </c>
      <c r="AU59" s="174">
        <f t="shared" ref="AU59:AU68" si="125">AV59*AW59</f>
        <v>0</v>
      </c>
      <c r="AV59" s="174">
        <f>SUMIFS('1-2 人员岗位信息'!L:L,'1-2 人员岗位信息'!$C:$C,"自有人员",'1-2 人员岗位信息'!$B:$B,$D59)</f>
        <v>0</v>
      </c>
      <c r="AW59" s="297">
        <f>IFERROR(自有人工预算!K27/AV59,0)</f>
        <v>0</v>
      </c>
      <c r="AX59" s="174">
        <f t="shared" ref="AX59:AX68" si="126">AY59*AZ59</f>
        <v>0</v>
      </c>
      <c r="AY59" s="174">
        <f>SUMIFS('1-2 人员岗位信息'!M:M,'1-2 人员岗位信息'!$C:$C,"自有人员",'1-2 人员岗位信息'!$B:$B,$D59)</f>
        <v>0</v>
      </c>
      <c r="AZ59" s="297">
        <f>IFERROR(自有人工预算!L27/AY59,0)</f>
        <v>0</v>
      </c>
      <c r="BA59" s="174">
        <f t="shared" ref="BA59:BA68" si="127">BB59*BC59</f>
        <v>0</v>
      </c>
      <c r="BB59" s="174">
        <f>SUMIFS('1-2 人员岗位信息'!N:N,'1-2 人员岗位信息'!$C:$C,"自有人员",'1-2 人员岗位信息'!$B:$B,$D59)</f>
        <v>0</v>
      </c>
      <c r="BC59" s="297">
        <f>IFERROR(自有人工预算!M27/BB59,0)</f>
        <v>0</v>
      </c>
      <c r="BD59" s="174">
        <f t="shared" ref="BD59:BD68" si="128">BE59*BF59</f>
        <v>0</v>
      </c>
      <c r="BE59" s="174">
        <f>SUMIFS('1-2 人员岗位信息'!O:O,'1-2 人员岗位信息'!$C:$C,"自有人员",'1-2 人员岗位信息'!$B:$B,$D59)</f>
        <v>0</v>
      </c>
      <c r="BF59" s="297">
        <f>IFERROR(自有人工预算!N27/BE59,0)</f>
        <v>0</v>
      </c>
      <c r="BG59" s="174">
        <f t="shared" ref="BG59:BG68" si="129">BH59*BI59</f>
        <v>0</v>
      </c>
      <c r="BH59" s="174">
        <f>SUMIFS('1-2 人员岗位信息'!P:P,'1-2 人员岗位信息'!$C:$C,"自有人员",'1-2 人员岗位信息'!$B:$B,$D59)</f>
        <v>0</v>
      </c>
      <c r="BI59" s="297">
        <f>IFERROR(自有人工预算!O27/BH59,0)</f>
        <v>0</v>
      </c>
      <c r="BJ59" s="174">
        <f t="shared" ref="BJ59:BJ68" si="130">BK59*BL59</f>
        <v>0</v>
      </c>
      <c r="BK59" s="174">
        <f>SUMIFS('1-2 人员岗位信息'!Q:Q,'1-2 人员岗位信息'!$C:$C,"自有人员",'1-2 人员岗位信息'!$B:$B,$D59)</f>
        <v>0</v>
      </c>
      <c r="BL59" s="297">
        <f>IFERROR(自有人工预算!P27/BK59,0)</f>
        <v>0</v>
      </c>
      <c r="BM59" s="310"/>
      <c r="BN59" s="314"/>
    </row>
    <row r="60" s="262" customFormat="1" ht="33.95" hidden="1" customHeight="1" outlineLevel="5" spans="2:66">
      <c r="B60" s="174" t="s">
        <v>799</v>
      </c>
      <c r="C60" s="282" t="s">
        <v>887</v>
      </c>
      <c r="D60" s="262"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799</v>
      </c>
      <c r="C61" s="282" t="s">
        <v>890</v>
      </c>
      <c r="D61" s="262"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799</v>
      </c>
      <c r="C62" s="282" t="s">
        <v>893</v>
      </c>
      <c r="D62" s="262"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799</v>
      </c>
      <c r="C63" s="282" t="s">
        <v>896</v>
      </c>
      <c r="D63" s="262"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799</v>
      </c>
      <c r="C64" s="282" t="s">
        <v>899</v>
      </c>
      <c r="D64" s="262"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799</v>
      </c>
      <c r="C65" s="282" t="s">
        <v>902</v>
      </c>
      <c r="D65" s="262"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799</v>
      </c>
      <c r="C66" s="282" t="s">
        <v>905</v>
      </c>
      <c r="D66" s="262"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799</v>
      </c>
      <c r="C67" s="282" t="s">
        <v>908</v>
      </c>
      <c r="D67" s="262"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799</v>
      </c>
      <c r="C68" s="282" t="s">
        <v>911</v>
      </c>
      <c r="D68" s="262"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799</v>
      </c>
      <c r="C70" s="282" t="s">
        <v>913</v>
      </c>
      <c r="D70" s="262"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799</v>
      </c>
      <c r="C71" s="282" t="s">
        <v>915</v>
      </c>
      <c r="D71" s="262"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799</v>
      </c>
      <c r="C72" s="282" t="s">
        <v>917</v>
      </c>
      <c r="D72" s="262"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799</v>
      </c>
      <c r="C73" s="282" t="s">
        <v>918</v>
      </c>
      <c r="D73" s="262"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799</v>
      </c>
      <c r="C74" s="282" t="s">
        <v>919</v>
      </c>
      <c r="D74" s="262"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799</v>
      </c>
      <c r="C75" s="282" t="s">
        <v>920</v>
      </c>
      <c r="D75" s="262"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799</v>
      </c>
      <c r="C76" s="282" t="s">
        <v>921</v>
      </c>
      <c r="D76" s="262"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799</v>
      </c>
      <c r="C77" s="282" t="s">
        <v>922</v>
      </c>
      <c r="D77" s="262"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799</v>
      </c>
      <c r="C78" s="282" t="s">
        <v>923</v>
      </c>
      <c r="D78" s="262"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799</v>
      </c>
      <c r="C79" s="282" t="s">
        <v>924</v>
      </c>
      <c r="D79" s="262"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794</v>
      </c>
      <c r="C80" s="119" t="s">
        <v>14</v>
      </c>
      <c r="D80" s="117" t="s">
        <v>15</v>
      </c>
      <c r="E80" s="118"/>
      <c r="F80" s="118"/>
      <c r="G80" s="118"/>
      <c r="H80" s="118">
        <f>SUM(H81:H90)</f>
        <v>226415.094339623</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226415.094339623</v>
      </c>
      <c r="AC80" s="118">
        <f t="shared" si="149"/>
        <v>18867.9245283019</v>
      </c>
      <c r="AD80" s="118"/>
      <c r="AE80" s="118"/>
      <c r="AF80" s="118">
        <f t="shared" si="149"/>
        <v>18867.9245283019</v>
      </c>
      <c r="AG80" s="118"/>
      <c r="AH80" s="118"/>
      <c r="AI80" s="118">
        <f>SUM(AI81:AI90)</f>
        <v>18867.9245283019</v>
      </c>
      <c r="AJ80" s="118"/>
      <c r="AK80" s="118"/>
      <c r="AL80" s="118">
        <f>SUM(AL81:AL90)</f>
        <v>18867.9245283019</v>
      </c>
      <c r="AM80" s="118"/>
      <c r="AN80" s="118"/>
      <c r="AO80" s="118">
        <f>SUM(AO81:AO90)</f>
        <v>18867.9245283019</v>
      </c>
      <c r="AP80" s="118"/>
      <c r="AQ80" s="118"/>
      <c r="AR80" s="118">
        <f>SUM(AR81:AR90)</f>
        <v>18867.9245283019</v>
      </c>
      <c r="AS80" s="118"/>
      <c r="AT80" s="118"/>
      <c r="AU80" s="118">
        <f>SUM(AU81:AU90)</f>
        <v>18867.9245283019</v>
      </c>
      <c r="AV80" s="118"/>
      <c r="AW80" s="118"/>
      <c r="AX80" s="118">
        <f>SUM(AX81:AX90)</f>
        <v>18867.9245283019</v>
      </c>
      <c r="AY80" s="118"/>
      <c r="AZ80" s="118"/>
      <c r="BA80" s="118">
        <f>SUM(BA81:BA90)</f>
        <v>18867.9245283019</v>
      </c>
      <c r="BB80" s="118"/>
      <c r="BC80" s="118"/>
      <c r="BD80" s="118">
        <f>SUM(BD81:BD90)</f>
        <v>18867.9245283019</v>
      </c>
      <c r="BE80" s="118"/>
      <c r="BF80" s="118"/>
      <c r="BG80" s="118">
        <f>SUM(BG81:BG90)</f>
        <v>18867.9245283019</v>
      </c>
      <c r="BH80" s="118"/>
      <c r="BI80" s="118"/>
      <c r="BJ80" s="118">
        <f>SUM(BJ81:BJ90)</f>
        <v>18867.9245283019</v>
      </c>
      <c r="BK80" s="118"/>
      <c r="BL80" s="305"/>
      <c r="BM80" s="310"/>
      <c r="BN80" s="313"/>
    </row>
    <row r="81" s="262" customFormat="1" ht="33.95" hidden="1" customHeight="1" outlineLevel="5" spans="2:66">
      <c r="B81" s="174" t="s">
        <v>799</v>
      </c>
      <c r="C81" s="282" t="s">
        <v>926</v>
      </c>
      <c r="D81" s="262" t="s">
        <v>885</v>
      </c>
      <c r="E81" s="174" t="s">
        <v>927</v>
      </c>
      <c r="F81" s="174"/>
      <c r="G81" s="174" t="s">
        <v>803</v>
      </c>
      <c r="H81" s="174">
        <f t="shared" ref="H81:H90" si="150">AB81</f>
        <v>226415.094339623</v>
      </c>
      <c r="I81" s="174" t="s">
        <v>804</v>
      </c>
      <c r="J81" s="174">
        <f t="shared" ref="J81:J90" si="151">SUM(AD81,AG81,AJ81,AM81,AP81,AS81,AV81,AY81,BB81,BE81,BH81,BK81)/N81</f>
        <v>5</v>
      </c>
      <c r="K81" s="174" t="s">
        <v>805</v>
      </c>
      <c r="L81" s="174">
        <f t="shared" ref="L81:L90" si="152">H81/N81/J81</f>
        <v>3773.58490566038</v>
      </c>
      <c r="M81" s="174" t="s">
        <v>806</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226415.094339623</v>
      </c>
      <c r="AC81" s="174">
        <f t="shared" ref="AC81:AC90" si="154">AD81*AE81</f>
        <v>18867.9245283019</v>
      </c>
      <c r="AD81" s="174">
        <f>SUMIFS('1-2 人员岗位信息'!J:J,'1-2 人员岗位信息'!$C:$C,"专业外包",'1-2 人员岗位信息'!$B:$B,$D81)</f>
        <v>5</v>
      </c>
      <c r="AE81" s="297">
        <f>IFERROR(预算主表!P79/(12*AD81),0)</f>
        <v>3773.58490566038</v>
      </c>
      <c r="AF81" s="174">
        <f t="shared" ref="AF81:AF90" si="155">AG81*AH81</f>
        <v>18867.9245283019</v>
      </c>
      <c r="AG81" s="174">
        <f>SUMIFS('1-2 人员岗位信息'!J:J,'1-2 人员岗位信息'!$C:$C,"专业外包",'1-2 人员岗位信息'!$B:$B,$D81)</f>
        <v>5</v>
      </c>
      <c r="AH81" s="297">
        <f>AE81</f>
        <v>3773.58490566038</v>
      </c>
      <c r="AI81" s="174">
        <f t="shared" ref="AI81:AI90" si="156">AJ81*AK81</f>
        <v>18867.9245283019</v>
      </c>
      <c r="AJ81" s="174">
        <f>SUMIFS('1-2 人员岗位信息'!J:J,'1-2 人员岗位信息'!$C:$C,"专业外包",'1-2 人员岗位信息'!$B:$B,$D81)</f>
        <v>5</v>
      </c>
      <c r="AK81" s="297">
        <f>AE81</f>
        <v>3773.58490566038</v>
      </c>
      <c r="AL81" s="174">
        <f t="shared" ref="AL81:AL90" si="157">AM81*AN81</f>
        <v>18867.9245283019</v>
      </c>
      <c r="AM81" s="174">
        <f>SUMIFS('1-2 人员岗位信息'!I:I,'1-2 人员岗位信息'!$C:$C,"专业外包",'1-2 人员岗位信息'!$B:$B,$D81)</f>
        <v>5</v>
      </c>
      <c r="AN81" s="297">
        <f>AE81</f>
        <v>3773.58490566038</v>
      </c>
      <c r="AO81" s="174">
        <f t="shared" ref="AO81:AO90" si="158">AP81*AQ81</f>
        <v>18867.9245283019</v>
      </c>
      <c r="AP81" s="174">
        <f>SUMIFS('1-2 人员岗位信息'!J:J,'1-2 人员岗位信息'!$C:$C,"专业外包",'1-2 人员岗位信息'!$B:$B,$D81)</f>
        <v>5</v>
      </c>
      <c r="AQ81" s="297">
        <f>AE81</f>
        <v>3773.58490566038</v>
      </c>
      <c r="AR81" s="174">
        <f t="shared" ref="AR81:AR90" si="159">AS81*AT81</f>
        <v>18867.9245283019</v>
      </c>
      <c r="AS81" s="174">
        <f>SUMIFS('1-2 人员岗位信息'!K:K,'1-2 人员岗位信息'!$C:$C,"专业外包",'1-2 人员岗位信息'!$B:$B,$D81)</f>
        <v>5</v>
      </c>
      <c r="AT81" s="297">
        <f>AE81</f>
        <v>3773.58490566038</v>
      </c>
      <c r="AU81" s="174">
        <f t="shared" ref="AU81:AU90" si="160">AV81*AW81</f>
        <v>18867.9245283019</v>
      </c>
      <c r="AV81" s="174">
        <f>SUMIFS('1-2 人员岗位信息'!L:L,'1-2 人员岗位信息'!$C:$C,"专业外包",'1-2 人员岗位信息'!$B:$B,$D81)</f>
        <v>5</v>
      </c>
      <c r="AW81" s="297">
        <f>AE81</f>
        <v>3773.58490566038</v>
      </c>
      <c r="AX81" s="174">
        <f t="shared" ref="AX81:AX90" si="161">AY81*AZ81</f>
        <v>18867.9245283019</v>
      </c>
      <c r="AY81" s="174">
        <f>SUMIFS('1-2 人员岗位信息'!M:M,'1-2 人员岗位信息'!$C:$C,"专业外包",'1-2 人员岗位信息'!$B:$B,$D81)</f>
        <v>5</v>
      </c>
      <c r="AZ81" s="297">
        <f>AE81</f>
        <v>3773.58490566038</v>
      </c>
      <c r="BA81" s="174">
        <f t="shared" ref="BA81:BA90" si="162">BB81*BC81</f>
        <v>18867.9245283019</v>
      </c>
      <c r="BB81" s="174">
        <f>SUMIFS('1-2 人员岗位信息'!N:N,'1-2 人员岗位信息'!$C:$C,"专业外包",'1-2 人员岗位信息'!$B:$B,$D81)</f>
        <v>5</v>
      </c>
      <c r="BC81" s="297">
        <f>AE81</f>
        <v>3773.58490566038</v>
      </c>
      <c r="BD81" s="174">
        <f t="shared" ref="BD81:BD90" si="163">BE81*BF81</f>
        <v>18867.9245283019</v>
      </c>
      <c r="BE81" s="174">
        <f>SUMIFS('1-2 人员岗位信息'!O:O,'1-2 人员岗位信息'!$C:$C,"专业外包",'1-2 人员岗位信息'!$B:$B,$D81)</f>
        <v>5</v>
      </c>
      <c r="BF81" s="297">
        <f>AE81</f>
        <v>3773.58490566038</v>
      </c>
      <c r="BG81" s="174">
        <f t="shared" ref="BG81:BG90" si="164">BH81*BI81</f>
        <v>18867.9245283019</v>
      </c>
      <c r="BH81" s="174">
        <f>SUMIFS('1-2 人员岗位信息'!P:P,'1-2 人员岗位信息'!$C:$C,"专业外包",'1-2 人员岗位信息'!$B:$B,$D81)</f>
        <v>5</v>
      </c>
      <c r="BI81" s="297">
        <f>AE81</f>
        <v>3773.58490566038</v>
      </c>
      <c r="BJ81" s="174">
        <f t="shared" ref="BJ81:BJ90" si="165">BK81*BL81</f>
        <v>18867.9245283019</v>
      </c>
      <c r="BK81" s="174">
        <f>SUMIFS('1-2 人员岗位信息'!Q:Q,'1-2 人员岗位信息'!$C:$C,"专业外包",'1-2 人员岗位信息'!$B:$B,$D81)</f>
        <v>5</v>
      </c>
      <c r="BL81" s="297">
        <f>AE81</f>
        <v>3773.58490566038</v>
      </c>
      <c r="BM81" s="310"/>
      <c r="BN81" s="314"/>
    </row>
    <row r="82" s="262" customFormat="1" ht="33.95" hidden="1" customHeight="1" outlineLevel="5" spans="2:66">
      <c r="B82" s="174" t="s">
        <v>799</v>
      </c>
      <c r="C82" s="282" t="s">
        <v>928</v>
      </c>
      <c r="D82" s="262"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799</v>
      </c>
      <c r="C83" s="282" t="s">
        <v>930</v>
      </c>
      <c r="D83" s="262"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799</v>
      </c>
      <c r="C84" s="282" t="s">
        <v>931</v>
      </c>
      <c r="D84" s="262"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799</v>
      </c>
      <c r="C85" s="282" t="s">
        <v>932</v>
      </c>
      <c r="D85" s="262"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799</v>
      </c>
      <c r="C86" s="282" t="s">
        <v>933</v>
      </c>
      <c r="D86" s="262"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799</v>
      </c>
      <c r="C87" s="282" t="s">
        <v>934</v>
      </c>
      <c r="D87" s="262"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799</v>
      </c>
      <c r="C88" s="282" t="s">
        <v>935</v>
      </c>
      <c r="D88" s="262"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799</v>
      </c>
      <c r="C89" s="282" t="s">
        <v>936</v>
      </c>
      <c r="D89" s="262"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799</v>
      </c>
      <c r="C90" s="282" t="s">
        <v>937</v>
      </c>
      <c r="D90" s="262"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799</v>
      </c>
      <c r="C92" s="282" t="s">
        <v>940</v>
      </c>
      <c r="D92" s="262"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799</v>
      </c>
      <c r="C93" s="282" t="s">
        <v>944</v>
      </c>
      <c r="D93" s="262"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799</v>
      </c>
      <c r="C94" s="282" t="s">
        <v>946</v>
      </c>
      <c r="D94" s="262"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799</v>
      </c>
      <c r="C95" s="282" t="s">
        <v>948</v>
      </c>
      <c r="D95" s="262"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799</v>
      </c>
      <c r="C96" s="282" t="s">
        <v>950</v>
      </c>
      <c r="D96" s="262"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799</v>
      </c>
      <c r="C97" s="282" t="s">
        <v>952</v>
      </c>
      <c r="D97" s="262"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799</v>
      </c>
      <c r="C98" s="282" t="s">
        <v>955</v>
      </c>
      <c r="D98" s="262"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799</v>
      </c>
      <c r="C99" s="282" t="s">
        <v>957</v>
      </c>
      <c r="D99" s="262"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799</v>
      </c>
      <c r="C100" s="282" t="s">
        <v>960</v>
      </c>
      <c r="D100" s="262"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799</v>
      </c>
      <c r="C101" s="282" t="s">
        <v>962</v>
      </c>
      <c r="D101" s="262"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799</v>
      </c>
      <c r="C102" s="282" t="s">
        <v>964</v>
      </c>
      <c r="D102" s="262"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799</v>
      </c>
      <c r="C103" s="282" t="s">
        <v>966</v>
      </c>
      <c r="D103" s="262"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799</v>
      </c>
      <c r="C104" s="282" t="s">
        <v>968</v>
      </c>
      <c r="D104" s="262"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799</v>
      </c>
      <c r="C105" s="282" t="s">
        <v>970</v>
      </c>
      <c r="D105" s="262"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799</v>
      </c>
      <c r="C106" s="282" t="s">
        <v>972</v>
      </c>
      <c r="D106" s="262"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799</v>
      </c>
      <c r="C107" s="282" t="s">
        <v>974</v>
      </c>
      <c r="D107" s="262"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799</v>
      </c>
      <c r="C108" s="282" t="s">
        <v>976</v>
      </c>
      <c r="D108" s="262"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799</v>
      </c>
      <c r="C109" s="282" t="s">
        <v>978</v>
      </c>
      <c r="D109" s="262"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799</v>
      </c>
      <c r="C110" s="282" t="s">
        <v>980</v>
      </c>
      <c r="D110" s="262"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8" customFormat="1" ht="33.95" hidden="1" customHeight="1" outlineLevel="3" collapsed="1" spans="2:66">
      <c r="B111" s="114" t="s">
        <v>794</v>
      </c>
      <c r="C111" s="115" t="s">
        <v>983</v>
      </c>
      <c r="D111" s="48" t="s">
        <v>984</v>
      </c>
      <c r="E111" s="114"/>
      <c r="F111" s="114"/>
      <c r="G111" s="114"/>
      <c r="H111" s="114">
        <f>H112+H122+H132+H142</f>
        <v>72047.3</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72047.3</v>
      </c>
      <c r="AC111" s="114">
        <f t="shared" si="185"/>
        <v>6191.54</v>
      </c>
      <c r="AD111" s="114"/>
      <c r="AE111" s="114"/>
      <c r="AF111" s="114">
        <f t="shared" si="185"/>
        <v>5894.06</v>
      </c>
      <c r="AG111" s="114"/>
      <c r="AH111" s="114"/>
      <c r="AI111" s="114">
        <f>AI112+AI122+AI132+AI142</f>
        <v>5894.06</v>
      </c>
      <c r="AJ111" s="114"/>
      <c r="AK111" s="114"/>
      <c r="AL111" s="114">
        <f>AL112+AL122+AL132+AL142</f>
        <v>5894.06</v>
      </c>
      <c r="AM111" s="114"/>
      <c r="AN111" s="114"/>
      <c r="AO111" s="114">
        <f>AO112+AO122+AO132+AO142</f>
        <v>5894.06</v>
      </c>
      <c r="AP111" s="114"/>
      <c r="AQ111" s="114"/>
      <c r="AR111" s="114">
        <f>AR112+AR122+AR132+AR142</f>
        <v>5894.06</v>
      </c>
      <c r="AS111" s="114"/>
      <c r="AT111" s="114"/>
      <c r="AU111" s="114">
        <f>AU112+AU122+AU132+AU142</f>
        <v>5894.06</v>
      </c>
      <c r="AV111" s="114"/>
      <c r="AW111" s="114"/>
      <c r="AX111" s="114">
        <f>AX112+AX122+AX132+AX142</f>
        <v>5894.06</v>
      </c>
      <c r="AY111" s="114"/>
      <c r="AZ111" s="114"/>
      <c r="BA111" s="114">
        <f>BA112+BA122+BA132+BA142</f>
        <v>5894.06</v>
      </c>
      <c r="BB111" s="114"/>
      <c r="BC111" s="114"/>
      <c r="BD111" s="114">
        <f>BD112+BD122+BD132+BD142</f>
        <v>5894.06</v>
      </c>
      <c r="BE111" s="114"/>
      <c r="BF111" s="114"/>
      <c r="BG111" s="114">
        <f>BG112+BG122+BG132+BG142</f>
        <v>5894.06</v>
      </c>
      <c r="BH111" s="114"/>
      <c r="BI111" s="114"/>
      <c r="BJ111" s="114">
        <f>BJ112+BJ122+BJ132+BJ142</f>
        <v>6915.16</v>
      </c>
      <c r="BK111" s="114"/>
      <c r="BL111" s="304"/>
      <c r="BM111" s="310"/>
      <c r="BN111" s="312"/>
    </row>
    <row r="112" s="117" customFormat="1" ht="33.95" hidden="1" customHeight="1" outlineLevel="4" collapsed="1" spans="2:66">
      <c r="B112" s="118" t="s">
        <v>794</v>
      </c>
      <c r="C112" s="119" t="s">
        <v>118</v>
      </c>
      <c r="D112" s="117" t="s">
        <v>109</v>
      </c>
      <c r="E112" s="118"/>
      <c r="F112" s="118"/>
      <c r="G112" s="118"/>
      <c r="H112" s="118">
        <f>SUM(H113:H121)</f>
        <v>72047.3</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72047.3</v>
      </c>
      <c r="AC112" s="118">
        <f t="shared" si="186"/>
        <v>6191.54</v>
      </c>
      <c r="AD112" s="118"/>
      <c r="AE112" s="118"/>
      <c r="AF112" s="118">
        <f t="shared" si="186"/>
        <v>5894.06</v>
      </c>
      <c r="AG112" s="118"/>
      <c r="AH112" s="118"/>
      <c r="AI112" s="118">
        <f>SUM(AI113:AI121)</f>
        <v>5894.06</v>
      </c>
      <c r="AJ112" s="118"/>
      <c r="AK112" s="118"/>
      <c r="AL112" s="118">
        <f>SUM(AL113:AL121)</f>
        <v>5894.06</v>
      </c>
      <c r="AM112" s="118"/>
      <c r="AN112" s="118"/>
      <c r="AO112" s="118">
        <f>SUM(AO113:AO121)</f>
        <v>5894.06</v>
      </c>
      <c r="AP112" s="118"/>
      <c r="AQ112" s="118"/>
      <c r="AR112" s="118">
        <f>SUM(AR113:AR121)</f>
        <v>5894.06</v>
      </c>
      <c r="AS112" s="118"/>
      <c r="AT112" s="118"/>
      <c r="AU112" s="118">
        <f>SUM(AU113:AU121)</f>
        <v>5894.06</v>
      </c>
      <c r="AV112" s="118"/>
      <c r="AW112" s="118"/>
      <c r="AX112" s="118">
        <f>SUM(AX113:AX121)</f>
        <v>5894.06</v>
      </c>
      <c r="AY112" s="118"/>
      <c r="AZ112" s="118"/>
      <c r="BA112" s="118">
        <f>SUM(BA113:BA121)</f>
        <v>5894.06</v>
      </c>
      <c r="BB112" s="118"/>
      <c r="BC112" s="118"/>
      <c r="BD112" s="118">
        <f>SUM(BD113:BD121)</f>
        <v>5894.06</v>
      </c>
      <c r="BE112" s="118"/>
      <c r="BF112" s="118"/>
      <c r="BG112" s="118">
        <f>SUM(BG113:BG121)</f>
        <v>5894.06</v>
      </c>
      <c r="BH112" s="118"/>
      <c r="BI112" s="118"/>
      <c r="BJ112" s="118">
        <f>SUM(BJ113:BJ121)</f>
        <v>6915.16</v>
      </c>
      <c r="BK112" s="118"/>
      <c r="BL112" s="305"/>
      <c r="BM112" s="310"/>
      <c r="BN112" s="313"/>
    </row>
    <row r="113" s="262" customFormat="1" ht="33.95" hidden="1" customHeight="1" outlineLevel="5" spans="2:66">
      <c r="B113" s="174" t="s">
        <v>799</v>
      </c>
      <c r="C113" s="282" t="s">
        <v>985</v>
      </c>
      <c r="D113" s="262" t="s">
        <v>986</v>
      </c>
      <c r="E113" s="174" t="s">
        <v>987</v>
      </c>
      <c r="F113" s="174"/>
      <c r="G113" s="174" t="s">
        <v>803</v>
      </c>
      <c r="H113" s="174">
        <f t="shared" ref="H113:H121" si="187">AB113</f>
        <v>72047.3</v>
      </c>
      <c r="I113" s="174" t="s">
        <v>804</v>
      </c>
      <c r="J113" s="174">
        <f t="shared" ref="J113:J121" si="188">SUM(AD113,AG113,AJ113,AM113,AP113,AS113,AV113,AY113,BB113,BE113,BH113,BK113)/N113</f>
        <v>1</v>
      </c>
      <c r="K113" s="174" t="s">
        <v>805</v>
      </c>
      <c r="L113" s="174">
        <f t="shared" ref="L113:L121" si="189">H113/N113/J113</f>
        <v>6003.94166666666</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72047.3</v>
      </c>
      <c r="AC113" s="174">
        <f t="shared" ref="AC113:AC121" si="192">AD113*AE113</f>
        <v>6191.54</v>
      </c>
      <c r="AD113" s="174">
        <f>SUMIFS('1-2 人员岗位信息'!F:F,'1-2 人员岗位信息'!$C:$C,"自有人员",'1-2 人员岗位信息'!$B:$B,$D113)</f>
        <v>1</v>
      </c>
      <c r="AE113" s="297">
        <f>IFERROR(自有人工预算!E25/AD113,0)</f>
        <v>6191.54</v>
      </c>
      <c r="AF113" s="174">
        <f t="shared" ref="AF113:AF121" si="193">AG113*AH113</f>
        <v>5894.06</v>
      </c>
      <c r="AG113" s="174">
        <f>SUMIFS('1-2 人员岗位信息'!G:G,'1-2 人员岗位信息'!$C:$C,"自有人员",'1-2 人员岗位信息'!$B:$B,$D113)</f>
        <v>1</v>
      </c>
      <c r="AH113" s="297">
        <f>IFERROR(自有人工预算!F25/AG113,0)</f>
        <v>5894.06</v>
      </c>
      <c r="AI113" s="174">
        <f t="shared" ref="AI113:AI121" si="194">AJ113*AK113</f>
        <v>5894.06</v>
      </c>
      <c r="AJ113" s="174">
        <f>SUMIFS('1-2 人员岗位信息'!H:H,'1-2 人员岗位信息'!$C:$C,"自有人员",'1-2 人员岗位信息'!$B:$B,$D113)</f>
        <v>1</v>
      </c>
      <c r="AK113" s="297">
        <f>IFERROR(自有人工预算!G25/AJ113,0)</f>
        <v>5894.06</v>
      </c>
      <c r="AL113" s="174">
        <f t="shared" ref="AL113:AL121" si="195">AM113*AN113</f>
        <v>5894.06</v>
      </c>
      <c r="AM113" s="174">
        <f>SUMIFS('1-2 人员岗位信息'!I:I,'1-2 人员岗位信息'!$C:$C,"自有人员",'1-2 人员岗位信息'!$B:$B,$D113)</f>
        <v>1</v>
      </c>
      <c r="AN113" s="297">
        <f>IFERROR(自有人工预算!H25/AM113,0)</f>
        <v>5894.06</v>
      </c>
      <c r="AO113" s="174">
        <f t="shared" ref="AO113:AO121" si="196">AP113*AQ113</f>
        <v>5894.06</v>
      </c>
      <c r="AP113" s="174">
        <f>SUMIFS('1-2 人员岗位信息'!J:J,'1-2 人员岗位信息'!$C:$C,"自有人员",'1-2 人员岗位信息'!$B:$B,$D113)</f>
        <v>1</v>
      </c>
      <c r="AQ113" s="297">
        <f>IFERROR(自有人工预算!I25/AP113,0)</f>
        <v>5894.06</v>
      </c>
      <c r="AR113" s="174">
        <f t="shared" ref="AR113:AR121" si="197">AS113*AT113</f>
        <v>5894.06</v>
      </c>
      <c r="AS113" s="174">
        <f>SUMIFS('1-2 人员岗位信息'!K:K,'1-2 人员岗位信息'!$C:$C,"自有人员",'1-2 人员岗位信息'!$B:$B,$D113)</f>
        <v>1</v>
      </c>
      <c r="AT113" s="297">
        <f>IFERROR(自有人工预算!J25/AS113,0)</f>
        <v>5894.06</v>
      </c>
      <c r="AU113" s="174">
        <f t="shared" ref="AU113:AU121" si="198">AV113*AW113</f>
        <v>5894.06</v>
      </c>
      <c r="AV113" s="174">
        <f>SUMIFS('1-2 人员岗位信息'!L:L,'1-2 人员岗位信息'!$C:$C,"自有人员",'1-2 人员岗位信息'!$B:$B,$D113)</f>
        <v>1</v>
      </c>
      <c r="AW113" s="297">
        <f>IFERROR(自有人工预算!K25/AV113,0)</f>
        <v>5894.06</v>
      </c>
      <c r="AX113" s="174">
        <f t="shared" ref="AX113:AX121" si="199">AY113*AZ113</f>
        <v>5894.06</v>
      </c>
      <c r="AY113" s="174">
        <f>SUMIFS('1-2 人员岗位信息'!M:M,'1-2 人员岗位信息'!$C:$C,"自有人员",'1-2 人员岗位信息'!$B:$B,$D113)</f>
        <v>1</v>
      </c>
      <c r="AZ113" s="297">
        <f>IFERROR(自有人工预算!L25/AY113,0)</f>
        <v>5894.06</v>
      </c>
      <c r="BA113" s="174">
        <f t="shared" ref="BA113:BA121" si="200">BB113*BC113</f>
        <v>5894.06</v>
      </c>
      <c r="BB113" s="174">
        <f>SUMIFS('1-2 人员岗位信息'!N:N,'1-2 人员岗位信息'!$C:$C,"自有人员",'1-2 人员岗位信息'!$B:$B,$D113)</f>
        <v>1</v>
      </c>
      <c r="BC113" s="297">
        <f>IFERROR(自有人工预算!M25/BB113,0)</f>
        <v>5894.06</v>
      </c>
      <c r="BD113" s="174">
        <f t="shared" ref="BD113:BD121" si="201">BE113*BF113</f>
        <v>5894.06</v>
      </c>
      <c r="BE113" s="174">
        <f>SUMIFS('1-2 人员岗位信息'!O:O,'1-2 人员岗位信息'!$C:$C,"自有人员",'1-2 人员岗位信息'!$B:$B,$D113)</f>
        <v>1</v>
      </c>
      <c r="BF113" s="297">
        <f>IFERROR(自有人工预算!N25/BE113,0)</f>
        <v>5894.06</v>
      </c>
      <c r="BG113" s="174">
        <f t="shared" ref="BG113:BG121" si="202">BH113*BI113</f>
        <v>5894.06</v>
      </c>
      <c r="BH113" s="174">
        <f>SUMIFS('1-2 人员岗位信息'!P:P,'1-2 人员岗位信息'!$C:$C,"自有人员",'1-2 人员岗位信息'!$B:$B,$D113)</f>
        <v>1</v>
      </c>
      <c r="BI113" s="297">
        <f>IFERROR(自有人工预算!O25/BH113,0)</f>
        <v>5894.06</v>
      </c>
      <c r="BJ113" s="174">
        <f t="shared" ref="BJ113:BJ121" si="203">BK113*BL113</f>
        <v>6915.16</v>
      </c>
      <c r="BK113" s="174">
        <f>SUMIFS('1-2 人员岗位信息'!Q:Q,'1-2 人员岗位信息'!$C:$C,"自有人员",'1-2 人员岗位信息'!$B:$B,$D113)</f>
        <v>1</v>
      </c>
      <c r="BL113" s="297">
        <f>IFERROR(自有人工预算!P25/BK113,0)</f>
        <v>6915.16</v>
      </c>
      <c r="BM113" s="310"/>
      <c r="BN113" s="314"/>
    </row>
    <row r="114" s="262" customFormat="1" ht="33.95" hidden="1" customHeight="1" outlineLevel="5" spans="2:66">
      <c r="B114" s="174" t="s">
        <v>799</v>
      </c>
      <c r="C114" s="282" t="s">
        <v>988</v>
      </c>
      <c r="D114" s="262"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799</v>
      </c>
      <c r="C115" s="282" t="s">
        <v>991</v>
      </c>
      <c r="D115" s="262"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799</v>
      </c>
      <c r="C116" s="282" t="s">
        <v>994</v>
      </c>
      <c r="D116" s="262"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799</v>
      </c>
      <c r="C117" s="282" t="s">
        <v>997</v>
      </c>
      <c r="D117" s="262"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799</v>
      </c>
      <c r="C118" s="282" t="s">
        <v>999</v>
      </c>
      <c r="D118" s="262"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799</v>
      </c>
      <c r="C119" s="282" t="s">
        <v>1001</v>
      </c>
      <c r="D119" s="262"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799</v>
      </c>
      <c r="C120" s="282" t="s">
        <v>1003</v>
      </c>
      <c r="D120" s="262"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799</v>
      </c>
      <c r="C121" s="282" t="s">
        <v>1006</v>
      </c>
      <c r="D121" s="262"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799</v>
      </c>
      <c r="C123" s="282" t="s">
        <v>1008</v>
      </c>
      <c r="D123" s="262"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799</v>
      </c>
      <c r="C124" s="282" t="s">
        <v>1010</v>
      </c>
      <c r="D124" s="262"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799</v>
      </c>
      <c r="C125" s="282" t="s">
        <v>1012</v>
      </c>
      <c r="D125" s="262"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799</v>
      </c>
      <c r="C126" s="282" t="s">
        <v>1013</v>
      </c>
      <c r="D126" s="262"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799</v>
      </c>
      <c r="C127" s="282" t="s">
        <v>1014</v>
      </c>
      <c r="D127" s="262"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799</v>
      </c>
      <c r="C128" s="282" t="s">
        <v>1015</v>
      </c>
      <c r="D128" s="262"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799</v>
      </c>
      <c r="C129" s="282" t="s">
        <v>1016</v>
      </c>
      <c r="D129" s="262"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799</v>
      </c>
      <c r="C130" s="282" t="s">
        <v>1017</v>
      </c>
      <c r="D130" s="262"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799</v>
      </c>
      <c r="C131" s="282" t="s">
        <v>1018</v>
      </c>
      <c r="D131" s="262"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799</v>
      </c>
      <c r="C133" s="282" t="s">
        <v>1020</v>
      </c>
      <c r="D133" s="262"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799</v>
      </c>
      <c r="C134" s="282" t="s">
        <v>1022</v>
      </c>
      <c r="D134" s="262"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799</v>
      </c>
      <c r="C135" s="282" t="s">
        <v>1024</v>
      </c>
      <c r="D135" s="262"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799</v>
      </c>
      <c r="C136" s="282" t="s">
        <v>1025</v>
      </c>
      <c r="D136" s="262"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799</v>
      </c>
      <c r="C137" s="282" t="s">
        <v>1026</v>
      </c>
      <c r="D137" s="262"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799</v>
      </c>
      <c r="C138" s="282" t="s">
        <v>1027</v>
      </c>
      <c r="D138" s="262"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799</v>
      </c>
      <c r="C139" s="282" t="s">
        <v>1028</v>
      </c>
      <c r="D139" s="262"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799</v>
      </c>
      <c r="C140" s="282" t="s">
        <v>1029</v>
      </c>
      <c r="D140" s="262"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799</v>
      </c>
      <c r="C141" s="282" t="s">
        <v>1030</v>
      </c>
      <c r="D141" s="262"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35914</v>
      </c>
      <c r="K142" s="118" t="s">
        <v>1033</v>
      </c>
      <c r="L142" s="118">
        <f t="shared" si="225"/>
        <v>0</v>
      </c>
      <c r="M142" s="118" t="s">
        <v>806</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35914</v>
      </c>
      <c r="AE142" s="297"/>
      <c r="AF142" s="118">
        <f t="shared" si="229"/>
        <v>0</v>
      </c>
      <c r="AG142" s="118">
        <f>VLOOKUP($I142,'1-1 项目基础信息'!$F:$S,4,FALSE)</f>
        <v>35914</v>
      </c>
      <c r="AH142" s="297"/>
      <c r="AI142" s="118">
        <f t="shared" si="230"/>
        <v>0</v>
      </c>
      <c r="AJ142" s="118">
        <f>VLOOKUP($I142,'1-1 项目基础信息'!$F:$S,5,FALSE)</f>
        <v>35914</v>
      </c>
      <c r="AK142" s="297"/>
      <c r="AL142" s="118">
        <f t="shared" si="231"/>
        <v>0</v>
      </c>
      <c r="AM142" s="118">
        <f>VLOOKUP($I142,'1-1 项目基础信息'!$F:$S,6,FALSE)</f>
        <v>35914</v>
      </c>
      <c r="AN142" s="297"/>
      <c r="AO142" s="118">
        <f t="shared" si="232"/>
        <v>0</v>
      </c>
      <c r="AP142" s="118">
        <f>VLOOKUP($I142,'1-1 项目基础信息'!$F:$S,7,FALSE)</f>
        <v>35914</v>
      </c>
      <c r="AQ142" s="297"/>
      <c r="AR142" s="118">
        <f t="shared" si="233"/>
        <v>0</v>
      </c>
      <c r="AS142" s="118">
        <f>VLOOKUP($I142,'1-1 项目基础信息'!$F:$S,8,FALSE)</f>
        <v>35914</v>
      </c>
      <c r="AT142" s="297"/>
      <c r="AU142" s="118">
        <f t="shared" si="234"/>
        <v>0</v>
      </c>
      <c r="AV142" s="118">
        <f>VLOOKUP($I142,'1-1 项目基础信息'!$F:$S,9,FALSE)</f>
        <v>35914</v>
      </c>
      <c r="AW142" s="297"/>
      <c r="AX142" s="118">
        <f t="shared" si="235"/>
        <v>0</v>
      </c>
      <c r="AY142" s="118">
        <f>VLOOKUP($I142,'1-1 项目基础信息'!$F:$S,10,FALSE)</f>
        <v>35914</v>
      </c>
      <c r="AZ142" s="297"/>
      <c r="BA142" s="118">
        <f t="shared" si="236"/>
        <v>0</v>
      </c>
      <c r="BB142" s="118">
        <f>VLOOKUP($I142,'1-1 项目基础信息'!$F:$S,11,FALSE)</f>
        <v>35914</v>
      </c>
      <c r="BC142" s="297"/>
      <c r="BD142" s="118">
        <f t="shared" si="237"/>
        <v>0</v>
      </c>
      <c r="BE142" s="118">
        <f>VLOOKUP($I142,'1-1 项目基础信息'!$F:$S,12,FALSE)</f>
        <v>35914</v>
      </c>
      <c r="BF142" s="297"/>
      <c r="BG142" s="118">
        <f t="shared" si="238"/>
        <v>0</v>
      </c>
      <c r="BH142" s="118">
        <f>VLOOKUP($I142,'1-1 项目基础信息'!$F:$S,13,FALSE)</f>
        <v>35914</v>
      </c>
      <c r="BI142" s="297"/>
      <c r="BJ142" s="118">
        <f t="shared" si="239"/>
        <v>0</v>
      </c>
      <c r="BK142" s="118">
        <f>VLOOKUP($I142,'1-1 项目基础信息'!$F:$S,14,FALSE)</f>
        <v>35914</v>
      </c>
      <c r="BL142" s="306"/>
      <c r="BM142" s="310"/>
      <c r="BN142" s="313"/>
    </row>
    <row r="143" s="48" customFormat="1" ht="33.95" hidden="1" customHeight="1" outlineLevel="3" collapsed="1" spans="2:66">
      <c r="B143" s="114" t="s">
        <v>794</v>
      </c>
      <c r="C143" s="115" t="s">
        <v>1034</v>
      </c>
      <c r="D143" s="48" t="s">
        <v>1035</v>
      </c>
      <c r="E143" s="114"/>
      <c r="F143" s="114"/>
      <c r="G143" s="114"/>
      <c r="H143" s="114">
        <f>H144+H149+H154</f>
        <v>159727</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159727</v>
      </c>
      <c r="AC143" s="114">
        <f t="shared" si="241"/>
        <v>11937.24</v>
      </c>
      <c r="AD143" s="114"/>
      <c r="AE143" s="114"/>
      <c r="AF143" s="114">
        <f t="shared" si="241"/>
        <v>11639.76</v>
      </c>
      <c r="AG143" s="114"/>
      <c r="AH143" s="114"/>
      <c r="AI143" s="114">
        <f>AI144+AI149+AI154</f>
        <v>11639.76</v>
      </c>
      <c r="AJ143" s="114"/>
      <c r="AK143" s="114"/>
      <c r="AL143" s="114">
        <f>AL144+AL149+AL154</f>
        <v>11639.76</v>
      </c>
      <c r="AM143" s="114"/>
      <c r="AN143" s="114"/>
      <c r="AO143" s="114">
        <f>AO144+AO149+AO154</f>
        <v>11639.76</v>
      </c>
      <c r="AP143" s="114"/>
      <c r="AQ143" s="114"/>
      <c r="AR143" s="114">
        <f>AR144+AR149+AR154</f>
        <v>11639.76</v>
      </c>
      <c r="AS143" s="114"/>
      <c r="AT143" s="114"/>
      <c r="AU143" s="114">
        <f>AU144+AU149+AU154</f>
        <v>11639.76</v>
      </c>
      <c r="AV143" s="114"/>
      <c r="AW143" s="114"/>
      <c r="AX143" s="114">
        <f>AX144+AX149+AX154</f>
        <v>11639.76</v>
      </c>
      <c r="AY143" s="114"/>
      <c r="AZ143" s="114"/>
      <c r="BA143" s="114">
        <f>BA144+BA149+BA154</f>
        <v>11639.76</v>
      </c>
      <c r="BB143" s="114"/>
      <c r="BC143" s="114"/>
      <c r="BD143" s="114">
        <f>BD144+BD149+BD154</f>
        <v>11639.76</v>
      </c>
      <c r="BE143" s="114"/>
      <c r="BF143" s="114"/>
      <c r="BG143" s="114">
        <f>BG144+BG149+BG154</f>
        <v>11639.76</v>
      </c>
      <c r="BH143" s="114"/>
      <c r="BI143" s="114"/>
      <c r="BJ143" s="114">
        <f>BJ144+BJ149+BJ154</f>
        <v>31392.16</v>
      </c>
      <c r="BK143" s="114"/>
      <c r="BL143" s="304"/>
      <c r="BM143" s="310"/>
      <c r="BN143" s="312"/>
    </row>
    <row r="144" s="117" customFormat="1" ht="33.95" hidden="1" customHeight="1" outlineLevel="4" collapsed="1" spans="2:66">
      <c r="B144" s="118" t="s">
        <v>794</v>
      </c>
      <c r="C144" s="119" t="s">
        <v>121</v>
      </c>
      <c r="D144" s="117" t="s">
        <v>109</v>
      </c>
      <c r="E144" s="118"/>
      <c r="F144" s="118"/>
      <c r="G144" s="118"/>
      <c r="H144" s="118">
        <f>SUM(H145:H148)</f>
        <v>159727</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159727</v>
      </c>
      <c r="AC144" s="118">
        <f t="shared" si="242"/>
        <v>11937.24</v>
      </c>
      <c r="AD144" s="118"/>
      <c r="AE144" s="118"/>
      <c r="AF144" s="118">
        <f t="shared" si="242"/>
        <v>11639.76</v>
      </c>
      <c r="AG144" s="118"/>
      <c r="AH144" s="118"/>
      <c r="AI144" s="118">
        <f>SUM(AI145:AI148)</f>
        <v>11639.76</v>
      </c>
      <c r="AJ144" s="118"/>
      <c r="AK144" s="118"/>
      <c r="AL144" s="118">
        <f>SUM(AL145:AL148)</f>
        <v>11639.76</v>
      </c>
      <c r="AM144" s="118"/>
      <c r="AN144" s="118"/>
      <c r="AO144" s="118">
        <f>SUM(AO145:AO148)</f>
        <v>11639.76</v>
      </c>
      <c r="AP144" s="118"/>
      <c r="AQ144" s="118"/>
      <c r="AR144" s="118">
        <f>SUM(AR145:AR148)</f>
        <v>11639.76</v>
      </c>
      <c r="AS144" s="118"/>
      <c r="AT144" s="118"/>
      <c r="AU144" s="118">
        <f>SUM(AU145:AU148)</f>
        <v>11639.76</v>
      </c>
      <c r="AV144" s="118"/>
      <c r="AW144" s="118"/>
      <c r="AX144" s="118">
        <f>SUM(AX145:AX148)</f>
        <v>11639.76</v>
      </c>
      <c r="AY144" s="118"/>
      <c r="AZ144" s="118"/>
      <c r="BA144" s="118">
        <f>SUM(BA145:BA148)</f>
        <v>11639.76</v>
      </c>
      <c r="BB144" s="118"/>
      <c r="BC144" s="118"/>
      <c r="BD144" s="118">
        <f>SUM(BD145:BD148)</f>
        <v>11639.76</v>
      </c>
      <c r="BE144" s="118"/>
      <c r="BF144" s="118"/>
      <c r="BG144" s="118">
        <f>SUM(BG145:BG148)</f>
        <v>11639.76</v>
      </c>
      <c r="BH144" s="118"/>
      <c r="BI144" s="118"/>
      <c r="BJ144" s="118">
        <f>SUM(BJ145:BJ148)</f>
        <v>31392.16</v>
      </c>
      <c r="BK144" s="118"/>
      <c r="BL144" s="305"/>
      <c r="BM144" s="310"/>
      <c r="BN144" s="313"/>
    </row>
    <row r="145" s="262" customFormat="1" ht="33.95" hidden="1" customHeight="1" outlineLevel="5" spans="2:66">
      <c r="B145" s="174" t="s">
        <v>799</v>
      </c>
      <c r="C145" s="282" t="s">
        <v>1036</v>
      </c>
      <c r="D145" s="262" t="s">
        <v>1037</v>
      </c>
      <c r="E145" s="174" t="s">
        <v>1038</v>
      </c>
      <c r="F145" s="174"/>
      <c r="G145" s="174" t="s">
        <v>803</v>
      </c>
      <c r="H145" s="174">
        <f t="shared" ref="H145:H148" si="243">AB145</f>
        <v>159727</v>
      </c>
      <c r="I145" s="174" t="s">
        <v>804</v>
      </c>
      <c r="J145" s="174">
        <f t="shared" ref="J145:J148" si="244">SUM(AD145,AG145,AJ145,AM145,AP145,AS145,AV145,AY145,BB145,BE145,BH145,BK145)/N145</f>
        <v>1</v>
      </c>
      <c r="K145" s="174" t="s">
        <v>805</v>
      </c>
      <c r="L145" s="174">
        <f t="shared" ref="L145:L148" si="245">H145/N145/J145</f>
        <v>13310.5833333333</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159727</v>
      </c>
      <c r="AC145" s="174">
        <f t="shared" ref="AC145:AC148" si="247">AD145*AE145</f>
        <v>11937.24</v>
      </c>
      <c r="AD145" s="174">
        <f>SUMIFS('1-2 人员岗位信息'!F:F,'1-2 人员岗位信息'!$C:$C,"自有人员",'1-2 人员岗位信息'!$B:$B,$D145)</f>
        <v>1</v>
      </c>
      <c r="AE145" s="297">
        <f>IFERROR(自有人工预算!E24/AD145,0)</f>
        <v>11937.24</v>
      </c>
      <c r="AF145" s="174">
        <f t="shared" ref="AF145:AF148" si="248">AG145*AH145</f>
        <v>11639.76</v>
      </c>
      <c r="AG145" s="174">
        <f>SUMIFS('1-2 人员岗位信息'!G:G,'1-2 人员岗位信息'!$C:$C,"自有人员",'1-2 人员岗位信息'!$B:$B,$D145)</f>
        <v>1</v>
      </c>
      <c r="AH145" s="297">
        <f>IFERROR(自有人工预算!F24/AG145,0)</f>
        <v>11639.76</v>
      </c>
      <c r="AI145" s="174">
        <f t="shared" ref="AI145:AI148" si="249">AJ145*AK145</f>
        <v>11639.76</v>
      </c>
      <c r="AJ145" s="174">
        <f>SUMIFS('1-2 人员岗位信息'!H:H,'1-2 人员岗位信息'!$C:$C,"自有人员",'1-2 人员岗位信息'!$B:$B,$D145)</f>
        <v>1</v>
      </c>
      <c r="AK145" s="297">
        <f>IFERROR(自有人工预算!G24/AJ145,0)</f>
        <v>11639.76</v>
      </c>
      <c r="AL145" s="174">
        <f t="shared" ref="AL145:AL148" si="250">AM145*AN145</f>
        <v>11639.76</v>
      </c>
      <c r="AM145" s="174">
        <f>SUMIFS('1-2 人员岗位信息'!I:I,'1-2 人员岗位信息'!$C:$C,"自有人员",'1-2 人员岗位信息'!$B:$B,$D145)</f>
        <v>1</v>
      </c>
      <c r="AN145" s="297">
        <f>IFERROR(自有人工预算!H24/AM145,0)</f>
        <v>11639.76</v>
      </c>
      <c r="AO145" s="174">
        <f t="shared" ref="AO145:AO148" si="251">AP145*AQ145</f>
        <v>11639.76</v>
      </c>
      <c r="AP145" s="174">
        <f>SUMIFS('1-2 人员岗位信息'!J:J,'1-2 人员岗位信息'!$C:$C,"自有人员",'1-2 人员岗位信息'!$B:$B,$D145)</f>
        <v>1</v>
      </c>
      <c r="AQ145" s="297">
        <f>IFERROR(自有人工预算!I24/AP145,0)</f>
        <v>11639.76</v>
      </c>
      <c r="AR145" s="174">
        <f t="shared" ref="AR145:AR148" si="252">AS145*AT145</f>
        <v>11639.76</v>
      </c>
      <c r="AS145" s="174">
        <f>SUMIFS('1-2 人员岗位信息'!K:K,'1-2 人员岗位信息'!$C:$C,"自有人员",'1-2 人员岗位信息'!$B:$B,$D145)</f>
        <v>1</v>
      </c>
      <c r="AT145" s="297">
        <f>IFERROR(自有人工预算!J24/AS145,0)</f>
        <v>11639.76</v>
      </c>
      <c r="AU145" s="174">
        <f t="shared" ref="AU145:AU148" si="253">AV145*AW145</f>
        <v>11639.76</v>
      </c>
      <c r="AV145" s="174">
        <f>SUMIFS('1-2 人员岗位信息'!L:L,'1-2 人员岗位信息'!$C:$C,"自有人员",'1-2 人员岗位信息'!$B:$B,$D145)</f>
        <v>1</v>
      </c>
      <c r="AW145" s="297">
        <f>IFERROR(自有人工预算!K24/AV145,0)</f>
        <v>11639.76</v>
      </c>
      <c r="AX145" s="174">
        <f t="shared" ref="AX145:AX148" si="254">AY145*AZ145</f>
        <v>11639.76</v>
      </c>
      <c r="AY145" s="174">
        <f>SUMIFS('1-2 人员岗位信息'!M:M,'1-2 人员岗位信息'!$C:$C,"自有人员",'1-2 人员岗位信息'!$B:$B,$D145)</f>
        <v>1</v>
      </c>
      <c r="AZ145" s="297">
        <f>IFERROR(自有人工预算!L24/AY145,0)</f>
        <v>11639.76</v>
      </c>
      <c r="BA145" s="174">
        <f t="shared" ref="BA145:BA148" si="255">BB145*BC145</f>
        <v>11639.76</v>
      </c>
      <c r="BB145" s="174">
        <f>SUMIFS('1-2 人员岗位信息'!N:N,'1-2 人员岗位信息'!$C:$C,"自有人员",'1-2 人员岗位信息'!$B:$B,$D145)</f>
        <v>1</v>
      </c>
      <c r="BC145" s="297">
        <f>IFERROR(自有人工预算!M24/BB145,0)</f>
        <v>11639.76</v>
      </c>
      <c r="BD145" s="174">
        <f t="shared" ref="BD145:BD148" si="256">BE145*BF145</f>
        <v>11639.76</v>
      </c>
      <c r="BE145" s="174">
        <f>SUMIFS('1-2 人员岗位信息'!O:O,'1-2 人员岗位信息'!$C:$C,"自有人员",'1-2 人员岗位信息'!$B:$B,$D145)</f>
        <v>1</v>
      </c>
      <c r="BF145" s="297">
        <f>IFERROR(自有人工预算!N24/BE145,0)</f>
        <v>11639.76</v>
      </c>
      <c r="BG145" s="174">
        <f t="shared" ref="BG145:BG148" si="257">BH145*BI145</f>
        <v>11639.76</v>
      </c>
      <c r="BH145" s="174">
        <f>SUMIFS('1-2 人员岗位信息'!P:P,'1-2 人员岗位信息'!$C:$C,"自有人员",'1-2 人员岗位信息'!$B:$B,$D145)</f>
        <v>1</v>
      </c>
      <c r="BI145" s="297">
        <f>IFERROR(自有人工预算!O24/BH145,0)</f>
        <v>11639.76</v>
      </c>
      <c r="BJ145" s="174">
        <f t="shared" ref="BJ145:BJ148" si="258">BK145*BL145</f>
        <v>31392.16</v>
      </c>
      <c r="BK145" s="174">
        <f>SUMIFS('1-2 人员岗位信息'!Q:Q,'1-2 人员岗位信息'!$C:$C,"自有人员",'1-2 人员岗位信息'!$B:$B,$D145)</f>
        <v>1</v>
      </c>
      <c r="BL145" s="297">
        <f>IFERROR(自有人工预算!P24/BK145,0)</f>
        <v>31392.16</v>
      </c>
      <c r="BM145" s="310"/>
      <c r="BN145" s="314"/>
    </row>
    <row r="146" s="262" customFormat="1" ht="33.95" hidden="1" customHeight="1" outlineLevel="5" spans="2:66">
      <c r="B146" s="174" t="s">
        <v>799</v>
      </c>
      <c r="C146" s="282" t="s">
        <v>1039</v>
      </c>
      <c r="D146" s="262"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799</v>
      </c>
      <c r="C147" s="282" t="s">
        <v>1042</v>
      </c>
      <c r="D147" s="262"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799</v>
      </c>
      <c r="C148" s="282" t="s">
        <v>1045</v>
      </c>
      <c r="D148" s="262"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799</v>
      </c>
      <c r="C150" s="282" t="s">
        <v>1048</v>
      </c>
      <c r="D150" s="262"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799</v>
      </c>
      <c r="C151" s="282" t="s">
        <v>1050</v>
      </c>
      <c r="D151" s="262"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799</v>
      </c>
      <c r="C152" s="282" t="s">
        <v>1052</v>
      </c>
      <c r="D152" s="262"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799</v>
      </c>
      <c r="C153" s="282" t="s">
        <v>1054</v>
      </c>
      <c r="D153" s="262"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799</v>
      </c>
      <c r="C155" s="282" t="s">
        <v>1057</v>
      </c>
      <c r="D155" s="262"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799</v>
      </c>
      <c r="C156" s="282" t="s">
        <v>1060</v>
      </c>
      <c r="D156" s="262"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799</v>
      </c>
      <c r="C157" s="282" t="s">
        <v>1062</v>
      </c>
      <c r="D157" s="262"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799</v>
      </c>
      <c r="C158" s="282" t="s">
        <v>1064</v>
      </c>
      <c r="D158" s="262"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8" customFormat="1" ht="33.95" hidden="1" customHeight="1" outlineLevel="3" collapsed="1" spans="2:66">
      <c r="B159" s="114" t="s">
        <v>794</v>
      </c>
      <c r="C159" s="115" t="s">
        <v>1066</v>
      </c>
      <c r="D159" s="48" t="s">
        <v>1067</v>
      </c>
      <c r="E159" s="114"/>
      <c r="F159" s="114"/>
      <c r="G159" s="114"/>
      <c r="H159" s="114">
        <f>H160+H165+H170+H175</f>
        <v>56603.7735849057</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56603.7735849057</v>
      </c>
      <c r="AC159" s="114">
        <f t="shared" si="295"/>
        <v>4716.98113207547</v>
      </c>
      <c r="AD159" s="114"/>
      <c r="AE159" s="114"/>
      <c r="AF159" s="114">
        <f t="shared" si="295"/>
        <v>4716.98113207547</v>
      </c>
      <c r="AG159" s="114"/>
      <c r="AH159" s="114"/>
      <c r="AI159" s="114">
        <f>AI160+AI165+AI170+AI175</f>
        <v>4716.98113207547</v>
      </c>
      <c r="AJ159" s="114"/>
      <c r="AK159" s="114"/>
      <c r="AL159" s="114">
        <f>AL160+AL165+AL170+AL175</f>
        <v>4716.98113207547</v>
      </c>
      <c r="AM159" s="114"/>
      <c r="AN159" s="114"/>
      <c r="AO159" s="114">
        <f>AO160+AO165+AO170+AO175</f>
        <v>4716.98113207547</v>
      </c>
      <c r="AP159" s="114"/>
      <c r="AQ159" s="114"/>
      <c r="AR159" s="114">
        <f>AR160+AR165+AR170+AR175</f>
        <v>4716.98113207547</v>
      </c>
      <c r="AS159" s="114"/>
      <c r="AT159" s="114"/>
      <c r="AU159" s="114">
        <f>AU160+AU165+AU170+AU175</f>
        <v>4716.98113207547</v>
      </c>
      <c r="AV159" s="114"/>
      <c r="AW159" s="114"/>
      <c r="AX159" s="114">
        <f>AX160+AX165+AX170+AX175</f>
        <v>4716.98113207547</v>
      </c>
      <c r="AY159" s="114"/>
      <c r="AZ159" s="114"/>
      <c r="BA159" s="114">
        <f>BA160+BA165+BA170+BA175</f>
        <v>4716.98113207547</v>
      </c>
      <c r="BB159" s="114"/>
      <c r="BC159" s="114"/>
      <c r="BD159" s="114">
        <f>BD160+BD165+BD170+BD175</f>
        <v>4716.98113207547</v>
      </c>
      <c r="BE159" s="114"/>
      <c r="BF159" s="114"/>
      <c r="BG159" s="114">
        <f>BG160+BG165+BG170+BG175</f>
        <v>4716.98113207547</v>
      </c>
      <c r="BH159" s="114"/>
      <c r="BI159" s="114"/>
      <c r="BJ159" s="114">
        <f>BJ160+BJ165+BJ170+BJ175</f>
        <v>4716.98113207547</v>
      </c>
      <c r="BK159" s="114"/>
      <c r="BL159" s="304"/>
      <c r="BM159" s="310"/>
      <c r="BN159" s="312"/>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799</v>
      </c>
      <c r="C161" s="282" t="s">
        <v>1068</v>
      </c>
      <c r="D161" s="262"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c r="AF161" s="174">
        <f t="shared" ref="AF161:AF164" si="303">AG161*AH161</f>
        <v>0</v>
      </c>
      <c r="AG161" s="174">
        <f>SUMIFS('1-2 人员岗位信息'!G:G,'1-2 人员岗位信息'!$C:$C,"自有人员",'1-2 人员岗位信息'!$B:$B,$D161)</f>
        <v>0</v>
      </c>
      <c r="AH161" s="297"/>
      <c r="AI161" s="174">
        <f t="shared" ref="AI161:AI164" si="304">AJ161*AK161</f>
        <v>0</v>
      </c>
      <c r="AJ161" s="174">
        <f>SUMIFS('1-2 人员岗位信息'!H:H,'1-2 人员岗位信息'!$C:$C,"自有人员",'1-2 人员岗位信息'!$B:$B,$D161)</f>
        <v>0</v>
      </c>
      <c r="AK161" s="297"/>
      <c r="AL161" s="174">
        <f t="shared" ref="AL161:AL164" si="305">AM161*AN161</f>
        <v>0</v>
      </c>
      <c r="AM161" s="174">
        <f>SUMIFS('1-2 人员岗位信息'!I:I,'1-2 人员岗位信息'!$C:$C,"自有人员",'1-2 人员岗位信息'!$B:$B,$D161)</f>
        <v>0</v>
      </c>
      <c r="AN161" s="297"/>
      <c r="AO161" s="174">
        <f t="shared" ref="AO161:AO164" si="306">AP161*AQ161</f>
        <v>0</v>
      </c>
      <c r="AP161" s="174">
        <f>SUMIFS('1-2 人员岗位信息'!J:J,'1-2 人员岗位信息'!$C:$C,"自有人员",'1-2 人员岗位信息'!$B:$B,$D161)</f>
        <v>0</v>
      </c>
      <c r="AQ161" s="297"/>
      <c r="AR161" s="174">
        <f t="shared" ref="AR161:AR164" si="307">AS161*AT161</f>
        <v>0</v>
      </c>
      <c r="AS161" s="174">
        <f>SUMIFS('1-2 人员岗位信息'!K:K,'1-2 人员岗位信息'!$C:$C,"自有人员",'1-2 人员岗位信息'!$B:$B,$D161)</f>
        <v>0</v>
      </c>
      <c r="AT161" s="297"/>
      <c r="AU161" s="174">
        <f t="shared" ref="AU161:AU164" si="308">AV161*AW161</f>
        <v>0</v>
      </c>
      <c r="AV161" s="174">
        <f>SUMIFS('1-2 人员岗位信息'!L:L,'1-2 人员岗位信息'!$C:$C,"自有人员",'1-2 人员岗位信息'!$B:$B,$D161)</f>
        <v>0</v>
      </c>
      <c r="AW161" s="297"/>
      <c r="AX161" s="174">
        <f t="shared" ref="AX161:AX164" si="309">AY161*AZ161</f>
        <v>0</v>
      </c>
      <c r="AY161" s="174">
        <f>SUMIFS('1-2 人员岗位信息'!M:M,'1-2 人员岗位信息'!$C:$C,"自有人员",'1-2 人员岗位信息'!$B:$B,$D161)</f>
        <v>0</v>
      </c>
      <c r="AZ161" s="297"/>
      <c r="BA161" s="174">
        <f t="shared" ref="BA161:BA164" si="310">BB161*BC161</f>
        <v>0</v>
      </c>
      <c r="BB161" s="174">
        <f>SUMIFS('1-2 人员岗位信息'!N:N,'1-2 人员岗位信息'!$C:$C,"自有人员",'1-2 人员岗位信息'!$B:$B,$D161)</f>
        <v>0</v>
      </c>
      <c r="BC161" s="297"/>
      <c r="BD161" s="174">
        <f t="shared" ref="BD161:BD164" si="311">BE161*BF161</f>
        <v>0</v>
      </c>
      <c r="BE161" s="174">
        <f>SUMIFS('1-2 人员岗位信息'!O:O,'1-2 人员岗位信息'!$C:$C,"自有人员",'1-2 人员岗位信息'!$B:$B,$D161)</f>
        <v>0</v>
      </c>
      <c r="BF161" s="297"/>
      <c r="BG161" s="174">
        <f t="shared" ref="BG161:BG164" si="312">BH161*BI161</f>
        <v>0</v>
      </c>
      <c r="BH161" s="174">
        <f>SUMIFS('1-2 人员岗位信息'!P:P,'1-2 人员岗位信息'!$C:$C,"自有人员",'1-2 人员岗位信息'!$B:$B,$D161)</f>
        <v>0</v>
      </c>
      <c r="BI161" s="297"/>
      <c r="BJ161" s="174">
        <f t="shared" ref="BJ161:BJ164" si="313">BK161*BL161</f>
        <v>0</v>
      </c>
      <c r="BK161" s="174">
        <f>SUMIFS('1-2 人员岗位信息'!Q:Q,'1-2 人员岗位信息'!$C:$C,"自有人员",'1-2 人员岗位信息'!$B:$B,$D161)</f>
        <v>0</v>
      </c>
      <c r="BL161" s="297"/>
      <c r="BM161" s="310"/>
      <c r="BN161" s="314"/>
    </row>
    <row r="162" s="262" customFormat="1" ht="33.95" hidden="1" customHeight="1" outlineLevel="5" spans="2:66">
      <c r="B162" s="174" t="s">
        <v>799</v>
      </c>
      <c r="C162" s="282" t="s">
        <v>1071</v>
      </c>
      <c r="D162" s="262"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799</v>
      </c>
      <c r="C163" s="282" t="s">
        <v>1074</v>
      </c>
      <c r="D163" s="262"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799</v>
      </c>
      <c r="C164" s="282" t="s">
        <v>1077</v>
      </c>
      <c r="D164" s="262"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799</v>
      </c>
      <c r="C166" s="282" t="s">
        <v>1080</v>
      </c>
      <c r="D166" s="262"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799</v>
      </c>
      <c r="C167" s="282" t="s">
        <v>1082</v>
      </c>
      <c r="D167" s="262"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799</v>
      </c>
      <c r="C168" s="282" t="s">
        <v>1084</v>
      </c>
      <c r="D168" s="262"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799</v>
      </c>
      <c r="C169" s="282" t="s">
        <v>1086</v>
      </c>
      <c r="D169" s="262"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794</v>
      </c>
      <c r="C170" s="119" t="s">
        <v>22</v>
      </c>
      <c r="D170" s="117" t="s">
        <v>23</v>
      </c>
      <c r="E170" s="118"/>
      <c r="F170" s="118"/>
      <c r="G170" s="118"/>
      <c r="H170" s="118">
        <f>SUM(H171:H174)</f>
        <v>56603.7735849057</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56603.7735849057</v>
      </c>
      <c r="AC170" s="118">
        <f t="shared" si="332"/>
        <v>4716.98113207547</v>
      </c>
      <c r="AD170" s="118"/>
      <c r="AE170" s="118"/>
      <c r="AF170" s="118">
        <f t="shared" si="332"/>
        <v>4716.98113207547</v>
      </c>
      <c r="AG170" s="118"/>
      <c r="AH170" s="118"/>
      <c r="AI170" s="118">
        <f>SUM(AI171:AI174)</f>
        <v>4716.98113207547</v>
      </c>
      <c r="AJ170" s="118"/>
      <c r="AK170" s="118"/>
      <c r="AL170" s="118">
        <f>SUM(AL171:AL174)</f>
        <v>4716.98113207547</v>
      </c>
      <c r="AM170" s="118"/>
      <c r="AN170" s="118"/>
      <c r="AO170" s="118">
        <f>SUM(AO171:AO174)</f>
        <v>4716.98113207547</v>
      </c>
      <c r="AP170" s="118"/>
      <c r="AQ170" s="118"/>
      <c r="AR170" s="118">
        <f>SUM(AR171:AR174)</f>
        <v>4716.98113207547</v>
      </c>
      <c r="AS170" s="118"/>
      <c r="AT170" s="118"/>
      <c r="AU170" s="118">
        <f>SUM(AU171:AU174)</f>
        <v>4716.98113207547</v>
      </c>
      <c r="AV170" s="118"/>
      <c r="AW170" s="118"/>
      <c r="AX170" s="118">
        <f>SUM(AX171:AX174)</f>
        <v>4716.98113207547</v>
      </c>
      <c r="AY170" s="118"/>
      <c r="AZ170" s="118"/>
      <c r="BA170" s="118">
        <f>SUM(BA171:BA174)</f>
        <v>4716.98113207547</v>
      </c>
      <c r="BB170" s="118"/>
      <c r="BC170" s="118"/>
      <c r="BD170" s="118">
        <f>SUM(BD171:BD174)</f>
        <v>4716.98113207547</v>
      </c>
      <c r="BE170" s="118"/>
      <c r="BF170" s="118"/>
      <c r="BG170" s="118">
        <f>SUM(BG171:BG174)</f>
        <v>4716.98113207547</v>
      </c>
      <c r="BH170" s="118"/>
      <c r="BI170" s="118"/>
      <c r="BJ170" s="118">
        <f>SUM(BJ171:BJ174)</f>
        <v>4716.98113207547</v>
      </c>
      <c r="BK170" s="118"/>
      <c r="BL170" s="305"/>
      <c r="BM170" s="310"/>
      <c r="BN170" s="313"/>
    </row>
    <row r="171" s="262" customFormat="1" ht="33.95" hidden="1" customHeight="1" outlineLevel="5" spans="2:66">
      <c r="B171" s="174" t="s">
        <v>799</v>
      </c>
      <c r="C171" s="282" t="s">
        <v>1088</v>
      </c>
      <c r="D171" s="262" t="s">
        <v>1069</v>
      </c>
      <c r="E171" s="174" t="s">
        <v>1089</v>
      </c>
      <c r="F171" s="174"/>
      <c r="G171" s="174" t="s">
        <v>803</v>
      </c>
      <c r="H171" s="174">
        <f t="shared" ref="H171:H175" si="333">AB171</f>
        <v>56603.7735849057</v>
      </c>
      <c r="I171" s="174" t="s">
        <v>804</v>
      </c>
      <c r="J171" s="174">
        <f t="shared" ref="J171:J175" si="334">SUM(AD171,AG171,AJ171,AM171,AP171,AS171,AV171,AY171,BB171,BE171,BH171,BK171)/N171</f>
        <v>1</v>
      </c>
      <c r="K171" s="174" t="s">
        <v>805</v>
      </c>
      <c r="L171" s="174">
        <f t="shared" ref="L171:L175" si="335">H171/N171/J171</f>
        <v>4716.98113207547</v>
      </c>
      <c r="M171" s="174" t="s">
        <v>806</v>
      </c>
      <c r="N171" s="174">
        <f t="shared" ref="N171:N175" si="336">COUNTIF(AD171,"&gt;0")+COUNTIF(AG171,"&gt;0")+COUNTIF(AJ171,"&gt;0")+COUNTIF(AM171,"&gt;0")+COUNTIF(AP171,"&gt;0")+COUNTIF(AS171,"&gt;0")+COUNTIF(AV171,"&gt;0")+COUNTIF(AY171,"&gt;0")+COUNTIF(BB171,"&gt;0")+COUNTIF(BE171,"&gt;0")+COUNTIF(BH171,"&gt;0")+COUNTIF(BK171,"&gt;0")</f>
        <v>12</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56603.7735849057</v>
      </c>
      <c r="AC171" s="174">
        <f t="shared" ref="AC171:AC175" si="338">AD171*AE171</f>
        <v>4716.98113207547</v>
      </c>
      <c r="AD171" s="174">
        <f>SUMIFS('1-2 人员岗位信息'!F:F,'1-2 人员岗位信息'!$C:$C,"专业外包",'1-2 人员岗位信息'!$B:$B,$D171)</f>
        <v>1</v>
      </c>
      <c r="AE171" s="297">
        <f>IFERROR(预算主表!P81/(12*AD171),0)</f>
        <v>4716.98113207547</v>
      </c>
      <c r="AF171" s="174">
        <f t="shared" ref="AF171:AF175" si="339">AG171*AH171</f>
        <v>4716.98113207547</v>
      </c>
      <c r="AG171" s="174">
        <f>SUMIFS('1-2 人员岗位信息'!G:G,'1-2 人员岗位信息'!$C:$C,"专业外包",'1-2 人员岗位信息'!$B:$B,$D171)</f>
        <v>1</v>
      </c>
      <c r="AH171" s="297">
        <f>AE171</f>
        <v>4716.98113207547</v>
      </c>
      <c r="AI171" s="174">
        <f t="shared" ref="AI171:AI175" si="340">AJ171*AK171</f>
        <v>4716.98113207547</v>
      </c>
      <c r="AJ171" s="174">
        <f>SUMIFS('1-2 人员岗位信息'!H:H,'1-2 人员岗位信息'!$C:$C,"专业外包",'1-2 人员岗位信息'!$B:$B,$D171)</f>
        <v>1</v>
      </c>
      <c r="AK171" s="297">
        <f>AE171</f>
        <v>4716.98113207547</v>
      </c>
      <c r="AL171" s="174">
        <f t="shared" ref="AL171:AL175" si="341">AM171*AN171</f>
        <v>4716.98113207547</v>
      </c>
      <c r="AM171" s="174">
        <f>SUMIFS('1-2 人员岗位信息'!I:I,'1-2 人员岗位信息'!$C:$C,"专业外包",'1-2 人员岗位信息'!$B:$B,$D171)</f>
        <v>1</v>
      </c>
      <c r="AN171" s="297">
        <f>AE171</f>
        <v>4716.98113207547</v>
      </c>
      <c r="AO171" s="174">
        <f t="shared" ref="AO171:AO175" si="342">AP171*AQ171</f>
        <v>4716.98113207547</v>
      </c>
      <c r="AP171" s="174">
        <f>SUMIFS('1-2 人员岗位信息'!J:J,'1-2 人员岗位信息'!$C:$C,"专业外包",'1-2 人员岗位信息'!$B:$B,$D171)</f>
        <v>1</v>
      </c>
      <c r="AQ171" s="297">
        <f>AE171</f>
        <v>4716.98113207547</v>
      </c>
      <c r="AR171" s="174">
        <f t="shared" ref="AR171:AR175" si="343">AS171*AT171</f>
        <v>4716.98113207547</v>
      </c>
      <c r="AS171" s="174">
        <f>SUMIFS('1-2 人员岗位信息'!K:K,'1-2 人员岗位信息'!$C:$C,"专业外包",'1-2 人员岗位信息'!$B:$B,$D171)</f>
        <v>1</v>
      </c>
      <c r="AT171" s="297">
        <f>AE171</f>
        <v>4716.98113207547</v>
      </c>
      <c r="AU171" s="174">
        <f t="shared" ref="AU171:AU175" si="344">AV171*AW171</f>
        <v>4716.98113207547</v>
      </c>
      <c r="AV171" s="174">
        <f>SUMIFS('1-2 人员岗位信息'!L:L,'1-2 人员岗位信息'!$C:$C,"专业外包",'1-2 人员岗位信息'!$B:$B,$D171)</f>
        <v>1</v>
      </c>
      <c r="AW171" s="297">
        <f>AE171</f>
        <v>4716.98113207547</v>
      </c>
      <c r="AX171" s="174">
        <f t="shared" ref="AX171:AX175" si="345">AY171*AZ171</f>
        <v>4716.98113207547</v>
      </c>
      <c r="AY171" s="174">
        <f>SUMIFS('1-2 人员岗位信息'!M:M,'1-2 人员岗位信息'!$C:$C,"专业外包",'1-2 人员岗位信息'!$B:$B,$D171)</f>
        <v>1</v>
      </c>
      <c r="AZ171" s="297">
        <f>AE171</f>
        <v>4716.98113207547</v>
      </c>
      <c r="BA171" s="174">
        <f t="shared" ref="BA171:BA175" si="346">BB171*BC171</f>
        <v>4716.98113207547</v>
      </c>
      <c r="BB171" s="174">
        <f>SUMIFS('1-2 人员岗位信息'!N:N,'1-2 人员岗位信息'!$C:$C,"专业外包",'1-2 人员岗位信息'!$B:$B,$D171)</f>
        <v>1</v>
      </c>
      <c r="BC171" s="297">
        <f>AE171</f>
        <v>4716.98113207547</v>
      </c>
      <c r="BD171" s="174">
        <f t="shared" ref="BD171:BD175" si="347">BE171*BF171</f>
        <v>4716.98113207547</v>
      </c>
      <c r="BE171" s="174">
        <f>SUMIFS('1-2 人员岗位信息'!O:O,'1-2 人员岗位信息'!$C:$C,"专业外包",'1-2 人员岗位信息'!$B:$B,$D171)</f>
        <v>1</v>
      </c>
      <c r="BF171" s="297">
        <f>AE171</f>
        <v>4716.98113207547</v>
      </c>
      <c r="BG171" s="174">
        <f t="shared" ref="BG171:BG175" si="348">BH171*BI171</f>
        <v>4716.98113207547</v>
      </c>
      <c r="BH171" s="174">
        <f>SUMIFS('1-2 人员岗位信息'!P:P,'1-2 人员岗位信息'!$C:$C,"专业外包",'1-2 人员岗位信息'!$B:$B,$D171)</f>
        <v>1</v>
      </c>
      <c r="BI171" s="297">
        <f>AE171</f>
        <v>4716.98113207547</v>
      </c>
      <c r="BJ171" s="174">
        <f t="shared" ref="BJ171:BJ175" si="349">BK171*BL171</f>
        <v>4716.98113207547</v>
      </c>
      <c r="BK171" s="174">
        <f>SUMIFS('1-2 人员岗位信息'!Q:Q,'1-2 人员岗位信息'!$C:$C,"专业外包",'1-2 人员岗位信息'!$B:$B,$D171)</f>
        <v>1</v>
      </c>
      <c r="BL171" s="306">
        <f>AE171</f>
        <v>4716.98113207547</v>
      </c>
      <c r="BM171" s="310"/>
      <c r="BN171" s="314"/>
    </row>
    <row r="172" s="262" customFormat="1" ht="33.95" hidden="1" customHeight="1" outlineLevel="5" spans="2:66">
      <c r="B172" s="174" t="s">
        <v>799</v>
      </c>
      <c r="C172" s="282" t="s">
        <v>1090</v>
      </c>
      <c r="D172" s="262"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799</v>
      </c>
      <c r="C173" s="282" t="s">
        <v>1092</v>
      </c>
      <c r="D173" s="262"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799</v>
      </c>
      <c r="C174" s="282" t="s">
        <v>1094</v>
      </c>
      <c r="D174" s="262"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799</v>
      </c>
      <c r="C178" s="282" t="s">
        <v>1099</v>
      </c>
      <c r="D178" s="262"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799</v>
      </c>
      <c r="C179" s="282" t="s">
        <v>1102</v>
      </c>
      <c r="D179" s="262"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799</v>
      </c>
      <c r="C180" s="282" t="s">
        <v>1104</v>
      </c>
      <c r="D180" s="262"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799</v>
      </c>
      <c r="C182" s="282" t="s">
        <v>1107</v>
      </c>
      <c r="D182" s="262"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799</v>
      </c>
      <c r="C183" s="282" t="s">
        <v>1109</v>
      </c>
      <c r="D183" s="262"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799</v>
      </c>
      <c r="C184" s="282" t="s">
        <v>1111</v>
      </c>
      <c r="D184" s="262"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799</v>
      </c>
      <c r="C186" s="282" t="s">
        <v>1114</v>
      </c>
      <c r="D186" s="262"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799</v>
      </c>
      <c r="C187" s="282" t="s">
        <v>1116</v>
      </c>
      <c r="D187" s="262"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799</v>
      </c>
      <c r="C188" s="282" t="s">
        <v>1118</v>
      </c>
      <c r="D188" s="262"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8" customFormat="1" ht="33.95" hidden="1" customHeight="1" outlineLevel="3" collapsed="1" spans="2:66">
      <c r="B189" s="114" t="s">
        <v>794</v>
      </c>
      <c r="C189" s="115" t="s">
        <v>1120</v>
      </c>
      <c r="D189" s="48" t="s">
        <v>1121</v>
      </c>
      <c r="E189" s="114"/>
      <c r="F189" s="114"/>
      <c r="G189" s="114"/>
      <c r="H189" s="114">
        <f>H190+H196+H202</f>
        <v>540444.212075471</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540444.212075471</v>
      </c>
      <c r="AC189" s="114">
        <f t="shared" si="405"/>
        <v>46162.6076729559</v>
      </c>
      <c r="AD189" s="114"/>
      <c r="AE189" s="114"/>
      <c r="AF189" s="114">
        <f t="shared" si="405"/>
        <v>44377.7276729559</v>
      </c>
      <c r="AG189" s="114"/>
      <c r="AH189" s="114"/>
      <c r="AI189" s="114">
        <f>AI190+AI196+AI202</f>
        <v>44377.7276729559</v>
      </c>
      <c r="AJ189" s="114"/>
      <c r="AK189" s="114"/>
      <c r="AL189" s="114">
        <f>AL190+AL196+AL202</f>
        <v>44377.7276729559</v>
      </c>
      <c r="AM189" s="114"/>
      <c r="AN189" s="114"/>
      <c r="AO189" s="114">
        <f>AO190+AO196+AO202</f>
        <v>44377.7276729559</v>
      </c>
      <c r="AP189" s="114"/>
      <c r="AQ189" s="114"/>
      <c r="AR189" s="114">
        <f>AR190+AR196+AR202</f>
        <v>44377.7276729559</v>
      </c>
      <c r="AS189" s="114"/>
      <c r="AT189" s="114"/>
      <c r="AU189" s="114">
        <f>AU190+AU196+AU202</f>
        <v>44377.7276729559</v>
      </c>
      <c r="AV189" s="114"/>
      <c r="AW189" s="114"/>
      <c r="AX189" s="114">
        <f>AX190+AX196+AX202</f>
        <v>44377.7276729559</v>
      </c>
      <c r="AY189" s="114"/>
      <c r="AZ189" s="114"/>
      <c r="BA189" s="114">
        <f>BA190+BA196+BA202</f>
        <v>44377.7276729559</v>
      </c>
      <c r="BB189" s="114"/>
      <c r="BC189" s="114"/>
      <c r="BD189" s="114">
        <f>BD190+BD196+BD202</f>
        <v>44377.7276729559</v>
      </c>
      <c r="BE189" s="114"/>
      <c r="BF189" s="114"/>
      <c r="BG189" s="114">
        <f>BG190+BG196+BG202</f>
        <v>44377.7276729559</v>
      </c>
      <c r="BH189" s="114"/>
      <c r="BI189" s="114"/>
      <c r="BJ189" s="114">
        <f>BJ190+BJ196+BJ202</f>
        <v>50504.3276729559</v>
      </c>
      <c r="BK189" s="114"/>
      <c r="BL189" s="304"/>
      <c r="BM189" s="310"/>
      <c r="BN189" s="312"/>
    </row>
    <row r="190" s="117" customFormat="1" ht="33.95" hidden="1" customHeight="1" outlineLevel="4" collapsed="1" spans="2:66">
      <c r="B190" s="118" t="s">
        <v>794</v>
      </c>
      <c r="C190" s="119" t="s">
        <v>130</v>
      </c>
      <c r="D190" s="117" t="s">
        <v>109</v>
      </c>
      <c r="E190" s="118"/>
      <c r="F190" s="118"/>
      <c r="G190" s="118"/>
      <c r="H190" s="118">
        <f>SUM(H191:H195)</f>
        <v>495463.08</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495463.08</v>
      </c>
      <c r="AC190" s="118">
        <f t="shared" si="406"/>
        <v>42414.18</v>
      </c>
      <c r="AD190" s="118"/>
      <c r="AE190" s="118"/>
      <c r="AF190" s="118">
        <f t="shared" si="406"/>
        <v>40629.3</v>
      </c>
      <c r="AG190" s="118"/>
      <c r="AH190" s="118"/>
      <c r="AI190" s="118">
        <f>SUM(AI191:AI195)</f>
        <v>40629.3</v>
      </c>
      <c r="AJ190" s="118"/>
      <c r="AK190" s="118"/>
      <c r="AL190" s="118">
        <f>SUM(AL191:AL195)</f>
        <v>40629.3</v>
      </c>
      <c r="AM190" s="118"/>
      <c r="AN190" s="118"/>
      <c r="AO190" s="118">
        <f>SUM(AO191:AO195)</f>
        <v>40629.3</v>
      </c>
      <c r="AP190" s="118"/>
      <c r="AQ190" s="118"/>
      <c r="AR190" s="118">
        <f>SUM(AR191:AR195)</f>
        <v>40629.3</v>
      </c>
      <c r="AS190" s="118"/>
      <c r="AT190" s="118"/>
      <c r="AU190" s="118">
        <f>SUM(AU191:AU195)</f>
        <v>40629.3</v>
      </c>
      <c r="AV190" s="118"/>
      <c r="AW190" s="118"/>
      <c r="AX190" s="118">
        <f>SUM(AX191:AX195)</f>
        <v>40629.3</v>
      </c>
      <c r="AY190" s="118"/>
      <c r="AZ190" s="118"/>
      <c r="BA190" s="118">
        <f>SUM(BA191:BA195)</f>
        <v>40629.3</v>
      </c>
      <c r="BB190" s="118"/>
      <c r="BC190" s="118"/>
      <c r="BD190" s="118">
        <f>SUM(BD191:BD195)</f>
        <v>40629.3</v>
      </c>
      <c r="BE190" s="118"/>
      <c r="BF190" s="118"/>
      <c r="BG190" s="118">
        <f>SUM(BG191:BG195)</f>
        <v>40629.3</v>
      </c>
      <c r="BH190" s="118"/>
      <c r="BI190" s="118"/>
      <c r="BJ190" s="118">
        <f>SUM(BJ191:BJ195)</f>
        <v>46755.9</v>
      </c>
      <c r="BK190" s="118"/>
      <c r="BL190" s="305"/>
      <c r="BM190" s="310"/>
      <c r="BN190" s="313"/>
    </row>
    <row r="191" s="262" customFormat="1" ht="33.95" hidden="1" customHeight="1" outlineLevel="5" spans="2:66">
      <c r="B191" s="174" t="s">
        <v>799</v>
      </c>
      <c r="C191" s="282" t="s">
        <v>1122</v>
      </c>
      <c r="D191" s="262" t="s">
        <v>1123</v>
      </c>
      <c r="E191" s="174" t="s">
        <v>1124</v>
      </c>
      <c r="F191" s="174"/>
      <c r="G191" s="174" t="s">
        <v>803</v>
      </c>
      <c r="H191" s="174">
        <f t="shared" ref="H191:H195" si="407">AB191</f>
        <v>495463.08</v>
      </c>
      <c r="I191" s="174" t="s">
        <v>804</v>
      </c>
      <c r="J191" s="174">
        <f t="shared" ref="J191:J195" si="408">SUM(AD191,AG191,AJ191,AM191,AP191,AS191,AV191,AY191,BB191,BE191,BH191,BK191)/N191</f>
        <v>6</v>
      </c>
      <c r="K191" s="174" t="s">
        <v>805</v>
      </c>
      <c r="L191" s="174">
        <f t="shared" ref="L191:L195" si="409">H191/N191/J191</f>
        <v>6881.43166666667</v>
      </c>
      <c r="M191" s="174" t="s">
        <v>806</v>
      </c>
      <c r="N191" s="174">
        <f t="shared" ref="N191:N195" si="410">COUNTIF(AD191,"&gt;0")+COUNTIF(AG191,"&gt;0")+COUNTIF(AJ191,"&gt;0")+COUNTIF(AM191,"&gt;0")+COUNTIF(AP191,"&gt;0")+COUNTIF(AS191,"&gt;0")+COUNTIF(AV191,"&gt;0")+COUNTIF(AY191,"&gt;0")+COUNTIF(BB191,"&gt;0")+COUNTIF(BE191,"&gt;0")+COUNTIF(BH191,"&gt;0")+COUNTIF(BK191,"&gt;0")</f>
        <v>12</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495463.08</v>
      </c>
      <c r="AC191" s="174">
        <f t="shared" ref="AC191:AC195" si="412">AD191*AE191</f>
        <v>42414.18</v>
      </c>
      <c r="AD191" s="174">
        <f>SUMIFS('1-2 人员岗位信息'!F:F,'1-2 人员岗位信息'!$C:$C,"自有人员",'1-2 人员岗位信息'!$B:$B,$D191)</f>
        <v>6</v>
      </c>
      <c r="AE191" s="297">
        <f>IFERROR(自有人工预算!E29/AD191,0)</f>
        <v>7069.03</v>
      </c>
      <c r="AF191" s="174">
        <f t="shared" ref="AF191:AF195" si="413">AG191*AH191</f>
        <v>40629.3</v>
      </c>
      <c r="AG191" s="174">
        <f>SUMIFS('1-2 人员岗位信息'!G:G,'1-2 人员岗位信息'!$C:$C,"自有人员",'1-2 人员岗位信息'!$B:$B,$D191)</f>
        <v>6</v>
      </c>
      <c r="AH191" s="297">
        <f>IFERROR(自有人工预算!F29/AG191,0)</f>
        <v>6771.55</v>
      </c>
      <c r="AI191" s="174">
        <f t="shared" ref="AI191:AI195" si="414">AJ191*AK191</f>
        <v>40629.3</v>
      </c>
      <c r="AJ191" s="174">
        <f>SUMIFS('1-2 人员岗位信息'!H:H,'1-2 人员岗位信息'!$C:$C,"自有人员",'1-2 人员岗位信息'!$B:$B,$D191)</f>
        <v>6</v>
      </c>
      <c r="AK191" s="297">
        <f>IFERROR(自有人工预算!G29/AJ191,0)</f>
        <v>6771.55</v>
      </c>
      <c r="AL191" s="174">
        <f t="shared" ref="AL191:AL195" si="415">AM191*AN191</f>
        <v>40629.3</v>
      </c>
      <c r="AM191" s="174">
        <f>SUMIFS('1-2 人员岗位信息'!I:I,'1-2 人员岗位信息'!$C:$C,"自有人员",'1-2 人员岗位信息'!$B:$B,$D191)</f>
        <v>6</v>
      </c>
      <c r="AN191" s="297">
        <f>IFERROR(自有人工预算!H29/AM191,0)</f>
        <v>6771.55</v>
      </c>
      <c r="AO191" s="174">
        <f t="shared" ref="AO191:AO195" si="416">AP191*AQ191</f>
        <v>40629.3</v>
      </c>
      <c r="AP191" s="174">
        <f>SUMIFS('1-2 人员岗位信息'!J:J,'1-2 人员岗位信息'!$C:$C,"自有人员",'1-2 人员岗位信息'!$B:$B,$D191)</f>
        <v>6</v>
      </c>
      <c r="AQ191" s="297">
        <f>IFERROR(自有人工预算!I29/AP191,0)</f>
        <v>6771.55</v>
      </c>
      <c r="AR191" s="174">
        <f t="shared" ref="AR191:AR195" si="417">AS191*AT191</f>
        <v>40629.3</v>
      </c>
      <c r="AS191" s="174">
        <f>SUMIFS('1-2 人员岗位信息'!K:K,'1-2 人员岗位信息'!$C:$C,"自有人员",'1-2 人员岗位信息'!$B:$B,$D191)</f>
        <v>6</v>
      </c>
      <c r="AT191" s="297">
        <f>IFERROR(自有人工预算!J29/AS191,0)</f>
        <v>6771.55</v>
      </c>
      <c r="AU191" s="174">
        <f t="shared" ref="AU191:AU195" si="418">AV191*AW191</f>
        <v>40629.3</v>
      </c>
      <c r="AV191" s="174">
        <f>SUMIFS('1-2 人员岗位信息'!L:L,'1-2 人员岗位信息'!$C:$C,"自有人员",'1-2 人员岗位信息'!$B:$B,$D191)</f>
        <v>6</v>
      </c>
      <c r="AW191" s="297">
        <f>IFERROR(自有人工预算!K29/AV191,0)</f>
        <v>6771.55</v>
      </c>
      <c r="AX191" s="174">
        <f t="shared" ref="AX191:AX195" si="419">AY191*AZ191</f>
        <v>40629.3</v>
      </c>
      <c r="AY191" s="174">
        <f>SUMIFS('1-2 人员岗位信息'!M:M,'1-2 人员岗位信息'!$C:$C,"自有人员",'1-2 人员岗位信息'!$B:$B,$D191)</f>
        <v>6</v>
      </c>
      <c r="AZ191" s="297">
        <f>IFERROR(自有人工预算!L29/AY191,0)</f>
        <v>6771.55</v>
      </c>
      <c r="BA191" s="174">
        <f t="shared" ref="BA191:BA195" si="420">BB191*BC191</f>
        <v>40629.3</v>
      </c>
      <c r="BB191" s="174">
        <f>SUMIFS('1-2 人员岗位信息'!N:N,'1-2 人员岗位信息'!$C:$C,"自有人员",'1-2 人员岗位信息'!$B:$B,$D191)</f>
        <v>6</v>
      </c>
      <c r="BC191" s="297">
        <f>IFERROR(自有人工预算!M29/BB191,0)</f>
        <v>6771.55</v>
      </c>
      <c r="BD191" s="174">
        <f t="shared" ref="BD191:BD195" si="421">BE191*BF191</f>
        <v>40629.3</v>
      </c>
      <c r="BE191" s="174">
        <f>SUMIFS('1-2 人员岗位信息'!O:O,'1-2 人员岗位信息'!$C:$C,"自有人员",'1-2 人员岗位信息'!$B:$B,$D191)</f>
        <v>6</v>
      </c>
      <c r="BF191" s="297">
        <f>IFERROR(自有人工预算!N29/BE191,0)</f>
        <v>6771.55</v>
      </c>
      <c r="BG191" s="174">
        <f t="shared" ref="BG191:BG195" si="422">BH191*BI191</f>
        <v>40629.3</v>
      </c>
      <c r="BH191" s="174">
        <f>SUMIFS('1-2 人员岗位信息'!P:P,'1-2 人员岗位信息'!$C:$C,"自有人员",'1-2 人员岗位信息'!$B:$B,$D191)</f>
        <v>6</v>
      </c>
      <c r="BI191" s="297">
        <f>IFERROR(自有人工预算!O29/BH191,0)</f>
        <v>6771.55</v>
      </c>
      <c r="BJ191" s="174">
        <f t="shared" ref="BJ191:BJ195" si="423">BK191*BL191</f>
        <v>46755.9</v>
      </c>
      <c r="BK191" s="174">
        <f>SUMIFS('1-2 人员岗位信息'!Q:Q,'1-2 人员岗位信息'!$C:$C,"自有人员",'1-2 人员岗位信息'!$B:$B,$D191)</f>
        <v>6</v>
      </c>
      <c r="BL191" s="297">
        <f>IFERROR(自有人工预算!P29/BK191,0)</f>
        <v>7792.65</v>
      </c>
      <c r="BM191" s="310"/>
      <c r="BN191" s="314"/>
    </row>
    <row r="192" s="262" customFormat="1" ht="33.95" hidden="1" customHeight="1" outlineLevel="5" spans="2:66">
      <c r="B192" s="174" t="s">
        <v>799</v>
      </c>
      <c r="C192" s="282" t="s">
        <v>1125</v>
      </c>
      <c r="D192" s="262" t="s">
        <v>1126</v>
      </c>
      <c r="E192" s="174" t="s">
        <v>1124</v>
      </c>
      <c r="F192" s="174"/>
      <c r="G192" s="174" t="s">
        <v>803</v>
      </c>
      <c r="H192" s="174">
        <f t="shared" si="407"/>
        <v>0</v>
      </c>
      <c r="I192" s="174" t="s">
        <v>804</v>
      </c>
      <c r="J192" s="174" t="e">
        <f t="shared" si="408"/>
        <v>#DIV/0!</v>
      </c>
      <c r="K192" s="174" t="s">
        <v>805</v>
      </c>
      <c r="L192" s="174" t="e">
        <f t="shared" si="409"/>
        <v>#DIV/0!</v>
      </c>
      <c r="M192" s="174" t="s">
        <v>806</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799</v>
      </c>
      <c r="C193" s="282" t="s">
        <v>1127</v>
      </c>
      <c r="D193" s="262"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799</v>
      </c>
      <c r="C194" s="282" t="s">
        <v>1129</v>
      </c>
      <c r="D194" s="262"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799</v>
      </c>
      <c r="C195" s="282" t="s">
        <v>1131</v>
      </c>
      <c r="D195" s="262"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799</v>
      </c>
      <c r="C197" s="282" t="s">
        <v>1133</v>
      </c>
      <c r="D197" s="262"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799</v>
      </c>
      <c r="C198" s="282" t="s">
        <v>1135</v>
      </c>
      <c r="D198" s="262"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799</v>
      </c>
      <c r="C199" s="282" t="s">
        <v>1136</v>
      </c>
      <c r="D199" s="262"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799</v>
      </c>
      <c r="C200" s="282" t="s">
        <v>1137</v>
      </c>
      <c r="D200" s="262"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799</v>
      </c>
      <c r="C201" s="282" t="s">
        <v>1138</v>
      </c>
      <c r="D201" s="262"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794</v>
      </c>
      <c r="C202" s="119" t="s">
        <v>1139</v>
      </c>
      <c r="D202" s="117" t="s">
        <v>19</v>
      </c>
      <c r="E202" s="118"/>
      <c r="F202" s="118"/>
      <c r="G202" s="118"/>
      <c r="H202" s="118">
        <f>SUM(H203:H207)</f>
        <v>44981.1320754713</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44981.1320754713</v>
      </c>
      <c r="AC202" s="118">
        <f t="shared" si="442"/>
        <v>3748.42767295594</v>
      </c>
      <c r="AD202" s="118"/>
      <c r="AE202" s="118"/>
      <c r="AF202" s="118">
        <f t="shared" si="442"/>
        <v>3748.42767295594</v>
      </c>
      <c r="AG202" s="118"/>
      <c r="AH202" s="118"/>
      <c r="AI202" s="118">
        <f>SUM(AI203:AI207)</f>
        <v>3748.42767295594</v>
      </c>
      <c r="AJ202" s="118"/>
      <c r="AK202" s="118"/>
      <c r="AL202" s="118">
        <f>SUM(AL203:AL207)</f>
        <v>3748.42767295594</v>
      </c>
      <c r="AM202" s="118"/>
      <c r="AN202" s="118"/>
      <c r="AO202" s="118">
        <f>SUM(AO203:AO207)</f>
        <v>3748.42767295594</v>
      </c>
      <c r="AP202" s="118"/>
      <c r="AQ202" s="118"/>
      <c r="AR202" s="118">
        <f>SUM(AR203:AR207)</f>
        <v>3748.42767295594</v>
      </c>
      <c r="AS202" s="118"/>
      <c r="AT202" s="118"/>
      <c r="AU202" s="118">
        <f>SUM(AU203:AU207)</f>
        <v>3748.42767295594</v>
      </c>
      <c r="AV202" s="118"/>
      <c r="AW202" s="118"/>
      <c r="AX202" s="118">
        <f>SUM(AX203:AX207)</f>
        <v>3748.42767295594</v>
      </c>
      <c r="AY202" s="118"/>
      <c r="AZ202" s="118"/>
      <c r="BA202" s="118">
        <f>SUM(BA203:BA207)</f>
        <v>3748.42767295594</v>
      </c>
      <c r="BB202" s="118"/>
      <c r="BC202" s="118"/>
      <c r="BD202" s="118">
        <f>SUM(BD203:BD207)</f>
        <v>3748.42767295594</v>
      </c>
      <c r="BE202" s="118"/>
      <c r="BF202" s="118"/>
      <c r="BG202" s="118">
        <f>SUM(BG203:BG207)</f>
        <v>3748.42767295594</v>
      </c>
      <c r="BH202" s="118"/>
      <c r="BI202" s="118"/>
      <c r="BJ202" s="118">
        <f>SUM(BJ203:BJ207)</f>
        <v>3748.42767295594</v>
      </c>
      <c r="BK202" s="118"/>
      <c r="BL202" s="305"/>
      <c r="BM202" s="310"/>
      <c r="BN202" s="313"/>
    </row>
    <row r="203" s="262" customFormat="1" ht="33.95" hidden="1" customHeight="1" outlineLevel="5" spans="2:66">
      <c r="B203" s="174" t="s">
        <v>799</v>
      </c>
      <c r="C203" s="282" t="s">
        <v>1140</v>
      </c>
      <c r="D203" s="262" t="s">
        <v>1123</v>
      </c>
      <c r="E203" s="174" t="s">
        <v>1141</v>
      </c>
      <c r="F203" s="174"/>
      <c r="G203" s="174" t="s">
        <v>803</v>
      </c>
      <c r="H203" s="174">
        <f t="shared" ref="H203:H207" si="443">AB203</f>
        <v>44981.1320754713</v>
      </c>
      <c r="I203" s="174" t="s">
        <v>804</v>
      </c>
      <c r="J203" s="174">
        <f t="shared" ref="J203:J207" si="444">SUM(AD203,AG203,AJ203,AM203,AP203,AS203,AV203,AY203,BB203,BE203,BH203,BK203)/N203</f>
        <v>1</v>
      </c>
      <c r="K203" s="174" t="s">
        <v>805</v>
      </c>
      <c r="L203" s="174">
        <f t="shared" ref="L203:L207" si="445">H203/N203/J203</f>
        <v>3748.42767295594</v>
      </c>
      <c r="M203" s="174" t="s">
        <v>806</v>
      </c>
      <c r="N203" s="174">
        <f t="shared" ref="N203:N207" si="446">COUNTIF(AD203,"&gt;0")+COUNTIF(AG203,"&gt;0")+COUNTIF(AJ203,"&gt;0")+COUNTIF(AM203,"&gt;0")+COUNTIF(AP203,"&gt;0")+COUNTIF(AS203,"&gt;0")+COUNTIF(AV203,"&gt;0")+COUNTIF(AY203,"&gt;0")+COUNTIF(BB203,"&gt;0")+COUNTIF(BE203,"&gt;0")+COUNTIF(BH203,"&gt;0")+COUNTIF(BK203,"&gt;0")</f>
        <v>12</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44981.1320754713</v>
      </c>
      <c r="AC203" s="174">
        <f t="shared" ref="AC203:AC207" si="448">AD203*AE203</f>
        <v>3748.42767295594</v>
      </c>
      <c r="AD203" s="174">
        <v>1</v>
      </c>
      <c r="AE203" s="297">
        <v>3748.42767295594</v>
      </c>
      <c r="AF203" s="174">
        <f t="shared" ref="AF203:AF207" si="449">AG203*AH203</f>
        <v>3748.42767295594</v>
      </c>
      <c r="AG203" s="174">
        <v>1</v>
      </c>
      <c r="AH203" s="297">
        <v>3748.42767295594</v>
      </c>
      <c r="AI203" s="174">
        <f t="shared" ref="AI203:AI207" si="450">AJ203*AK203</f>
        <v>3748.42767295594</v>
      </c>
      <c r="AJ203" s="174">
        <v>1</v>
      </c>
      <c r="AK203" s="297">
        <v>3748.42767295594</v>
      </c>
      <c r="AL203" s="174">
        <f t="shared" ref="AL203:AL207" si="451">AM203*AN203</f>
        <v>3748.42767295594</v>
      </c>
      <c r="AM203" s="174">
        <v>1</v>
      </c>
      <c r="AN203" s="297">
        <v>3748.42767295594</v>
      </c>
      <c r="AO203" s="174">
        <f t="shared" ref="AO203:AO207" si="452">AP203*AQ203</f>
        <v>3748.42767295594</v>
      </c>
      <c r="AP203" s="174">
        <v>1</v>
      </c>
      <c r="AQ203" s="297">
        <v>3748.42767295594</v>
      </c>
      <c r="AR203" s="174">
        <f t="shared" ref="AR203:AR207" si="453">AS203*AT203</f>
        <v>3748.42767295594</v>
      </c>
      <c r="AS203" s="174">
        <v>1</v>
      </c>
      <c r="AT203" s="297">
        <v>3748.42767295594</v>
      </c>
      <c r="AU203" s="174">
        <f t="shared" ref="AU203:AU207" si="454">AV203*AW203</f>
        <v>3748.42767295594</v>
      </c>
      <c r="AV203" s="174">
        <v>1</v>
      </c>
      <c r="AW203" s="297">
        <v>3748.42767295594</v>
      </c>
      <c r="AX203" s="174">
        <f t="shared" ref="AX203:AX207" si="455">AY203*AZ203</f>
        <v>3748.42767295594</v>
      </c>
      <c r="AY203" s="174">
        <v>1</v>
      </c>
      <c r="AZ203" s="297">
        <v>3748.42767295594</v>
      </c>
      <c r="BA203" s="174">
        <f t="shared" ref="BA203:BA207" si="456">BB203*BC203</f>
        <v>3748.42767295594</v>
      </c>
      <c r="BB203" s="174">
        <v>1</v>
      </c>
      <c r="BC203" s="297">
        <v>3748.42767295594</v>
      </c>
      <c r="BD203" s="174">
        <f t="shared" ref="BD203:BD207" si="457">BE203*BF203</f>
        <v>3748.42767295594</v>
      </c>
      <c r="BE203" s="174">
        <v>1</v>
      </c>
      <c r="BF203" s="297">
        <v>3748.42767295594</v>
      </c>
      <c r="BG203" s="174">
        <f t="shared" ref="BG203:BG207" si="458">BH203*BI203</f>
        <v>3748.42767295594</v>
      </c>
      <c r="BH203" s="174">
        <v>1</v>
      </c>
      <c r="BI203" s="297">
        <v>3748.42767295594</v>
      </c>
      <c r="BJ203" s="174">
        <f t="shared" ref="BJ203:BJ207" si="459">BK203*BL203</f>
        <v>3748.42767295594</v>
      </c>
      <c r="BK203" s="174">
        <v>1</v>
      </c>
      <c r="BL203" s="297">
        <v>3748.42767295594</v>
      </c>
      <c r="BM203" s="310"/>
      <c r="BN203" s="314"/>
    </row>
    <row r="204" s="262" customFormat="1" ht="33.95" hidden="1" customHeight="1" outlineLevel="5" spans="2:66">
      <c r="B204" s="174" t="s">
        <v>799</v>
      </c>
      <c r="C204" s="282" t="s">
        <v>1142</v>
      </c>
      <c r="D204" s="262"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799</v>
      </c>
      <c r="C205" s="282" t="s">
        <v>1143</v>
      </c>
      <c r="D205" s="262"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799</v>
      </c>
      <c r="C206" s="282" t="s">
        <v>1144</v>
      </c>
      <c r="D206" s="262"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799</v>
      </c>
      <c r="C207" s="282" t="s">
        <v>1145</v>
      </c>
      <c r="D207" s="262"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9" customFormat="1" ht="33.95" hidden="1" customHeight="1" outlineLevel="2" collapsed="1" spans="2:66">
      <c r="B208" s="111" t="s">
        <v>794</v>
      </c>
      <c r="C208" s="112" t="s">
        <v>220</v>
      </c>
      <c r="D208" s="29" t="s">
        <v>221</v>
      </c>
      <c r="E208" s="111"/>
      <c r="F208" s="111"/>
      <c r="G208" s="111"/>
      <c r="H208" s="111">
        <f>H209+H223+H224+H236+H239+H247+H262+H291+H303+H307</f>
        <v>0</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0</v>
      </c>
      <c r="AC208" s="111">
        <f t="shared" si="460"/>
        <v>0</v>
      </c>
      <c r="AD208" s="111"/>
      <c r="AE208" s="111"/>
      <c r="AF208" s="111">
        <f t="shared" si="460"/>
        <v>0</v>
      </c>
      <c r="AG208" s="111"/>
      <c r="AH208" s="111"/>
      <c r="AI208" s="111">
        <f>AI209+AI223+AI224+AI236+AI239+AI247+AI262+AI291+AI303+AI307</f>
        <v>0</v>
      </c>
      <c r="AJ208" s="111"/>
      <c r="AK208" s="111"/>
      <c r="AL208" s="111">
        <f>AL209+AL223+AL224+AL236+AL239+AL247+AL262+AL291+AL303+AL307</f>
        <v>0</v>
      </c>
      <c r="AM208" s="111"/>
      <c r="AN208" s="111"/>
      <c r="AO208" s="111">
        <f>AO209+AO223+AO224+AO236+AO239+AO247+AO262+AO291+AO303+AO307</f>
        <v>0</v>
      </c>
      <c r="AP208" s="111"/>
      <c r="AQ208" s="111"/>
      <c r="AR208" s="111">
        <f>AR209+AR223+AR224+AR236+AR239+AR247+AR262+AR291+AR303+AR307</f>
        <v>0</v>
      </c>
      <c r="AS208" s="111"/>
      <c r="AT208" s="111"/>
      <c r="AU208" s="111">
        <f>AU209+AU223+AU224+AU236+AU239+AU247+AU262+AU291+AU303+AU307</f>
        <v>0</v>
      </c>
      <c r="AV208" s="111"/>
      <c r="AW208" s="111"/>
      <c r="AX208" s="111">
        <f>AX209+AX223+AX224+AX236+AX239+AX247+AX262+AX291+AX303+AX307</f>
        <v>0</v>
      </c>
      <c r="AY208" s="111"/>
      <c r="AZ208" s="111"/>
      <c r="BA208" s="111">
        <f>BA209+BA223+BA224+BA236+BA239+BA247+BA262+BA291+BA303+BA307</f>
        <v>0</v>
      </c>
      <c r="BB208" s="111"/>
      <c r="BC208" s="111"/>
      <c r="BD208" s="111">
        <f>BD209+BD223+BD224+BD236+BD239+BD247+BD262+BD291+BD303+BD307</f>
        <v>0</v>
      </c>
      <c r="BE208" s="111"/>
      <c r="BF208" s="111"/>
      <c r="BG208" s="111">
        <f>BG209+BG223+BG224+BG236+BG239+BG247+BG262+BG291+BG303+BG307</f>
        <v>0</v>
      </c>
      <c r="BH208" s="111"/>
      <c r="BI208" s="111"/>
      <c r="BJ208" s="111">
        <f>BJ209+BJ223+BJ224+BJ236+BJ239+BJ247+BJ262+BJ291+BJ303+BJ307</f>
        <v>0</v>
      </c>
      <c r="BK208" s="111"/>
      <c r="BL208" s="303"/>
      <c r="BM208" s="310"/>
      <c r="BN208" s="311"/>
    </row>
    <row r="209" s="48" customFormat="1" ht="33.95" hidden="1" customHeight="1" outlineLevel="3" collapsed="1" spans="2:66">
      <c r="B209" s="114" t="s">
        <v>794</v>
      </c>
      <c r="C209" s="115" t="s">
        <v>32</v>
      </c>
      <c r="D209" s="48" t="s">
        <v>33</v>
      </c>
      <c r="E209" s="114" t="s">
        <v>1146</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799</v>
      </c>
      <c r="C210" s="119" t="s">
        <v>1147</v>
      </c>
      <c r="D210" s="117" t="s">
        <v>1148</v>
      </c>
      <c r="E210" s="118"/>
      <c r="F210" s="118"/>
      <c r="G210" s="118" t="s">
        <v>803</v>
      </c>
      <c r="H210" s="118">
        <f t="shared" ref="H210:H222" si="462">AB210</f>
        <v>0</v>
      </c>
      <c r="I210" s="118" t="s">
        <v>1149</v>
      </c>
      <c r="J210" s="118" t="e">
        <f t="shared" ref="J210:J222" si="463">SUM(AD210,AG210,AJ210,AM210,AP210,AS210,AV210,AY210,BB210,BE210,BH210,BK210)/N210</f>
        <v>#DIV/0!</v>
      </c>
      <c r="K210" s="118" t="s">
        <v>1150</v>
      </c>
      <c r="L210" s="118" t="e">
        <f t="shared" ref="L210:L222" si="464">H210/N210/J210</f>
        <v>#DIV/0!</v>
      </c>
      <c r="M210" s="118" t="s">
        <v>1151</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0</v>
      </c>
      <c r="AG210" s="118">
        <f>'1-1 项目基础信息'!I21</f>
        <v>0</v>
      </c>
      <c r="AH210" s="317">
        <f t="shared" ref="AH210:AH222" si="469">AE210</f>
        <v>340</v>
      </c>
      <c r="AI210" s="118">
        <f t="shared" ref="AI210:AI223" si="470">AJ210*AK210</f>
        <v>0</v>
      </c>
      <c r="AJ210" s="118">
        <f>'1-1 项目基础信息'!J21</f>
        <v>0</v>
      </c>
      <c r="AK210" s="317">
        <f t="shared" ref="AK210:AK222" si="471">AH210</f>
        <v>340</v>
      </c>
      <c r="AL210" s="118">
        <f t="shared" ref="AL210:AL223" si="472">AM210*AN210</f>
        <v>0</v>
      </c>
      <c r="AM210" s="118">
        <f>'1-1 项目基础信息'!K21</f>
        <v>0</v>
      </c>
      <c r="AN210" s="317">
        <f t="shared" ref="AN210:AN222" si="473">AK210</f>
        <v>340</v>
      </c>
      <c r="AO210" s="118">
        <f t="shared" ref="AO210:AO223" si="474">AP210*AQ210</f>
        <v>0</v>
      </c>
      <c r="AP210" s="118">
        <f>'1-1 项目基础信息'!L21</f>
        <v>0</v>
      </c>
      <c r="AQ210" s="317">
        <f t="shared" ref="AQ210:AQ222" si="475">AN210</f>
        <v>340</v>
      </c>
      <c r="AR210" s="118">
        <f t="shared" ref="AR210:AR223" si="476">AS210*AT210</f>
        <v>0</v>
      </c>
      <c r="AS210" s="118">
        <f>'1-1 项目基础信息'!M21</f>
        <v>0</v>
      </c>
      <c r="AT210" s="317">
        <f t="shared" ref="AT210:AT222" si="477">AQ210</f>
        <v>340</v>
      </c>
      <c r="AU210" s="118">
        <f t="shared" ref="AU210:AU223" si="478">AV210*AW210</f>
        <v>0</v>
      </c>
      <c r="AV210" s="118">
        <f>'1-1 项目基础信息'!N21</f>
        <v>0</v>
      </c>
      <c r="AW210" s="317">
        <f t="shared" ref="AW210:AW222" si="479">AT210</f>
        <v>340</v>
      </c>
      <c r="AX210" s="118">
        <f t="shared" ref="AX210:AX223" si="480">AY210*AZ210</f>
        <v>0</v>
      </c>
      <c r="AY210" s="118">
        <f>'1-1 项目基础信息'!O21</f>
        <v>0</v>
      </c>
      <c r="AZ210" s="317">
        <f t="shared" ref="AZ210:AZ222" si="481">AW210</f>
        <v>340</v>
      </c>
      <c r="BA210" s="118">
        <f t="shared" ref="BA210:BA223" si="482">BB210*BC210</f>
        <v>0</v>
      </c>
      <c r="BB210" s="118">
        <f>'1-1 项目基础信息'!P21</f>
        <v>0</v>
      </c>
      <c r="BC210" s="317">
        <f t="shared" ref="BC210:BC222" si="483">AZ210</f>
        <v>340</v>
      </c>
      <c r="BD210" s="118">
        <f t="shared" ref="BD210:BD223" si="484">BE210*BF210</f>
        <v>0</v>
      </c>
      <c r="BE210" s="118">
        <f>'1-1 项目基础信息'!Q21</f>
        <v>0</v>
      </c>
      <c r="BF210" s="317">
        <f t="shared" ref="BF210:BF222" si="485">BC210</f>
        <v>340</v>
      </c>
      <c r="BG210" s="118">
        <f t="shared" ref="BG210:BG223" si="486">BH210*BI210</f>
        <v>0</v>
      </c>
      <c r="BH210" s="118">
        <f>'1-1 项目基础信息'!R21</f>
        <v>0</v>
      </c>
      <c r="BI210" s="317">
        <f t="shared" ref="BI210:BI222" si="487">BF210</f>
        <v>340</v>
      </c>
      <c r="BJ210" s="118">
        <f t="shared" ref="BJ210:BJ223" si="488">BK210*BL210</f>
        <v>0</v>
      </c>
      <c r="BK210" s="118">
        <f>'1-1 项目基础信息'!S21</f>
        <v>0</v>
      </c>
      <c r="BL210" s="318">
        <f t="shared" ref="BL210:BL222" si="489">BI210</f>
        <v>340</v>
      </c>
      <c r="BM210" s="310"/>
      <c r="BN210" s="313"/>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7">
        <f t="shared" si="469"/>
        <v>360</v>
      </c>
      <c r="AI211" s="118">
        <f t="shared" si="470"/>
        <v>0</v>
      </c>
      <c r="AJ211" s="118">
        <f>'1-1 项目基础信息'!J22</f>
        <v>0</v>
      </c>
      <c r="AK211" s="317">
        <f t="shared" si="471"/>
        <v>360</v>
      </c>
      <c r="AL211" s="118">
        <f t="shared" si="472"/>
        <v>0</v>
      </c>
      <c r="AM211" s="118">
        <f>'1-1 项目基础信息'!K22</f>
        <v>0</v>
      </c>
      <c r="AN211" s="317">
        <f t="shared" si="473"/>
        <v>360</v>
      </c>
      <c r="AO211" s="118">
        <f t="shared" si="474"/>
        <v>0</v>
      </c>
      <c r="AP211" s="118">
        <f>'1-1 项目基础信息'!L22</f>
        <v>0</v>
      </c>
      <c r="AQ211" s="317">
        <f t="shared" si="475"/>
        <v>360</v>
      </c>
      <c r="AR211" s="118">
        <f t="shared" si="476"/>
        <v>0</v>
      </c>
      <c r="AS211" s="118">
        <f>'1-1 项目基础信息'!M22</f>
        <v>0</v>
      </c>
      <c r="AT211" s="317">
        <f t="shared" si="477"/>
        <v>360</v>
      </c>
      <c r="AU211" s="118">
        <f t="shared" si="478"/>
        <v>0</v>
      </c>
      <c r="AV211" s="118">
        <f>'1-1 项目基础信息'!N22</f>
        <v>0</v>
      </c>
      <c r="AW211" s="317">
        <f t="shared" si="479"/>
        <v>360</v>
      </c>
      <c r="AX211" s="118">
        <f t="shared" si="480"/>
        <v>0</v>
      </c>
      <c r="AY211" s="118">
        <f>'1-1 项目基础信息'!O22</f>
        <v>0</v>
      </c>
      <c r="AZ211" s="317">
        <f t="shared" si="481"/>
        <v>360</v>
      </c>
      <c r="BA211" s="118">
        <f t="shared" si="482"/>
        <v>0</v>
      </c>
      <c r="BB211" s="118">
        <f>'1-1 项目基础信息'!P22</f>
        <v>0</v>
      </c>
      <c r="BC211" s="317">
        <f t="shared" si="483"/>
        <v>360</v>
      </c>
      <c r="BD211" s="118">
        <f t="shared" si="484"/>
        <v>0</v>
      </c>
      <c r="BE211" s="118">
        <f>'1-1 项目基础信息'!Q22</f>
        <v>0</v>
      </c>
      <c r="BF211" s="317">
        <f t="shared" si="485"/>
        <v>360</v>
      </c>
      <c r="BG211" s="118">
        <f t="shared" si="486"/>
        <v>0</v>
      </c>
      <c r="BH211" s="118">
        <f>'1-1 项目基础信息'!R22</f>
        <v>0</v>
      </c>
      <c r="BI211" s="317">
        <f t="shared" si="487"/>
        <v>360</v>
      </c>
      <c r="BJ211" s="118">
        <f t="shared" si="488"/>
        <v>0</v>
      </c>
      <c r="BK211" s="118">
        <f>'1-1 项目基础信息'!S22</f>
        <v>0</v>
      </c>
      <c r="BL211" s="318">
        <f t="shared" si="489"/>
        <v>360</v>
      </c>
      <c r="BM211" s="310"/>
      <c r="BN211" s="313"/>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7">
        <f t="shared" si="469"/>
        <v>390</v>
      </c>
      <c r="AI212" s="118">
        <f t="shared" si="470"/>
        <v>0</v>
      </c>
      <c r="AJ212" s="118">
        <f>'1-1 项目基础信息'!J23</f>
        <v>0</v>
      </c>
      <c r="AK212" s="317">
        <f t="shared" si="471"/>
        <v>390</v>
      </c>
      <c r="AL212" s="118">
        <f t="shared" si="472"/>
        <v>0</v>
      </c>
      <c r="AM212" s="118">
        <f>'1-1 项目基础信息'!K23</f>
        <v>0</v>
      </c>
      <c r="AN212" s="317">
        <f t="shared" si="473"/>
        <v>390</v>
      </c>
      <c r="AO212" s="118">
        <f t="shared" si="474"/>
        <v>0</v>
      </c>
      <c r="AP212" s="118">
        <f>'1-1 项目基础信息'!L23</f>
        <v>0</v>
      </c>
      <c r="AQ212" s="317">
        <f t="shared" si="475"/>
        <v>390</v>
      </c>
      <c r="AR212" s="118">
        <f t="shared" si="476"/>
        <v>0</v>
      </c>
      <c r="AS212" s="118">
        <f>'1-1 项目基础信息'!M23</f>
        <v>0</v>
      </c>
      <c r="AT212" s="317">
        <f t="shared" si="477"/>
        <v>390</v>
      </c>
      <c r="AU212" s="118">
        <f t="shared" si="478"/>
        <v>0</v>
      </c>
      <c r="AV212" s="118">
        <f>'1-1 项目基础信息'!N23</f>
        <v>0</v>
      </c>
      <c r="AW212" s="317">
        <f t="shared" si="479"/>
        <v>390</v>
      </c>
      <c r="AX212" s="118">
        <f t="shared" si="480"/>
        <v>0</v>
      </c>
      <c r="AY212" s="118">
        <f>'1-1 项目基础信息'!O23</f>
        <v>0</v>
      </c>
      <c r="AZ212" s="317">
        <f t="shared" si="481"/>
        <v>390</v>
      </c>
      <c r="BA212" s="118">
        <f t="shared" si="482"/>
        <v>0</v>
      </c>
      <c r="BB212" s="118">
        <f>'1-1 项目基础信息'!P23</f>
        <v>0</v>
      </c>
      <c r="BC212" s="317">
        <f t="shared" si="483"/>
        <v>390</v>
      </c>
      <c r="BD212" s="118">
        <f t="shared" si="484"/>
        <v>0</v>
      </c>
      <c r="BE212" s="118">
        <f>'1-1 项目基础信息'!Q23</f>
        <v>0</v>
      </c>
      <c r="BF212" s="317">
        <f t="shared" si="485"/>
        <v>390</v>
      </c>
      <c r="BG212" s="118">
        <f t="shared" si="486"/>
        <v>0</v>
      </c>
      <c r="BH212" s="118">
        <f>'1-1 项目基础信息'!R23</f>
        <v>0</v>
      </c>
      <c r="BI212" s="317">
        <f t="shared" si="487"/>
        <v>390</v>
      </c>
      <c r="BJ212" s="118">
        <f t="shared" si="488"/>
        <v>0</v>
      </c>
      <c r="BK212" s="118">
        <f>'1-1 项目基础信息'!S23</f>
        <v>0</v>
      </c>
      <c r="BL212" s="318">
        <f t="shared" si="489"/>
        <v>390</v>
      </c>
      <c r="BM212" s="310"/>
      <c r="BN212" s="313"/>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7">
        <f t="shared" si="469"/>
        <v>948</v>
      </c>
      <c r="AI218" s="118">
        <f t="shared" si="470"/>
        <v>0</v>
      </c>
      <c r="AJ218" s="118">
        <f>'1-1 项目基础信息'!J29</f>
        <v>0</v>
      </c>
      <c r="AK218" s="317">
        <f t="shared" si="471"/>
        <v>948</v>
      </c>
      <c r="AL218" s="118">
        <f t="shared" si="472"/>
        <v>0</v>
      </c>
      <c r="AM218" s="118">
        <f>'1-1 项目基础信息'!K29</f>
        <v>0</v>
      </c>
      <c r="AN218" s="317">
        <f t="shared" si="473"/>
        <v>948</v>
      </c>
      <c r="AO218" s="118">
        <f t="shared" si="474"/>
        <v>0</v>
      </c>
      <c r="AP218" s="118">
        <f>'1-1 项目基础信息'!L29</f>
        <v>0</v>
      </c>
      <c r="AQ218" s="317">
        <f t="shared" si="475"/>
        <v>948</v>
      </c>
      <c r="AR218" s="118">
        <f t="shared" si="476"/>
        <v>0</v>
      </c>
      <c r="AS218" s="118">
        <f>'1-1 项目基础信息'!M29</f>
        <v>0</v>
      </c>
      <c r="AT218" s="317">
        <f t="shared" si="477"/>
        <v>948</v>
      </c>
      <c r="AU218" s="118">
        <f t="shared" si="478"/>
        <v>0</v>
      </c>
      <c r="AV218" s="118">
        <f>'1-1 项目基础信息'!N29</f>
        <v>0</v>
      </c>
      <c r="AW218" s="317">
        <f t="shared" si="479"/>
        <v>948</v>
      </c>
      <c r="AX218" s="118">
        <f t="shared" si="480"/>
        <v>0</v>
      </c>
      <c r="AY218" s="118">
        <f>'1-1 项目基础信息'!O29</f>
        <v>0</v>
      </c>
      <c r="AZ218" s="317">
        <f t="shared" si="481"/>
        <v>948</v>
      </c>
      <c r="BA218" s="118">
        <f t="shared" si="482"/>
        <v>0</v>
      </c>
      <c r="BB218" s="118">
        <f>'1-1 项目基础信息'!P29</f>
        <v>0</v>
      </c>
      <c r="BC218" s="317">
        <f t="shared" si="483"/>
        <v>948</v>
      </c>
      <c r="BD218" s="118">
        <f t="shared" si="484"/>
        <v>0</v>
      </c>
      <c r="BE218" s="118">
        <f>'1-1 项目基础信息'!Q29</f>
        <v>0</v>
      </c>
      <c r="BF218" s="317">
        <f t="shared" si="485"/>
        <v>948</v>
      </c>
      <c r="BG218" s="118">
        <f t="shared" si="486"/>
        <v>0</v>
      </c>
      <c r="BH218" s="118">
        <f>'1-1 项目基础信息'!R29</f>
        <v>0</v>
      </c>
      <c r="BI218" s="317">
        <f t="shared" si="487"/>
        <v>948</v>
      </c>
      <c r="BJ218" s="118">
        <f t="shared" si="488"/>
        <v>0</v>
      </c>
      <c r="BK218" s="118">
        <f>'1-1 项目基础信息'!S29</f>
        <v>0</v>
      </c>
      <c r="BL218" s="318">
        <f t="shared" si="489"/>
        <v>948</v>
      </c>
      <c r="BM218" s="310"/>
      <c r="BN218" s="313"/>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7">
        <f t="shared" si="469"/>
        <v>1008</v>
      </c>
      <c r="AI219" s="118">
        <f t="shared" si="470"/>
        <v>0</v>
      </c>
      <c r="AJ219" s="118">
        <f>'1-1 项目基础信息'!J30</f>
        <v>0</v>
      </c>
      <c r="AK219" s="317">
        <f t="shared" si="471"/>
        <v>1008</v>
      </c>
      <c r="AL219" s="118">
        <f t="shared" si="472"/>
        <v>0</v>
      </c>
      <c r="AM219" s="118">
        <f>'1-1 项目基础信息'!K30</f>
        <v>0</v>
      </c>
      <c r="AN219" s="317">
        <f t="shared" si="473"/>
        <v>1008</v>
      </c>
      <c r="AO219" s="118">
        <f t="shared" si="474"/>
        <v>0</v>
      </c>
      <c r="AP219" s="118">
        <f>'1-1 项目基础信息'!L30</f>
        <v>0</v>
      </c>
      <c r="AQ219" s="317">
        <f t="shared" si="475"/>
        <v>1008</v>
      </c>
      <c r="AR219" s="118">
        <f t="shared" si="476"/>
        <v>0</v>
      </c>
      <c r="AS219" s="118">
        <f>'1-1 项目基础信息'!M30</f>
        <v>0</v>
      </c>
      <c r="AT219" s="317">
        <f t="shared" si="477"/>
        <v>1008</v>
      </c>
      <c r="AU219" s="118">
        <f t="shared" si="478"/>
        <v>0</v>
      </c>
      <c r="AV219" s="118">
        <f>'1-1 项目基础信息'!N30</f>
        <v>0</v>
      </c>
      <c r="AW219" s="317">
        <f t="shared" si="479"/>
        <v>1008</v>
      </c>
      <c r="AX219" s="118">
        <f t="shared" si="480"/>
        <v>0</v>
      </c>
      <c r="AY219" s="118">
        <f>'1-1 项目基础信息'!O30</f>
        <v>0</v>
      </c>
      <c r="AZ219" s="317">
        <f t="shared" si="481"/>
        <v>1008</v>
      </c>
      <c r="BA219" s="118">
        <f t="shared" si="482"/>
        <v>0</v>
      </c>
      <c r="BB219" s="118">
        <f>'1-1 项目基础信息'!P30</f>
        <v>0</v>
      </c>
      <c r="BC219" s="317">
        <f t="shared" si="483"/>
        <v>1008</v>
      </c>
      <c r="BD219" s="118">
        <f t="shared" si="484"/>
        <v>0</v>
      </c>
      <c r="BE219" s="118">
        <f>'1-1 项目基础信息'!Q30</f>
        <v>0</v>
      </c>
      <c r="BF219" s="317">
        <f t="shared" si="485"/>
        <v>1008</v>
      </c>
      <c r="BG219" s="118">
        <f t="shared" si="486"/>
        <v>0</v>
      </c>
      <c r="BH219" s="118">
        <f>'1-1 项目基础信息'!R30</f>
        <v>0</v>
      </c>
      <c r="BI219" s="317">
        <f t="shared" si="487"/>
        <v>1008</v>
      </c>
      <c r="BJ219" s="118">
        <f t="shared" si="488"/>
        <v>0</v>
      </c>
      <c r="BK219" s="118">
        <f>'1-1 项目基础信息'!S30</f>
        <v>0</v>
      </c>
      <c r="BL219" s="318">
        <f t="shared" si="489"/>
        <v>1008</v>
      </c>
      <c r="BM219" s="310"/>
      <c r="BN219" s="313"/>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8" customFormat="1" ht="33.95" hidden="1" customHeight="1" outlineLevel="3" spans="2:66">
      <c r="B223" s="114" t="s">
        <v>799</v>
      </c>
      <c r="C223" s="115" t="s">
        <v>46</v>
      </c>
      <c r="D223" s="48" t="s">
        <v>47</v>
      </c>
      <c r="E223" s="114" t="s">
        <v>1176</v>
      </c>
      <c r="F223" s="114"/>
      <c r="G223" s="114" t="s">
        <v>803</v>
      </c>
      <c r="H223" s="304">
        <f>IFERROR(J223*L223*N223,0)</f>
        <v>0</v>
      </c>
      <c r="I223" s="304" t="s">
        <v>1177</v>
      </c>
      <c r="J223" s="304">
        <f>AVERAGE(AD223,AG223,AJ223,AM223,AP223,AS223,AV223,AY223,BB223,BE223,BH223,BK223)</f>
        <v>35914</v>
      </c>
      <c r="K223" s="304" t="s">
        <v>1033</v>
      </c>
      <c r="L223" s="304">
        <f>AVERAGE(AE223,AH223,AK223,AN223,AQ223,AT223,AW223,AZ223,BC223,BF223,BI223,BL223)</f>
        <v>0</v>
      </c>
      <c r="M223" s="114" t="s">
        <v>806</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35914</v>
      </c>
      <c r="AE223" s="297">
        <f>预算主表!$P$85/(12*'1-1 项目基础信息'!$H$12)</f>
        <v>0</v>
      </c>
      <c r="AF223" s="114">
        <f t="shared" si="468"/>
        <v>0</v>
      </c>
      <c r="AG223" s="114">
        <f>VLOOKUP($I223,'1-1 项目基础信息'!$F:$S,4,FALSE)</f>
        <v>35914</v>
      </c>
      <c r="AH223" s="297">
        <f>预算主表!$P$85/(12*'1-1 项目基础信息'!$H$12)</f>
        <v>0</v>
      </c>
      <c r="AI223" s="114">
        <f t="shared" si="470"/>
        <v>0</v>
      </c>
      <c r="AJ223" s="114">
        <f>VLOOKUP($I223,'1-1 项目基础信息'!$F:$S,5,FALSE)</f>
        <v>35914</v>
      </c>
      <c r="AK223" s="297">
        <f>预算主表!$P$85/(12*'1-1 项目基础信息'!$H$12)</f>
        <v>0</v>
      </c>
      <c r="AL223" s="114">
        <f t="shared" si="472"/>
        <v>0</v>
      </c>
      <c r="AM223" s="114">
        <f>VLOOKUP($I223,'1-1 项目基础信息'!$F:$S,6,FALSE)</f>
        <v>35914</v>
      </c>
      <c r="AN223" s="297">
        <f>预算主表!$P$85/(12*'1-1 项目基础信息'!$H$12)</f>
        <v>0</v>
      </c>
      <c r="AO223" s="114">
        <f t="shared" si="474"/>
        <v>0</v>
      </c>
      <c r="AP223" s="114">
        <f>VLOOKUP($I223,'1-1 项目基础信息'!$F:$S,7,FALSE)</f>
        <v>35914</v>
      </c>
      <c r="AQ223" s="297">
        <f>预算主表!$P$85/(12*'1-1 项目基础信息'!$H$12)</f>
        <v>0</v>
      </c>
      <c r="AR223" s="114">
        <f t="shared" si="476"/>
        <v>0</v>
      </c>
      <c r="AS223" s="114">
        <f>VLOOKUP($I223,'1-1 项目基础信息'!$F:$S,8,FALSE)</f>
        <v>35914</v>
      </c>
      <c r="AT223" s="297">
        <f>预算主表!$P$85/(12*'1-1 项目基础信息'!$H$12)</f>
        <v>0</v>
      </c>
      <c r="AU223" s="114">
        <f t="shared" si="478"/>
        <v>0</v>
      </c>
      <c r="AV223" s="114">
        <f>VLOOKUP($I223,'1-1 项目基础信息'!$F:$S,9,FALSE)</f>
        <v>35914</v>
      </c>
      <c r="AW223" s="297">
        <f>预算主表!$P$85/(12*'1-1 项目基础信息'!$H$12)</f>
        <v>0</v>
      </c>
      <c r="AX223" s="114">
        <f t="shared" si="480"/>
        <v>0</v>
      </c>
      <c r="AY223" s="114">
        <f>VLOOKUP($I223,'1-1 项目基础信息'!$F:$S,10,FALSE)</f>
        <v>35914</v>
      </c>
      <c r="AZ223" s="297">
        <f>预算主表!$P$85/(12*'1-1 项目基础信息'!$H$12)</f>
        <v>0</v>
      </c>
      <c r="BA223" s="114">
        <f t="shared" si="482"/>
        <v>0</v>
      </c>
      <c r="BB223" s="114">
        <f>VLOOKUP($I223,'1-1 项目基础信息'!$F:$S,11,FALSE)</f>
        <v>35914</v>
      </c>
      <c r="BC223" s="297">
        <f>预算主表!$P$85/(12*'1-1 项目基础信息'!$H$12)</f>
        <v>0</v>
      </c>
      <c r="BD223" s="114">
        <f t="shared" si="484"/>
        <v>0</v>
      </c>
      <c r="BE223" s="114">
        <f>VLOOKUP($I223,'1-1 项目基础信息'!$F:$S,12,FALSE)</f>
        <v>35914</v>
      </c>
      <c r="BF223" s="297">
        <f>预算主表!$P$85/(12*'1-1 项目基础信息'!$H$12)</f>
        <v>0</v>
      </c>
      <c r="BG223" s="114">
        <f t="shared" si="486"/>
        <v>0</v>
      </c>
      <c r="BH223" s="114">
        <f>VLOOKUP($I223,'1-1 项目基础信息'!$F:$S,13,FALSE)</f>
        <v>35914</v>
      </c>
      <c r="BI223" s="297">
        <f>预算主表!$P$85/(12*'1-1 项目基础信息'!$H$12)</f>
        <v>0</v>
      </c>
      <c r="BJ223" s="114">
        <f t="shared" si="488"/>
        <v>0</v>
      </c>
      <c r="BK223" s="114">
        <f>VLOOKUP($I223,'1-1 项目基础信息'!$F:$S,14,FALSE)</f>
        <v>35914</v>
      </c>
      <c r="BL223" s="297">
        <f>预算主表!$P$85/(12*'1-1 项目基础信息'!$H$12)</f>
        <v>0</v>
      </c>
      <c r="BM223" s="310"/>
      <c r="BN223" s="312"/>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799</v>
      </c>
      <c r="C226" s="282" t="s">
        <v>1178</v>
      </c>
      <c r="D226" s="262"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799</v>
      </c>
      <c r="C227" s="282" t="s">
        <v>1184</v>
      </c>
      <c r="D227" s="262"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799</v>
      </c>
      <c r="C228" s="282" t="s">
        <v>1186</v>
      </c>
      <c r="D228" s="262"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799</v>
      </c>
      <c r="C229" s="282" t="s">
        <v>1188</v>
      </c>
      <c r="D229" s="262"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35914</v>
      </c>
      <c r="K230" s="118" t="s">
        <v>1033</v>
      </c>
      <c r="L230" s="297"/>
      <c r="M230" s="118" t="s">
        <v>806</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35914</v>
      </c>
      <c r="K231" s="118" t="s">
        <v>1033</v>
      </c>
      <c r="L231" s="297"/>
      <c r="M231" s="118" t="s">
        <v>806</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35914</v>
      </c>
      <c r="K232" s="118" t="s">
        <v>1033</v>
      </c>
      <c r="L232" s="297"/>
      <c r="M232" s="118" t="s">
        <v>1196</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7"/>
      <c r="K233" s="118" t="s">
        <v>1201</v>
      </c>
      <c r="L233" s="297"/>
      <c r="M233" s="118" t="s">
        <v>1202</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7"/>
      <c r="K234" s="118" t="s">
        <v>1201</v>
      </c>
      <c r="L234" s="297"/>
      <c r="M234" s="118" t="s">
        <v>1202</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35914</v>
      </c>
      <c r="K235" s="118" t="s">
        <v>1033</v>
      </c>
      <c r="L235" s="297"/>
      <c r="M235" s="118" t="s">
        <v>806</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35914</v>
      </c>
      <c r="K237" s="118" t="s">
        <v>1033</v>
      </c>
      <c r="L237" s="297"/>
      <c r="M237" s="118" t="s">
        <v>806</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35914</v>
      </c>
      <c r="K238" s="118" t="s">
        <v>1033</v>
      </c>
      <c r="L238" s="297"/>
      <c r="M238" s="118" t="s">
        <v>806</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35914</v>
      </c>
      <c r="K240" s="118" t="s">
        <v>1033</v>
      </c>
      <c r="L240" s="297"/>
      <c r="M240" s="118" t="s">
        <v>806</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799</v>
      </c>
      <c r="C242" s="282" t="s">
        <v>1220</v>
      </c>
      <c r="D242" s="262" t="s">
        <v>1221</v>
      </c>
      <c r="E242" s="174" t="s">
        <v>1222</v>
      </c>
      <c r="F242" s="174"/>
      <c r="G242" s="174" t="s">
        <v>943</v>
      </c>
      <c r="H242" s="174">
        <f t="shared" ref="H242:H246" si="527">IFERROR(J242*L242*N242,0)</f>
        <v>0</v>
      </c>
      <c r="I242" s="174" t="s">
        <v>1223</v>
      </c>
      <c r="J242" s="297"/>
      <c r="K242" s="174" t="s">
        <v>1224</v>
      </c>
      <c r="L242" s="297"/>
      <c r="M242" s="174" t="s">
        <v>1225</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799</v>
      </c>
      <c r="C243" s="282" t="s">
        <v>1226</v>
      </c>
      <c r="D243" s="262" t="s">
        <v>1227</v>
      </c>
      <c r="E243" s="174" t="s">
        <v>1228</v>
      </c>
      <c r="F243" s="174"/>
      <c r="G243" s="174" t="s">
        <v>943</v>
      </c>
      <c r="H243" s="174">
        <f t="shared" si="527"/>
        <v>0</v>
      </c>
      <c r="I243" s="174" t="s">
        <v>1229</v>
      </c>
      <c r="J243" s="297"/>
      <c r="K243" s="174" t="s">
        <v>1224</v>
      </c>
      <c r="L243" s="297"/>
      <c r="M243" s="174" t="s">
        <v>1225</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799</v>
      </c>
      <c r="C244" s="282" t="s">
        <v>1230</v>
      </c>
      <c r="D244" s="262" t="s">
        <v>1231</v>
      </c>
      <c r="E244" s="174" t="s">
        <v>1232</v>
      </c>
      <c r="F244" s="174"/>
      <c r="G244" s="174" t="s">
        <v>943</v>
      </c>
      <c r="H244" s="174">
        <f t="shared" si="527"/>
        <v>0</v>
      </c>
      <c r="I244" s="174" t="s">
        <v>1233</v>
      </c>
      <c r="J244" s="297"/>
      <c r="K244" s="174" t="s">
        <v>1234</v>
      </c>
      <c r="L244" s="297"/>
      <c r="M244" s="174" t="s">
        <v>1235</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799</v>
      </c>
      <c r="C245" s="282" t="s">
        <v>1236</v>
      </c>
      <c r="D245" s="262" t="s">
        <v>1237</v>
      </c>
      <c r="E245" s="174" t="s">
        <v>1238</v>
      </c>
      <c r="F245" s="174"/>
      <c r="G245" s="174" t="s">
        <v>943</v>
      </c>
      <c r="H245" s="174">
        <f t="shared" si="527"/>
        <v>0</v>
      </c>
      <c r="I245" s="174" t="s">
        <v>1233</v>
      </c>
      <c r="J245" s="297"/>
      <c r="K245" s="174" t="s">
        <v>1234</v>
      </c>
      <c r="L245" s="297"/>
      <c r="M245" s="174" t="s">
        <v>1235</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799</v>
      </c>
      <c r="C246" s="282" t="s">
        <v>1239</v>
      </c>
      <c r="D246" s="262" t="s">
        <v>1240</v>
      </c>
      <c r="E246" s="174" t="s">
        <v>1241</v>
      </c>
      <c r="F246" s="174"/>
      <c r="G246" s="174" t="s">
        <v>943</v>
      </c>
      <c r="H246" s="174">
        <f t="shared" si="527"/>
        <v>0</v>
      </c>
      <c r="I246" s="174" t="s">
        <v>1242</v>
      </c>
      <c r="J246" s="174">
        <v>1</v>
      </c>
      <c r="K246" s="174" t="s">
        <v>1243</v>
      </c>
      <c r="L246" s="297"/>
      <c r="M246" s="174" t="s">
        <v>1244</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35914</v>
      </c>
      <c r="K248" s="118" t="s">
        <v>1033</v>
      </c>
      <c r="L248" s="297"/>
      <c r="M248" s="118" t="s">
        <v>806</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35914</v>
      </c>
      <c r="K249" s="118" t="s">
        <v>1033</v>
      </c>
      <c r="L249" s="297"/>
      <c r="M249" s="118" t="s">
        <v>806</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35914</v>
      </c>
      <c r="K250" s="118" t="s">
        <v>1033</v>
      </c>
      <c r="L250" s="297"/>
      <c r="M250" s="118" t="s">
        <v>806</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35914</v>
      </c>
      <c r="K251" s="118" t="s">
        <v>1033</v>
      </c>
      <c r="L251" s="297"/>
      <c r="M251" s="118" t="s">
        <v>806</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35914</v>
      </c>
      <c r="K252" s="118" t="s">
        <v>1033</v>
      </c>
      <c r="L252" s="297"/>
      <c r="M252" s="118" t="s">
        <v>806</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35914</v>
      </c>
      <c r="K253" s="118" t="s">
        <v>1033</v>
      </c>
      <c r="L253" s="297"/>
      <c r="M253" s="118" t="s">
        <v>806</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35914</v>
      </c>
      <c r="K254" s="118" t="s">
        <v>1033</v>
      </c>
      <c r="L254" s="297"/>
      <c r="M254" s="118" t="s">
        <v>806</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35914</v>
      </c>
      <c r="K255" s="118" t="s">
        <v>1033</v>
      </c>
      <c r="L255" s="297"/>
      <c r="M255" s="118" t="s">
        <v>806</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35914</v>
      </c>
      <c r="K256" s="118" t="s">
        <v>1033</v>
      </c>
      <c r="L256" s="297"/>
      <c r="M256" s="118" t="s">
        <v>806</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799</v>
      </c>
      <c r="C258" s="282" t="s">
        <v>1272</v>
      </c>
      <c r="D258" s="262" t="s">
        <v>1273</v>
      </c>
      <c r="E258" s="174" t="s">
        <v>1274</v>
      </c>
      <c r="F258" s="174"/>
      <c r="G258" s="174" t="s">
        <v>943</v>
      </c>
      <c r="H258" s="174">
        <f t="shared" ref="H258:H261" si="559">IFERROR(J258*L258*N258,0)</f>
        <v>0</v>
      </c>
      <c r="I258" s="174" t="s">
        <v>1275</v>
      </c>
      <c r="J258" s="297"/>
      <c r="K258" s="174" t="s">
        <v>1276</v>
      </c>
      <c r="L258" s="297"/>
      <c r="M258" s="174" t="s">
        <v>1277</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799</v>
      </c>
      <c r="C259" s="282" t="s">
        <v>1278</v>
      </c>
      <c r="D259" s="262" t="s">
        <v>1279</v>
      </c>
      <c r="E259" s="174" t="s">
        <v>1280</v>
      </c>
      <c r="F259" s="174"/>
      <c r="G259" s="174" t="s">
        <v>943</v>
      </c>
      <c r="H259" s="174">
        <f t="shared" si="559"/>
        <v>0</v>
      </c>
      <c r="I259" s="174" t="s">
        <v>1275</v>
      </c>
      <c r="J259" s="297"/>
      <c r="K259" s="174" t="s">
        <v>1276</v>
      </c>
      <c r="L259" s="297"/>
      <c r="M259" s="174" t="s">
        <v>1277</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799</v>
      </c>
      <c r="C260" s="282" t="s">
        <v>1281</v>
      </c>
      <c r="D260" s="262" t="s">
        <v>1282</v>
      </c>
      <c r="E260" s="174" t="s">
        <v>1283</v>
      </c>
      <c r="F260" s="174"/>
      <c r="G260" s="174" t="s">
        <v>943</v>
      </c>
      <c r="H260" s="174">
        <f t="shared" si="559"/>
        <v>0</v>
      </c>
      <c r="I260" s="174" t="s">
        <v>1275</v>
      </c>
      <c r="J260" s="297"/>
      <c r="K260" s="174" t="s">
        <v>1276</v>
      </c>
      <c r="L260" s="297"/>
      <c r="M260" s="174" t="s">
        <v>1277</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799</v>
      </c>
      <c r="C261" s="282" t="s">
        <v>1284</v>
      </c>
      <c r="D261" s="262" t="s">
        <v>1285</v>
      </c>
      <c r="E261" s="174" t="s">
        <v>1286</v>
      </c>
      <c r="F261" s="174"/>
      <c r="G261" s="174" t="s">
        <v>943</v>
      </c>
      <c r="H261" s="174">
        <f t="shared" si="559"/>
        <v>0</v>
      </c>
      <c r="I261" s="174" t="s">
        <v>1275</v>
      </c>
      <c r="J261" s="297"/>
      <c r="K261" s="174" t="s">
        <v>1276</v>
      </c>
      <c r="L261" s="297"/>
      <c r="M261" s="174" t="s">
        <v>1277</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8" customFormat="1" ht="33.95" hidden="1" customHeight="1" outlineLevel="3" collapsed="1" spans="2:66">
      <c r="B262" s="114" t="s">
        <v>794</v>
      </c>
      <c r="C262" s="115" t="s">
        <v>1287</v>
      </c>
      <c r="D262" s="48" t="s">
        <v>1288</v>
      </c>
      <c r="E262" s="114" t="s">
        <v>1289</v>
      </c>
      <c r="F262" s="114"/>
      <c r="G262" s="114" t="s">
        <v>943</v>
      </c>
      <c r="H262" s="114">
        <f>H263+H264+H273+H274+H283+H287+H288+H289+H290</f>
        <v>0</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0</v>
      </c>
      <c r="AC262" s="114">
        <f t="shared" ref="AC262:AF262" si="574">AC263+AC264+AC273+AC274+AC283+AC287+AC288+AC289+AC290</f>
        <v>0</v>
      </c>
      <c r="AD262" s="114"/>
      <c r="AE262" s="114"/>
      <c r="AF262" s="114">
        <f t="shared" si="574"/>
        <v>0</v>
      </c>
      <c r="AG262" s="114"/>
      <c r="AH262" s="114"/>
      <c r="AI262" s="114">
        <f>AI263+AI264+AI273+AI274+AI283+AI287+AI288+AI289+AI290</f>
        <v>0</v>
      </c>
      <c r="AJ262" s="114"/>
      <c r="AK262" s="114"/>
      <c r="AL262" s="114">
        <f>AL263+AL264+AL273+AL274+AL283+AL287+AL288+AL289+AL290</f>
        <v>0</v>
      </c>
      <c r="AM262" s="114"/>
      <c r="AN262" s="114"/>
      <c r="AO262" s="114">
        <f>AO263+AO264+AO273+AO274+AO283+AO287+AO288+AO289+AO290</f>
        <v>0</v>
      </c>
      <c r="AP262" s="114"/>
      <c r="AQ262" s="114"/>
      <c r="AR262" s="114">
        <f>AR263+AR264+AR273+AR274+AR283+AR287+AR288+AR289+AR290</f>
        <v>0</v>
      </c>
      <c r="AS262" s="114"/>
      <c r="AT262" s="114"/>
      <c r="AU262" s="114">
        <f>AU263+AU264+AU273+AU274+AU283+AU287+AU288+AU289+AU290</f>
        <v>0</v>
      </c>
      <c r="AV262" s="114"/>
      <c r="AW262" s="114"/>
      <c r="AX262" s="114">
        <f>AX263+AX264+AX273+AX274+AX283+AX287+AX288+AX289+AX290</f>
        <v>0</v>
      </c>
      <c r="AY262" s="114"/>
      <c r="AZ262" s="114"/>
      <c r="BA262" s="114">
        <f>BA263+BA264+BA273+BA274+BA283+BA287+BA288+BA289+BA290</f>
        <v>0</v>
      </c>
      <c r="BB262" s="114"/>
      <c r="BC262" s="114"/>
      <c r="BD262" s="114">
        <f>BD263+BD264+BD273+BD274+BD283+BD287+BD288+BD289+BD290</f>
        <v>0</v>
      </c>
      <c r="BE262" s="114"/>
      <c r="BF262" s="114"/>
      <c r="BG262" s="114">
        <f>BG263+BG264+BG273+BG274+BG283+BG287+BG288+BG289+BG290</f>
        <v>0</v>
      </c>
      <c r="BH262" s="114"/>
      <c r="BI262" s="114"/>
      <c r="BJ262" s="114">
        <f>BJ263+BJ264+BJ273+BJ274+BJ283+BJ287+BJ288+BJ289+BJ290</f>
        <v>0</v>
      </c>
      <c r="BK262" s="114"/>
      <c r="BL262" s="304"/>
      <c r="BM262" s="310"/>
      <c r="BN262" s="312"/>
    </row>
    <row r="263" s="117" customFormat="1" ht="33.95" hidden="1" customHeight="1" outlineLevel="4" spans="2:66">
      <c r="B263" s="118" t="s">
        <v>799</v>
      </c>
      <c r="C263" s="119" t="s">
        <v>28</v>
      </c>
      <c r="D263" s="117" t="s">
        <v>29</v>
      </c>
      <c r="E263" s="118" t="s">
        <v>1290</v>
      </c>
      <c r="F263" s="118"/>
      <c r="G263" s="118" t="s">
        <v>943</v>
      </c>
      <c r="H263" s="118">
        <f>IFERROR(J263*L263*N263,0)</f>
        <v>0</v>
      </c>
      <c r="I263" s="118" t="s">
        <v>1291</v>
      </c>
      <c r="J263" s="297">
        <f>预算主表!P82/12</f>
        <v>0</v>
      </c>
      <c r="K263" s="118" t="s">
        <v>1033</v>
      </c>
      <c r="L263" s="297">
        <v>1</v>
      </c>
      <c r="M263" s="118" t="s">
        <v>1196</v>
      </c>
      <c r="N263" s="118">
        <f t="shared" ref="N263:N273" si="575">COUNTA(O263:Z263)</f>
        <v>12</v>
      </c>
      <c r="O263" s="297" t="s">
        <v>1292</v>
      </c>
      <c r="P263" s="297" t="s">
        <v>1292</v>
      </c>
      <c r="Q263" s="297" t="s">
        <v>1292</v>
      </c>
      <c r="R263" s="297" t="s">
        <v>1292</v>
      </c>
      <c r="S263" s="297" t="s">
        <v>1292</v>
      </c>
      <c r="T263" s="297" t="s">
        <v>1292</v>
      </c>
      <c r="U263" s="297" t="s">
        <v>1292</v>
      </c>
      <c r="V263" s="297" t="s">
        <v>1292</v>
      </c>
      <c r="W263" s="297" t="s">
        <v>1292</v>
      </c>
      <c r="X263" s="297" t="s">
        <v>1292</v>
      </c>
      <c r="Y263" s="297" t="s">
        <v>1292</v>
      </c>
      <c r="Z263" s="297" t="s">
        <v>1292</v>
      </c>
      <c r="AA263" s="118"/>
      <c r="AB263" s="118">
        <f t="shared" ref="AB263:AB273" si="576">SUM(AC263,AF263,AI263,AL263,AO263,AR263,AU263,AX263,BA263,BD263,BG263,BJ263)</f>
        <v>0</v>
      </c>
      <c r="AC263" s="118">
        <f t="shared" ref="AC263:AC273" si="577">IF(O263="",0,$J263*$L263)</f>
        <v>0</v>
      </c>
      <c r="AD263" s="118"/>
      <c r="AE263" s="118"/>
      <c r="AF263" s="118">
        <f t="shared" ref="AF263:AF273" si="578">IF(P263="",0,$J263*$L263)</f>
        <v>0</v>
      </c>
      <c r="AG263" s="118"/>
      <c r="AH263" s="118"/>
      <c r="AI263" s="118">
        <f t="shared" ref="AI263:AI273" si="579">IF(Q263="",0,$J263*$L263)</f>
        <v>0</v>
      </c>
      <c r="AJ263" s="118"/>
      <c r="AK263" s="118"/>
      <c r="AL263" s="118">
        <f t="shared" ref="AL263:AL273" si="580">IF(R263="",0,$J263*$L263)</f>
        <v>0</v>
      </c>
      <c r="AM263" s="118"/>
      <c r="AN263" s="118"/>
      <c r="AO263" s="118">
        <f t="shared" ref="AO263:AO273" si="581">IF(S263="",0,$J263*$L263)</f>
        <v>0</v>
      </c>
      <c r="AP263" s="118"/>
      <c r="AQ263" s="118"/>
      <c r="AR263" s="118">
        <f t="shared" ref="AR263:AR273" si="582">IF(T263="",0,$J263*$L263)</f>
        <v>0</v>
      </c>
      <c r="AS263" s="118"/>
      <c r="AT263" s="118"/>
      <c r="AU263" s="118">
        <f t="shared" ref="AU263:AU273" si="583">IF(U263="",0,$J263*$L263)</f>
        <v>0</v>
      </c>
      <c r="AV263" s="118"/>
      <c r="AW263" s="118"/>
      <c r="AX263" s="118">
        <f t="shared" ref="AX263:AX273" si="584">IF(V263="",0,$J263*$L263)</f>
        <v>0</v>
      </c>
      <c r="AY263" s="118"/>
      <c r="AZ263" s="118"/>
      <c r="BA263" s="118">
        <f t="shared" ref="BA263:BA273" si="585">IF(W263="",0,$J263*$L263)</f>
        <v>0</v>
      </c>
      <c r="BB263" s="118"/>
      <c r="BC263" s="118"/>
      <c r="BD263" s="118">
        <f t="shared" ref="BD263:BD273" si="586">IF(X263="",0,$J263*$L263)</f>
        <v>0</v>
      </c>
      <c r="BE263" s="118"/>
      <c r="BF263" s="118"/>
      <c r="BG263" s="118">
        <f t="shared" ref="BG263:BG273" si="587">IF(Y263="",0,$J263*$L263)</f>
        <v>0</v>
      </c>
      <c r="BH263" s="118"/>
      <c r="BI263" s="118"/>
      <c r="BJ263" s="118">
        <f t="shared" ref="BJ263:BJ273" si="588">IF(Z263="",0,$J263*$L263)</f>
        <v>0</v>
      </c>
      <c r="BK263" s="118"/>
      <c r="BL263" s="305"/>
      <c r="BM263" s="310"/>
      <c r="BN263" s="313"/>
    </row>
    <row r="264" s="117" customFormat="1" ht="33.95" hidden="1" customHeight="1" outlineLevel="4" collapsed="1" spans="2:66">
      <c r="B264" s="118" t="s">
        <v>794</v>
      </c>
      <c r="C264" s="119" t="s">
        <v>1293</v>
      </c>
      <c r="D264" s="117" t="s">
        <v>1294</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799</v>
      </c>
      <c r="C265" s="282" t="s">
        <v>56</v>
      </c>
      <c r="D265" s="262" t="s">
        <v>57</v>
      </c>
      <c r="E265" s="174" t="s">
        <v>1295</v>
      </c>
      <c r="F265" s="174"/>
      <c r="G265" s="174" t="s">
        <v>943</v>
      </c>
      <c r="H265" s="174">
        <f t="shared" ref="H265:H273" si="590">IFERROR(J265*L265*N265,0)</f>
        <v>0</v>
      </c>
      <c r="I265" s="174" t="s">
        <v>1296</v>
      </c>
      <c r="J265" s="297"/>
      <c r="K265" s="174" t="s">
        <v>1297</v>
      </c>
      <c r="L265" s="297"/>
      <c r="M265" s="174" t="s">
        <v>1298</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799</v>
      </c>
      <c r="C266" s="282" t="s">
        <v>58</v>
      </c>
      <c r="D266" s="262" t="s">
        <v>59</v>
      </c>
      <c r="E266" s="174" t="s">
        <v>1299</v>
      </c>
      <c r="F266" s="174"/>
      <c r="G266" s="174" t="s">
        <v>943</v>
      </c>
      <c r="H266" s="174">
        <f t="shared" si="590"/>
        <v>0</v>
      </c>
      <c r="I266" s="174" t="s">
        <v>1300</v>
      </c>
      <c r="J266" s="297">
        <f>预算主表!P87</f>
        <v>0</v>
      </c>
      <c r="K266" s="174" t="s">
        <v>1276</v>
      </c>
      <c r="L266" s="297">
        <v>1</v>
      </c>
      <c r="M266" s="174" t="s">
        <v>1301</v>
      </c>
      <c r="N266" s="174">
        <f t="shared" si="575"/>
        <v>1</v>
      </c>
      <c r="O266" s="297" t="s">
        <v>1292</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799</v>
      </c>
      <c r="C267" s="282" t="s">
        <v>60</v>
      </c>
      <c r="D267" s="262" t="s">
        <v>61</v>
      </c>
      <c r="E267" s="174" t="s">
        <v>1302</v>
      </c>
      <c r="F267" s="174"/>
      <c r="G267" s="174" t="s">
        <v>943</v>
      </c>
      <c r="H267" s="174">
        <f t="shared" si="590"/>
        <v>0</v>
      </c>
      <c r="I267" s="174" t="s">
        <v>1303</v>
      </c>
      <c r="J267" s="297"/>
      <c r="K267" s="174" t="s">
        <v>1304</v>
      </c>
      <c r="L267" s="297"/>
      <c r="M267" s="174" t="s">
        <v>1305</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799</v>
      </c>
      <c r="C268" s="282" t="s">
        <v>50</v>
      </c>
      <c r="D268" s="262" t="s">
        <v>51</v>
      </c>
      <c r="E268" s="174" t="s">
        <v>1299</v>
      </c>
      <c r="F268" s="174"/>
      <c r="G268" s="174" t="s">
        <v>943</v>
      </c>
      <c r="H268" s="174">
        <f t="shared" si="590"/>
        <v>0</v>
      </c>
      <c r="I268" s="174" t="s">
        <v>1242</v>
      </c>
      <c r="J268" s="297">
        <f>预算主表!P86</f>
        <v>0</v>
      </c>
      <c r="K268" s="174" t="s">
        <v>1276</v>
      </c>
      <c r="L268" s="297">
        <v>1</v>
      </c>
      <c r="M268" s="174" t="s">
        <v>1301</v>
      </c>
      <c r="N268" s="174">
        <f t="shared" si="575"/>
        <v>1</v>
      </c>
      <c r="O268" s="297" t="s">
        <v>1292</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799</v>
      </c>
      <c r="C269" s="282" t="s">
        <v>52</v>
      </c>
      <c r="D269" s="262" t="s">
        <v>53</v>
      </c>
      <c r="E269" s="174" t="s">
        <v>1299</v>
      </c>
      <c r="F269" s="174"/>
      <c r="G269" s="174" t="s">
        <v>943</v>
      </c>
      <c r="H269" s="174">
        <f t="shared" si="590"/>
        <v>0</v>
      </c>
      <c r="I269" s="174" t="s">
        <v>1242</v>
      </c>
      <c r="J269" s="297"/>
      <c r="K269" s="174" t="s">
        <v>1276</v>
      </c>
      <c r="L269" s="297"/>
      <c r="M269" s="174" t="s">
        <v>1301</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799</v>
      </c>
      <c r="C270" s="282" t="s">
        <v>1306</v>
      </c>
      <c r="D270" s="262" t="s">
        <v>1307</v>
      </c>
      <c r="E270" s="174" t="s">
        <v>1299</v>
      </c>
      <c r="F270" s="174"/>
      <c r="G270" s="174" t="s">
        <v>943</v>
      </c>
      <c r="H270" s="174">
        <f t="shared" si="590"/>
        <v>0</v>
      </c>
      <c r="I270" s="174" t="s">
        <v>1242</v>
      </c>
      <c r="J270" s="297"/>
      <c r="K270" s="174" t="s">
        <v>1276</v>
      </c>
      <c r="L270" s="297"/>
      <c r="M270" s="174" t="s">
        <v>1301</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799</v>
      </c>
      <c r="C271" s="282" t="s">
        <v>1308</v>
      </c>
      <c r="D271" s="262" t="s">
        <v>1309</v>
      </c>
      <c r="E271" s="174" t="s">
        <v>1299</v>
      </c>
      <c r="F271" s="174"/>
      <c r="G271" s="174" t="s">
        <v>943</v>
      </c>
      <c r="H271" s="174">
        <f t="shared" si="590"/>
        <v>0</v>
      </c>
      <c r="I271" s="174" t="s">
        <v>1242</v>
      </c>
      <c r="J271" s="297"/>
      <c r="K271" s="174" t="s">
        <v>1276</v>
      </c>
      <c r="L271" s="297"/>
      <c r="M271" s="174" t="s">
        <v>1301</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799</v>
      </c>
      <c r="C272" s="282" t="s">
        <v>1310</v>
      </c>
      <c r="D272" s="262" t="s">
        <v>1311</v>
      </c>
      <c r="E272" s="174" t="s">
        <v>1299</v>
      </c>
      <c r="F272" s="174"/>
      <c r="G272" s="174" t="s">
        <v>943</v>
      </c>
      <c r="H272" s="174">
        <f t="shared" si="590"/>
        <v>0</v>
      </c>
      <c r="I272" s="174" t="s">
        <v>1242</v>
      </c>
      <c r="J272" s="297"/>
      <c r="K272" s="174" t="s">
        <v>1276</v>
      </c>
      <c r="L272" s="297"/>
      <c r="M272" s="174" t="s">
        <v>1301</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7"/>
      <c r="M273" s="118" t="s">
        <v>1235</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794</v>
      </c>
      <c r="C274" s="119" t="s">
        <v>1314</v>
      </c>
      <c r="D274" s="117" t="s">
        <v>1315</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799</v>
      </c>
      <c r="C275" s="282" t="s">
        <v>1316</v>
      </c>
      <c r="D275" s="262" t="s">
        <v>1317</v>
      </c>
      <c r="E275" s="174" t="s">
        <v>1318</v>
      </c>
      <c r="F275" s="174"/>
      <c r="G275" s="174" t="s">
        <v>943</v>
      </c>
      <c r="H275" s="174">
        <f t="shared" ref="H275:H282" si="591">IFERROR(J275*L275*N275,0)</f>
        <v>0</v>
      </c>
      <c r="I275" s="174" t="s">
        <v>1319</v>
      </c>
      <c r="J275" s="297"/>
      <c r="K275" s="174" t="s">
        <v>1033</v>
      </c>
      <c r="L275" s="297"/>
      <c r="M275" s="174" t="s">
        <v>1196</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799</v>
      </c>
      <c r="C276" s="282" t="s">
        <v>1320</v>
      </c>
      <c r="D276" s="262" t="s">
        <v>1321</v>
      </c>
      <c r="E276" s="174" t="s">
        <v>1322</v>
      </c>
      <c r="F276" s="174"/>
      <c r="G276" s="174" t="s">
        <v>943</v>
      </c>
      <c r="H276" s="174">
        <f t="shared" si="591"/>
        <v>0</v>
      </c>
      <c r="I276" s="174" t="s">
        <v>1319</v>
      </c>
      <c r="J276" s="297"/>
      <c r="K276" s="174" t="s">
        <v>1033</v>
      </c>
      <c r="L276" s="297"/>
      <c r="M276" s="174" t="s">
        <v>1196</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799</v>
      </c>
      <c r="C277" s="282" t="s">
        <v>1323</v>
      </c>
      <c r="D277" s="262" t="s">
        <v>1324</v>
      </c>
      <c r="E277" s="174" t="s">
        <v>1325</v>
      </c>
      <c r="F277" s="174"/>
      <c r="G277" s="174" t="s">
        <v>943</v>
      </c>
      <c r="H277" s="174">
        <f t="shared" si="591"/>
        <v>0</v>
      </c>
      <c r="I277" s="174" t="s">
        <v>1319</v>
      </c>
      <c r="J277" s="297"/>
      <c r="K277" s="174" t="s">
        <v>1033</v>
      </c>
      <c r="L277" s="297"/>
      <c r="M277" s="174" t="s">
        <v>1196</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799</v>
      </c>
      <c r="C278" s="282" t="s">
        <v>1326</v>
      </c>
      <c r="D278" s="262" t="s">
        <v>1327</v>
      </c>
      <c r="E278" s="174" t="s">
        <v>1328</v>
      </c>
      <c r="F278" s="174"/>
      <c r="G278" s="174" t="s">
        <v>943</v>
      </c>
      <c r="H278" s="174">
        <f t="shared" si="591"/>
        <v>0</v>
      </c>
      <c r="I278" s="174" t="s">
        <v>1319</v>
      </c>
      <c r="J278" s="297"/>
      <c r="K278" s="174" t="s">
        <v>1033</v>
      </c>
      <c r="L278" s="297"/>
      <c r="M278" s="174" t="s">
        <v>1196</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799</v>
      </c>
      <c r="C279" s="282" t="s">
        <v>1329</v>
      </c>
      <c r="D279" s="262" t="s">
        <v>1330</v>
      </c>
      <c r="E279" s="174" t="s">
        <v>1331</v>
      </c>
      <c r="F279" s="174"/>
      <c r="G279" s="174" t="s">
        <v>943</v>
      </c>
      <c r="H279" s="174">
        <f t="shared" si="591"/>
        <v>0</v>
      </c>
      <c r="I279" s="174" t="s">
        <v>1319</v>
      </c>
      <c r="J279" s="297"/>
      <c r="K279" s="174" t="s">
        <v>1033</v>
      </c>
      <c r="L279" s="297"/>
      <c r="M279" s="174" t="s">
        <v>1196</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799</v>
      </c>
      <c r="C280" s="282" t="s">
        <v>1332</v>
      </c>
      <c r="D280" s="262" t="s">
        <v>1333</v>
      </c>
      <c r="E280" s="174" t="s">
        <v>1334</v>
      </c>
      <c r="F280" s="174"/>
      <c r="G280" s="174" t="s">
        <v>943</v>
      </c>
      <c r="H280" s="174">
        <f t="shared" si="591"/>
        <v>0</v>
      </c>
      <c r="I280" s="174" t="s">
        <v>1319</v>
      </c>
      <c r="J280" s="297"/>
      <c r="K280" s="174" t="s">
        <v>1033</v>
      </c>
      <c r="L280" s="297"/>
      <c r="M280" s="174" t="s">
        <v>1196</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799</v>
      </c>
      <c r="C281" s="282" t="s">
        <v>1335</v>
      </c>
      <c r="D281" s="262" t="s">
        <v>1336</v>
      </c>
      <c r="E281" s="174" t="s">
        <v>1337</v>
      </c>
      <c r="F281" s="174"/>
      <c r="G281" s="174" t="s">
        <v>943</v>
      </c>
      <c r="H281" s="174">
        <f t="shared" si="591"/>
        <v>0</v>
      </c>
      <c r="I281" s="174" t="s">
        <v>1319</v>
      </c>
      <c r="J281" s="297"/>
      <c r="K281" s="174" t="s">
        <v>1033</v>
      </c>
      <c r="L281" s="297"/>
      <c r="M281" s="174" t="s">
        <v>1196</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799</v>
      </c>
      <c r="C282" s="282" t="s">
        <v>1338</v>
      </c>
      <c r="D282" s="262" t="s">
        <v>1339</v>
      </c>
      <c r="E282" s="174" t="s">
        <v>1340</v>
      </c>
      <c r="F282" s="174"/>
      <c r="G282" s="174" t="s">
        <v>943</v>
      </c>
      <c r="H282" s="174">
        <f t="shared" si="591"/>
        <v>0</v>
      </c>
      <c r="I282" s="174" t="s">
        <v>1319</v>
      </c>
      <c r="J282" s="297"/>
      <c r="K282" s="174" t="s">
        <v>1033</v>
      </c>
      <c r="L282" s="297"/>
      <c r="M282" s="174" t="s">
        <v>1196</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799</v>
      </c>
      <c r="C284" s="282" t="s">
        <v>1344</v>
      </c>
      <c r="D284" s="262" t="s">
        <v>1345</v>
      </c>
      <c r="E284" s="174" t="s">
        <v>1346</v>
      </c>
      <c r="F284" s="174"/>
      <c r="G284" s="174" t="s">
        <v>943</v>
      </c>
      <c r="H284" s="174">
        <f t="shared" ref="H284:H290" si="607">IFERROR(J284*L284*N284,0)</f>
        <v>0</v>
      </c>
      <c r="I284" s="174" t="s">
        <v>1347</v>
      </c>
      <c r="J284" s="297"/>
      <c r="K284" s="174" t="s">
        <v>1348</v>
      </c>
      <c r="L284" s="297"/>
      <c r="M284" s="174" t="s">
        <v>1349</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799</v>
      </c>
      <c r="C285" s="282" t="s">
        <v>1350</v>
      </c>
      <c r="D285" s="262" t="s">
        <v>1351</v>
      </c>
      <c r="E285" s="174" t="s">
        <v>1352</v>
      </c>
      <c r="F285" s="174"/>
      <c r="G285" s="174" t="s">
        <v>943</v>
      </c>
      <c r="H285" s="174">
        <f t="shared" si="607"/>
        <v>0</v>
      </c>
      <c r="I285" s="174" t="s">
        <v>1347</v>
      </c>
      <c r="J285" s="297"/>
      <c r="K285" s="174" t="s">
        <v>1348</v>
      </c>
      <c r="L285" s="297"/>
      <c r="M285" s="174" t="s">
        <v>1349</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799</v>
      </c>
      <c r="C286" s="282" t="s">
        <v>1353</v>
      </c>
      <c r="D286" s="262" t="s">
        <v>1354</v>
      </c>
      <c r="E286" s="174" t="s">
        <v>1355</v>
      </c>
      <c r="F286" s="174"/>
      <c r="G286" s="174" t="s">
        <v>943</v>
      </c>
      <c r="H286" s="174">
        <f t="shared" si="607"/>
        <v>0</v>
      </c>
      <c r="I286" s="174" t="s">
        <v>1347</v>
      </c>
      <c r="J286" s="297"/>
      <c r="K286" s="174" t="s">
        <v>1348</v>
      </c>
      <c r="L286" s="297"/>
      <c r="M286" s="174" t="s">
        <v>1349</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7"/>
      <c r="M287" s="118" t="s">
        <v>1244</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7"/>
      <c r="K288" s="118" t="s">
        <v>1033</v>
      </c>
      <c r="L288" s="297"/>
      <c r="M288" s="118" t="s">
        <v>1196</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7"/>
      <c r="K289" s="118" t="s">
        <v>1033</v>
      </c>
      <c r="L289" s="297"/>
      <c r="M289" s="118" t="s">
        <v>1196</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7"/>
      <c r="K290" s="118" t="s">
        <v>1033</v>
      </c>
      <c r="L290" s="297"/>
      <c r="M290" s="118" t="s">
        <v>1196</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8" customFormat="1" ht="33.95" hidden="1" customHeight="1" outlineLevel="3" collapsed="1" spans="2:66">
      <c r="B291" s="114" t="s">
        <v>794</v>
      </c>
      <c r="C291" s="115" t="s">
        <v>1371</v>
      </c>
      <c r="D291" s="48" t="s">
        <v>1372</v>
      </c>
      <c r="E291" s="114"/>
      <c r="F291" s="114"/>
      <c r="G291" s="114"/>
      <c r="H291" s="114">
        <f>H292+H293+H294+H299</f>
        <v>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7"/>
      <c r="K292" s="118" t="s">
        <v>1377</v>
      </c>
      <c r="L292" s="320">
        <f>0.379248/1000</f>
        <v>0.000379248</v>
      </c>
      <c r="M292" s="118" t="s">
        <v>1378</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799</v>
      </c>
      <c r="C293" s="119" t="s">
        <v>1379</v>
      </c>
      <c r="D293" s="117" t="s">
        <v>1380</v>
      </c>
      <c r="E293" s="118" t="s">
        <v>1375</v>
      </c>
      <c r="F293" s="118"/>
      <c r="G293" s="118" t="s">
        <v>943</v>
      </c>
      <c r="H293" s="118">
        <f t="shared" si="623"/>
        <v>0</v>
      </c>
      <c r="I293" s="118" t="s">
        <v>1381</v>
      </c>
      <c r="J293" s="297">
        <f>预算主表!P140/L293</f>
        <v>0</v>
      </c>
      <c r="K293" s="118" t="s">
        <v>1382</v>
      </c>
      <c r="L293" s="118">
        <v>1000</v>
      </c>
      <c r="M293" s="118" t="s">
        <v>1383</v>
      </c>
      <c r="N293" s="118">
        <f>COUNTA(O293:Z293)</f>
        <v>1</v>
      </c>
      <c r="O293" s="297" t="s">
        <v>1292</v>
      </c>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799</v>
      </c>
      <c r="C295" s="282" t="s">
        <v>1386</v>
      </c>
      <c r="D295" s="262"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799</v>
      </c>
      <c r="C296" s="282" t="s">
        <v>1389</v>
      </c>
      <c r="D296" s="262" t="s">
        <v>1390</v>
      </c>
      <c r="E296" s="174"/>
      <c r="F296" s="174"/>
      <c r="G296" s="174" t="s">
        <v>943</v>
      </c>
      <c r="H296" s="174">
        <f t="shared" si="623"/>
        <v>0</v>
      </c>
      <c r="I296" s="174" t="s">
        <v>1242</v>
      </c>
      <c r="J296" s="174">
        <v>1</v>
      </c>
      <c r="K296" s="174" t="s">
        <v>1243</v>
      </c>
      <c r="L296" s="174">
        <v>750</v>
      </c>
      <c r="M296" s="174" t="s">
        <v>1388</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799</v>
      </c>
      <c r="C297" s="282" t="s">
        <v>1391</v>
      </c>
      <c r="D297" s="262" t="s">
        <v>1392</v>
      </c>
      <c r="E297" s="174"/>
      <c r="F297" s="174"/>
      <c r="G297" s="174" t="s">
        <v>943</v>
      </c>
      <c r="H297" s="174">
        <f t="shared" si="623"/>
        <v>0</v>
      </c>
      <c r="I297" s="174" t="s">
        <v>1242</v>
      </c>
      <c r="J297" s="174">
        <v>1</v>
      </c>
      <c r="K297" s="174" t="s">
        <v>1243</v>
      </c>
      <c r="L297" s="174">
        <v>1780</v>
      </c>
      <c r="M297" s="174" t="s">
        <v>1388</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799</v>
      </c>
      <c r="C298" s="282" t="s">
        <v>1393</v>
      </c>
      <c r="D298" s="262" t="s">
        <v>1394</v>
      </c>
      <c r="E298" s="174"/>
      <c r="F298" s="174"/>
      <c r="G298" s="174"/>
      <c r="H298" s="174">
        <f t="shared" si="623"/>
        <v>0</v>
      </c>
      <c r="I298" s="174" t="s">
        <v>1395</v>
      </c>
      <c r="J298" s="297"/>
      <c r="K298" s="174" t="s">
        <v>1396</v>
      </c>
      <c r="L298" s="174">
        <v>780</v>
      </c>
      <c r="M298" s="174" t="s">
        <v>1397</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799</v>
      </c>
      <c r="C300" s="282" t="s">
        <v>1400</v>
      </c>
      <c r="D300" s="262" t="s">
        <v>1401</v>
      </c>
      <c r="E300" s="174"/>
      <c r="F300" s="174"/>
      <c r="G300" s="174" t="s">
        <v>943</v>
      </c>
      <c r="H300" s="174">
        <f t="shared" ref="H300:H302" si="626">IFERROR(J300*L300*N300,0)</f>
        <v>0</v>
      </c>
      <c r="I300" s="174" t="s">
        <v>1381</v>
      </c>
      <c r="J300" s="297"/>
      <c r="K300" s="174" t="s">
        <v>1382</v>
      </c>
      <c r="L300" s="174">
        <v>5000</v>
      </c>
      <c r="M300" s="174" t="s">
        <v>1235</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799</v>
      </c>
      <c r="C301" s="282" t="s">
        <v>1402</v>
      </c>
      <c r="D301" s="262" t="s">
        <v>1403</v>
      </c>
      <c r="E301" s="174"/>
      <c r="F301" s="174"/>
      <c r="G301" s="174" t="s">
        <v>943</v>
      </c>
      <c r="H301" s="174">
        <f t="shared" si="626"/>
        <v>0</v>
      </c>
      <c r="I301" s="174" t="s">
        <v>1381</v>
      </c>
      <c r="J301" s="297">
        <f>预算主表!P134/(12*L301)</f>
        <v>0</v>
      </c>
      <c r="K301" s="174" t="s">
        <v>1382</v>
      </c>
      <c r="L301" s="174">
        <v>1000</v>
      </c>
      <c r="M301" s="174" t="s">
        <v>1235</v>
      </c>
      <c r="N301" s="174">
        <f t="shared" si="627"/>
        <v>12</v>
      </c>
      <c r="O301" s="297" t="s">
        <v>1292</v>
      </c>
      <c r="P301" s="297" t="s">
        <v>1292</v>
      </c>
      <c r="Q301" s="297" t="s">
        <v>1292</v>
      </c>
      <c r="R301" s="297" t="s">
        <v>1292</v>
      </c>
      <c r="S301" s="297" t="s">
        <v>1292</v>
      </c>
      <c r="T301" s="297" t="s">
        <v>1292</v>
      </c>
      <c r="U301" s="297" t="s">
        <v>1292</v>
      </c>
      <c r="V301" s="297" t="s">
        <v>1292</v>
      </c>
      <c r="W301" s="297" t="s">
        <v>1292</v>
      </c>
      <c r="X301" s="297" t="s">
        <v>1292</v>
      </c>
      <c r="Y301" s="297" t="s">
        <v>1292</v>
      </c>
      <c r="Z301" s="297"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799</v>
      </c>
      <c r="C302" s="282" t="s">
        <v>1404</v>
      </c>
      <c r="D302" s="262" t="s">
        <v>1405</v>
      </c>
      <c r="E302" s="174"/>
      <c r="F302" s="174"/>
      <c r="G302" s="174" t="s">
        <v>943</v>
      </c>
      <c r="H302" s="174">
        <f t="shared" si="626"/>
        <v>0</v>
      </c>
      <c r="I302" s="174" t="s">
        <v>1406</v>
      </c>
      <c r="J302" s="297"/>
      <c r="K302" s="174" t="s">
        <v>1377</v>
      </c>
      <c r="L302" s="174">
        <v>0.2</v>
      </c>
      <c r="M302" s="174" t="s">
        <v>1378</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7"/>
      <c r="K304" s="118" t="s">
        <v>1377</v>
      </c>
      <c r="L304" s="297"/>
      <c r="M304" s="118" t="s">
        <v>1378</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7"/>
      <c r="K305" s="118" t="s">
        <v>1396</v>
      </c>
      <c r="L305" s="297"/>
      <c r="M305" s="118" t="s">
        <v>1417</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7"/>
      <c r="M306" s="118" t="s">
        <v>1235</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35914</v>
      </c>
      <c r="K307" s="114" t="s">
        <v>1243</v>
      </c>
      <c r="L307" s="114">
        <f>H307/J307/N307</f>
        <v>0</v>
      </c>
      <c r="M307" s="114" t="s">
        <v>806</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7"/>
      <c r="K310" s="118" t="s">
        <v>1150</v>
      </c>
      <c r="L310" s="297"/>
      <c r="M310" s="118" t="s">
        <v>1183</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7"/>
      <c r="K311" s="118" t="s">
        <v>1150</v>
      </c>
      <c r="L311" s="297"/>
      <c r="M311" s="118" t="s">
        <v>1183</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7"/>
      <c r="K312" s="118" t="s">
        <v>1150</v>
      </c>
      <c r="L312" s="297"/>
      <c r="M312" s="118" t="s">
        <v>1183</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7"/>
      <c r="K313" s="118" t="s">
        <v>1150</v>
      </c>
      <c r="L313" s="297"/>
      <c r="M313" s="118" t="s">
        <v>1183</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8" customFormat="1" ht="33.95" hidden="1" customHeight="1" outlineLevel="3" spans="2:66">
      <c r="B314" s="114" t="s">
        <v>799</v>
      </c>
      <c r="C314" s="115" t="s">
        <v>1440</v>
      </c>
      <c r="D314" s="48" t="s">
        <v>1441</v>
      </c>
      <c r="E314" s="114"/>
      <c r="F314" s="114"/>
      <c r="G314" s="114" t="s">
        <v>943</v>
      </c>
      <c r="H314" s="304">
        <f t="shared" si="645"/>
        <v>0</v>
      </c>
      <c r="I314" s="304" t="s">
        <v>1177</v>
      </c>
      <c r="J314" s="304">
        <f>AVERAGE(AD314,AG314,AJ314,AM314,AP314,AS314,AV314,AY314,BB314,BE314,BH314,BK314)</f>
        <v>35914</v>
      </c>
      <c r="K314" s="304" t="s">
        <v>1033</v>
      </c>
      <c r="L314" s="304" t="e">
        <f>AVERAGE(AE314,AH314,AK314,AN314,AQ314,AT314,AW314,AZ314,BC314,BF314,BI314,BL314)</f>
        <v>#DIV/0!</v>
      </c>
      <c r="M314" s="114" t="s">
        <v>806</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35914</v>
      </c>
      <c r="AE314" s="297"/>
      <c r="AF314" s="114">
        <f>AG314*AH314</f>
        <v>0</v>
      </c>
      <c r="AG314" s="114">
        <f>VLOOKUP($I314,'1-1 项目基础信息'!$F:$S,4,FALSE)</f>
        <v>35914</v>
      </c>
      <c r="AH314" s="297"/>
      <c r="AI314" s="114">
        <f>AJ314*AK314</f>
        <v>0</v>
      </c>
      <c r="AJ314" s="114">
        <f>VLOOKUP($I314,'1-1 项目基础信息'!$F:$S,5,FALSE)</f>
        <v>35914</v>
      </c>
      <c r="AK314" s="297"/>
      <c r="AL314" s="114">
        <f>AM314*AN314</f>
        <v>0</v>
      </c>
      <c r="AM314" s="114">
        <f>VLOOKUP($I314,'1-1 项目基础信息'!$F:$S,6,FALSE)</f>
        <v>35914</v>
      </c>
      <c r="AN314" s="297"/>
      <c r="AO314" s="114">
        <f>AP314*AQ314</f>
        <v>0</v>
      </c>
      <c r="AP314" s="114">
        <f>VLOOKUP($I314,'1-1 项目基础信息'!$F:$S,7,FALSE)</f>
        <v>35914</v>
      </c>
      <c r="AQ314" s="297"/>
      <c r="AR314" s="114">
        <f>AS314*AT314</f>
        <v>0</v>
      </c>
      <c r="AS314" s="114">
        <f>VLOOKUP($I314,'1-1 项目基础信息'!$F:$S,8,FALSE)</f>
        <v>35914</v>
      </c>
      <c r="AT314" s="297"/>
      <c r="AU314" s="114">
        <f>AV314*AW314</f>
        <v>0</v>
      </c>
      <c r="AV314" s="114">
        <f>VLOOKUP($I314,'1-1 项目基础信息'!$F:$S,9,FALSE)</f>
        <v>35914</v>
      </c>
      <c r="AW314" s="297"/>
      <c r="AX314" s="114">
        <f>AY314*AZ314</f>
        <v>0</v>
      </c>
      <c r="AY314" s="114">
        <f>VLOOKUP($I314,'1-1 项目基础信息'!$F:$S,10,FALSE)</f>
        <v>35914</v>
      </c>
      <c r="AZ314" s="297"/>
      <c r="BA314" s="114">
        <f>BB314*BC314</f>
        <v>0</v>
      </c>
      <c r="BB314" s="114">
        <f>VLOOKUP($I314,'1-1 项目基础信息'!$F:$S,11,FALSE)</f>
        <v>35914</v>
      </c>
      <c r="BC314" s="297"/>
      <c r="BD314" s="114">
        <f>BE314*BF314</f>
        <v>0</v>
      </c>
      <c r="BE314" s="114">
        <f>VLOOKUP($I314,'1-1 项目基础信息'!$F:$S,12,FALSE)</f>
        <v>35914</v>
      </c>
      <c r="BF314" s="297"/>
      <c r="BG314" s="114">
        <f>BH314*BI314</f>
        <v>0</v>
      </c>
      <c r="BH314" s="114">
        <f>VLOOKUP($I314,'1-1 项目基础信息'!$F:$S,13,FALSE)</f>
        <v>35914</v>
      </c>
      <c r="BI314" s="297"/>
      <c r="BJ314" s="114">
        <f>BK314*BL314</f>
        <v>0</v>
      </c>
      <c r="BK314" s="114">
        <f>VLOOKUP($I314,'1-1 项目基础信息'!$F:$S,14,FALSE)</f>
        <v>35914</v>
      </c>
      <c r="BL314" s="306"/>
      <c r="BM314" s="310"/>
      <c r="BN314" s="312"/>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7"/>
      <c r="K316" s="118" t="s">
        <v>1396</v>
      </c>
      <c r="L316" s="297"/>
      <c r="M316" s="118" t="s">
        <v>1448</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7"/>
      <c r="K317" s="118" t="s">
        <v>1396</v>
      </c>
      <c r="L317" s="297"/>
      <c r="M317" s="118" t="s">
        <v>1448</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7"/>
      <c r="K318" s="118" t="s">
        <v>1396</v>
      </c>
      <c r="L318" s="297"/>
      <c r="M318" s="118" t="s">
        <v>1448</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7"/>
      <c r="K319" s="118" t="s">
        <v>1396</v>
      </c>
      <c r="L319" s="297"/>
      <c r="M319" s="118" t="s">
        <v>1448</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7"/>
      <c r="K320" s="118" t="s">
        <v>1396</v>
      </c>
      <c r="L320" s="297"/>
      <c r="M320" s="118" t="s">
        <v>1448</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7"/>
      <c r="K321" s="118" t="s">
        <v>1396</v>
      </c>
      <c r="L321" s="297"/>
      <c r="M321" s="118" t="s">
        <v>1448</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7"/>
      <c r="K322" s="118" t="s">
        <v>1396</v>
      </c>
      <c r="L322" s="297"/>
      <c r="M322" s="118" t="s">
        <v>1448</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7"/>
      <c r="K323" s="118" t="s">
        <v>1396</v>
      </c>
      <c r="L323" s="297"/>
      <c r="M323" s="118" t="s">
        <v>1448</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7"/>
      <c r="K324" s="118" t="s">
        <v>1396</v>
      </c>
      <c r="L324" s="297"/>
      <c r="M324" s="118" t="s">
        <v>1448</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7"/>
      <c r="K325" s="118" t="s">
        <v>1396</v>
      </c>
      <c r="L325" s="297"/>
      <c r="M325" s="118" t="s">
        <v>1448</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7"/>
      <c r="K326" s="118" t="s">
        <v>1396</v>
      </c>
      <c r="L326" s="297"/>
      <c r="M326" s="118" t="s">
        <v>1448</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7"/>
      <c r="K327" s="118" t="s">
        <v>1396</v>
      </c>
      <c r="L327" s="297"/>
      <c r="M327" s="118" t="s">
        <v>1448</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7"/>
      <c r="K328" s="118" t="s">
        <v>1396</v>
      </c>
      <c r="L328" s="297"/>
      <c r="M328" s="118" t="s">
        <v>1448</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7"/>
      <c r="K329" s="118" t="s">
        <v>1396</v>
      </c>
      <c r="L329" s="297"/>
      <c r="M329" s="118" t="s">
        <v>1448</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7"/>
      <c r="K330" s="118" t="s">
        <v>1396</v>
      </c>
      <c r="L330" s="297"/>
      <c r="M330" s="118" t="s">
        <v>1448</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7"/>
      <c r="K331" s="118" t="s">
        <v>1396</v>
      </c>
      <c r="L331" s="297"/>
      <c r="M331" s="118" t="s">
        <v>1448</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7"/>
      <c r="K332" s="118" t="s">
        <v>1396</v>
      </c>
      <c r="L332" s="297"/>
      <c r="M332" s="118" t="s">
        <v>1448</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7"/>
      <c r="K333" s="118" t="s">
        <v>1396</v>
      </c>
      <c r="L333" s="297"/>
      <c r="M333" s="118" t="s">
        <v>1448</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7"/>
      <c r="K334" s="118" t="s">
        <v>1396</v>
      </c>
      <c r="L334" s="297"/>
      <c r="M334" s="118" t="s">
        <v>1448</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7"/>
      <c r="K336" s="118" t="s">
        <v>1150</v>
      </c>
      <c r="L336" s="297"/>
      <c r="M336" s="118" t="s">
        <v>1183</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7"/>
      <c r="K337" s="118" t="s">
        <v>1150</v>
      </c>
      <c r="L337" s="297"/>
      <c r="M337" s="118" t="s">
        <v>1183</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7"/>
      <c r="K338" s="118" t="s">
        <v>1150</v>
      </c>
      <c r="L338" s="297"/>
      <c r="M338" s="118" t="s">
        <v>1183</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7"/>
      <c r="K339" s="118" t="s">
        <v>1150</v>
      </c>
      <c r="L339" s="297"/>
      <c r="M339" s="118" t="s">
        <v>1183</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7"/>
      <c r="K340" s="118" t="s">
        <v>1150</v>
      </c>
      <c r="L340" s="297"/>
      <c r="M340" s="118" t="s">
        <v>1183</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7"/>
      <c r="K341" s="118" t="s">
        <v>1150</v>
      </c>
      <c r="L341" s="297"/>
      <c r="M341" s="118" t="s">
        <v>1183</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7"/>
      <c r="K342" s="118" t="s">
        <v>1150</v>
      </c>
      <c r="L342" s="297"/>
      <c r="M342" s="118" t="s">
        <v>1183</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7"/>
      <c r="K343" s="118" t="s">
        <v>1150</v>
      </c>
      <c r="L343" s="297"/>
      <c r="M343" s="118" t="s">
        <v>1183</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7"/>
      <c r="K344" s="118" t="s">
        <v>1150</v>
      </c>
      <c r="L344" s="297"/>
      <c r="M344" s="118" t="s">
        <v>1183</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7"/>
      <c r="K345" s="118" t="s">
        <v>1150</v>
      </c>
      <c r="L345" s="297"/>
      <c r="M345" s="118" t="s">
        <v>1183</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7"/>
      <c r="K346" s="118" t="s">
        <v>1150</v>
      </c>
      <c r="L346" s="297"/>
      <c r="M346" s="118" t="s">
        <v>1183</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7"/>
      <c r="K347" s="118" t="s">
        <v>1150</v>
      </c>
      <c r="L347" s="297"/>
      <c r="M347" s="118" t="s">
        <v>1183</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7"/>
      <c r="K348" s="118" t="s">
        <v>1150</v>
      </c>
      <c r="L348" s="297"/>
      <c r="M348" s="118" t="s">
        <v>1183</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7"/>
      <c r="M349" s="118" t="s">
        <v>1537</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7"/>
      <c r="M350" s="118" t="s">
        <v>1537</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7"/>
      <c r="M351" s="118" t="s">
        <v>1537</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7"/>
      <c r="M352" s="118" t="s">
        <v>1537</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7"/>
      <c r="K353" s="118" t="s">
        <v>1150</v>
      </c>
      <c r="L353" s="297"/>
      <c r="M353" s="118" t="s">
        <v>1183</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7"/>
      <c r="K354" s="118" t="s">
        <v>1150</v>
      </c>
      <c r="L354" s="297"/>
      <c r="M354" s="118" t="s">
        <v>1183</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7"/>
      <c r="K355" s="118" t="s">
        <v>1150</v>
      </c>
      <c r="L355" s="297"/>
      <c r="M355" s="118" t="s">
        <v>1183</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7"/>
      <c r="K357" s="118" t="s">
        <v>1396</v>
      </c>
      <c r="L357" s="297"/>
      <c r="M357" s="118" t="s">
        <v>1448</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7"/>
      <c r="K358" s="118" t="s">
        <v>1396</v>
      </c>
      <c r="L358" s="297"/>
      <c r="M358" s="118" t="s">
        <v>1448</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7"/>
      <c r="K359" s="118" t="s">
        <v>1396</v>
      </c>
      <c r="L359" s="297"/>
      <c r="M359" s="118" t="s">
        <v>1448</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7"/>
      <c r="K360" s="118" t="s">
        <v>1396</v>
      </c>
      <c r="L360" s="297"/>
      <c r="M360" s="118" t="s">
        <v>1448</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7"/>
      <c r="K361" s="118" t="s">
        <v>1396</v>
      </c>
      <c r="L361" s="297"/>
      <c r="M361" s="118" t="s">
        <v>1448</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7"/>
      <c r="K362" s="114" t="s">
        <v>1396</v>
      </c>
      <c r="L362" s="297"/>
      <c r="M362" s="114" t="s">
        <v>1448</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35914</v>
      </c>
      <c r="K363" s="114" t="s">
        <v>1033</v>
      </c>
      <c r="L363" s="297"/>
      <c r="M363" s="114" t="s">
        <v>1196</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7"/>
      <c r="K364" s="114" t="s">
        <v>1396</v>
      </c>
      <c r="L364" s="297"/>
      <c r="M364" s="114" t="s">
        <v>1448</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7"/>
      <c r="K366" s="118" t="s">
        <v>1396</v>
      </c>
      <c r="L366" s="297"/>
      <c r="M366" s="118" t="s">
        <v>1448</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7"/>
      <c r="K367" s="118" t="s">
        <v>1396</v>
      </c>
      <c r="L367" s="297"/>
      <c r="M367" s="118" t="s">
        <v>1448</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7"/>
      <c r="K368" s="118" t="s">
        <v>1396</v>
      </c>
      <c r="L368" s="297"/>
      <c r="M368" s="118" t="s">
        <v>1448</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7"/>
      <c r="K369" s="118" t="s">
        <v>1396</v>
      </c>
      <c r="L369" s="297"/>
      <c r="M369" s="118" t="s">
        <v>1448</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7"/>
      <c r="K370" s="118" t="s">
        <v>1396</v>
      </c>
      <c r="L370" s="297"/>
      <c r="M370" s="118" t="s">
        <v>1448</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7"/>
      <c r="K371" s="114" t="s">
        <v>1396</v>
      </c>
      <c r="L371" s="297"/>
      <c r="M371" s="114" t="s">
        <v>1448</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7"/>
      <c r="K372" s="114" t="s">
        <v>1396</v>
      </c>
      <c r="L372" s="297"/>
      <c r="M372" s="114" t="s">
        <v>1448</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7"/>
      <c r="K374" s="118" t="s">
        <v>1396</v>
      </c>
      <c r="L374" s="297"/>
      <c r="M374" s="118" t="s">
        <v>1448</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7"/>
      <c r="K375" s="118" t="s">
        <v>1396</v>
      </c>
      <c r="L375" s="297"/>
      <c r="M375" s="118" t="s">
        <v>1448</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7"/>
      <c r="K376" s="118" t="s">
        <v>1396</v>
      </c>
      <c r="L376" s="297"/>
      <c r="M376" s="118" t="s">
        <v>1448</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7"/>
      <c r="K377" s="118" t="s">
        <v>1396</v>
      </c>
      <c r="L377" s="297"/>
      <c r="M377" s="118" t="s">
        <v>1448</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7"/>
      <c r="K378" s="118" t="s">
        <v>1396</v>
      </c>
      <c r="L378" s="297"/>
      <c r="M378" s="118" t="s">
        <v>1448</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7"/>
      <c r="K379" s="118" t="s">
        <v>1396</v>
      </c>
      <c r="L379" s="297"/>
      <c r="M379" s="118" t="s">
        <v>1448</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7">
        <f>预算主表!P89</f>
        <v>0</v>
      </c>
      <c r="M380" s="114" t="s">
        <v>1377</v>
      </c>
      <c r="N380" s="114">
        <f t="shared" si="727"/>
        <v>1</v>
      </c>
      <c r="O380" s="315" t="s">
        <v>1292</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collapsed="1" spans="2:66">
      <c r="B381" s="108" t="s">
        <v>794</v>
      </c>
      <c r="C381" s="109">
        <v>1.2</v>
      </c>
      <c r="D381" s="107" t="s">
        <v>9</v>
      </c>
      <c r="E381" s="108"/>
      <c r="F381" s="108"/>
      <c r="G381" s="108"/>
      <c r="H381" s="108">
        <f>H382+H430+H461+H486+H502+H540</f>
        <v>0</v>
      </c>
      <c r="N381" s="302"/>
      <c r="O381" s="285"/>
      <c r="P381" s="285"/>
      <c r="Q381" s="285"/>
      <c r="R381" s="285"/>
      <c r="S381" s="285"/>
      <c r="T381" s="285"/>
      <c r="U381" s="285"/>
      <c r="V381" s="285"/>
      <c r="W381" s="285"/>
      <c r="X381" s="285"/>
      <c r="Y381" s="285"/>
      <c r="Z381" s="285"/>
      <c r="AA381" s="285"/>
      <c r="AB381" s="108">
        <f t="shared" ref="AB381:AF381" si="741">AB382+AB430+AB461+AB486+AB502+AB540</f>
        <v>0</v>
      </c>
      <c r="AC381" s="108">
        <f t="shared" si="741"/>
        <v>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9" customFormat="1" ht="33.95" hidden="1" customHeight="1" outlineLevel="2" collapsed="1" spans="2:66">
      <c r="B382" s="111" t="s">
        <v>794</v>
      </c>
      <c r="C382" s="112" t="s">
        <v>1626</v>
      </c>
      <c r="D382" s="29" t="s">
        <v>1627</v>
      </c>
      <c r="E382" s="111"/>
      <c r="F382" s="111"/>
      <c r="G382" s="111"/>
      <c r="H382" s="111">
        <f>H383+H399+H410+H418</f>
        <v>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0</v>
      </c>
      <c r="AC382" s="111">
        <f t="shared" si="742"/>
        <v>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8" customFormat="1" ht="33.95" hidden="1" customHeight="1" outlineLevel="3" collapsed="1" spans="2:66">
      <c r="B383" s="114" t="s">
        <v>794</v>
      </c>
      <c r="C383" s="115" t="s">
        <v>1628</v>
      </c>
      <c r="D383" s="48" t="s">
        <v>1629</v>
      </c>
      <c r="E383" s="114"/>
      <c r="F383" s="114"/>
      <c r="G383" s="114"/>
      <c r="H383" s="114">
        <f>SUM(H384:H398)</f>
        <v>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0</v>
      </c>
      <c r="AC383" s="114">
        <f t="shared" si="743"/>
        <v>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799</v>
      </c>
      <c r="C384" s="119" t="s">
        <v>1630</v>
      </c>
      <c r="D384" s="117" t="s">
        <v>1631</v>
      </c>
      <c r="E384" s="118" t="s">
        <v>1632</v>
      </c>
      <c r="F384" s="118" t="s">
        <v>1625</v>
      </c>
      <c r="G384" s="118" t="s">
        <v>943</v>
      </c>
      <c r="H384" s="118">
        <f t="shared" ref="H384:H398" si="744">J384*L384</f>
        <v>0</v>
      </c>
      <c r="I384" s="118" t="s">
        <v>1242</v>
      </c>
      <c r="J384" s="297">
        <f>预算主表!P77/2000</f>
        <v>0</v>
      </c>
      <c r="K384" s="118" t="s">
        <v>1633</v>
      </c>
      <c r="L384" s="118">
        <v>2000</v>
      </c>
      <c r="M384" s="118" t="s">
        <v>1634</v>
      </c>
      <c r="N384" s="118">
        <f t="shared" ref="N384:N398" si="745">COUNTA(O384:Z384)</f>
        <v>1</v>
      </c>
      <c r="O384" s="316" t="s">
        <v>1292</v>
      </c>
      <c r="P384" s="316"/>
      <c r="Q384" s="316"/>
      <c r="R384" s="316"/>
      <c r="S384" s="316"/>
      <c r="T384" s="316"/>
      <c r="U384" s="316"/>
      <c r="V384" s="316"/>
      <c r="W384" s="316"/>
      <c r="X384" s="316"/>
      <c r="Y384" s="316"/>
      <c r="Z384" s="316"/>
      <c r="AA384" s="118"/>
      <c r="AB384" s="118">
        <f t="shared" ref="AB384:AB395" si="746">SUM(AC384,AF384,AI384,AL384,AO384,AR384,AU384,AX384,BA384,BD384,BG384,BJ384)</f>
        <v>0</v>
      </c>
      <c r="AC384" s="118">
        <f>IF(O384="√",$J384*$L384/$N384,0)</f>
        <v>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7"/>
      <c r="K385" s="118" t="s">
        <v>1633</v>
      </c>
      <c r="L385" s="118">
        <v>165</v>
      </c>
      <c r="M385" s="118" t="s">
        <v>1634</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7"/>
      <c r="K386" s="118" t="s">
        <v>1633</v>
      </c>
      <c r="L386" s="118">
        <v>540</v>
      </c>
      <c r="M386" s="118" t="s">
        <v>1634</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7"/>
      <c r="K387" s="118" t="s">
        <v>1633</v>
      </c>
      <c r="L387" s="118">
        <v>930</v>
      </c>
      <c r="M387" s="118" t="s">
        <v>1634</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7"/>
      <c r="K388" s="118" t="s">
        <v>1633</v>
      </c>
      <c r="L388" s="118">
        <v>230</v>
      </c>
      <c r="M388" s="118" t="s">
        <v>1634</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7"/>
      <c r="K389" s="118" t="s">
        <v>1633</v>
      </c>
      <c r="L389" s="118">
        <v>500</v>
      </c>
      <c r="M389" s="118" t="s">
        <v>1634</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7"/>
      <c r="K390" s="118" t="s">
        <v>1633</v>
      </c>
      <c r="L390" s="118">
        <v>150</v>
      </c>
      <c r="M390" s="118" t="s">
        <v>1634</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7"/>
      <c r="K391" s="118" t="s">
        <v>1633</v>
      </c>
      <c r="L391" s="118">
        <f>SUMIFS('附表1-数据库'!$D$2:$D$22,'附表1-数据库'!$B$2:$B$22,$D391,'附表1-数据库'!$C$2:$C$22,'1-1 项目基础信息'!$D$13)</f>
        <v>0</v>
      </c>
      <c r="M391" s="118" t="s">
        <v>1634</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7"/>
      <c r="K392" s="118" t="s">
        <v>1633</v>
      </c>
      <c r="L392" s="118">
        <f>SUMIFS('附表1-数据库'!$D$2:$D$22,'附表1-数据库'!$B$2:$B$22,$D392,'附表1-数据库'!$C$2:$C$22,'1-1 项目基础信息'!$D$13)</f>
        <v>0</v>
      </c>
      <c r="M392" s="118" t="s">
        <v>1634</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7"/>
      <c r="K393" s="118" t="s">
        <v>1633</v>
      </c>
      <c r="L393" s="118">
        <f>SUMIFS('附表1-数据库'!$D$2:$D$22,'附表1-数据库'!$B$2:$B$22,$D393,'附表1-数据库'!$C$2:$C$22,'1-1 项目基础信息'!$D$13)</f>
        <v>0</v>
      </c>
      <c r="M393" s="118" t="s">
        <v>1634</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7"/>
      <c r="K394" s="118" t="s">
        <v>1633</v>
      </c>
      <c r="L394" s="118">
        <f>SUMIFS('附表1-数据库'!$D$2:$D$22,'附表1-数据库'!$B$2:$B$22,$D394,'附表1-数据库'!$C$2:$C$22,'1-1 项目基础信息'!$D$13)</f>
        <v>0</v>
      </c>
      <c r="M394" s="118" t="s">
        <v>1634</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7"/>
      <c r="K395" s="118" t="s">
        <v>1633</v>
      </c>
      <c r="L395" s="118">
        <f>SUMIFS('附表1-数据库'!$D$2:$D$22,'附表1-数据库'!$B$2:$B$22,$D395,'附表1-数据库'!$C$2:$C$22,'1-1 项目基础信息'!$D$13)</f>
        <v>0</v>
      </c>
      <c r="M395" s="118" t="s">
        <v>1634</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7"/>
      <c r="K396" s="118" t="s">
        <v>1633</v>
      </c>
      <c r="L396" s="118">
        <f>SUMIFS('附表1-数据库'!$D$2:$D$22,'附表1-数据库'!$B$2:$B$22,$D396,'附表1-数据库'!$C$2:$C$22,'1-1 项目基础信息'!$D$13)</f>
        <v>0</v>
      </c>
      <c r="M396" s="118" t="s">
        <v>1634</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7"/>
      <c r="K397" s="118" t="s">
        <v>1633</v>
      </c>
      <c r="L397" s="118">
        <f>SUMIFS('附表1-数据库'!$D$2:$D$22,'附表1-数据库'!$B$2:$B$22,$D397,'附表1-数据库'!$C$2:$C$22,'1-1 项目基础信息'!$D$13)</f>
        <v>0</v>
      </c>
      <c r="M397" s="118" t="s">
        <v>1634</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7"/>
      <c r="K398" s="118" t="s">
        <v>1633</v>
      </c>
      <c r="L398" s="297"/>
      <c r="M398" s="118" t="s">
        <v>1634</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7"/>
      <c r="K400" s="118" t="s">
        <v>1396</v>
      </c>
      <c r="L400" s="118">
        <v>20</v>
      </c>
      <c r="M400" s="118" t="s">
        <v>1675</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7"/>
      <c r="K401" s="118" t="s">
        <v>1396</v>
      </c>
      <c r="L401" s="118">
        <v>55</v>
      </c>
      <c r="M401" s="118" t="s">
        <v>1675</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7"/>
      <c r="K402" s="118" t="s">
        <v>1396</v>
      </c>
      <c r="L402" s="118">
        <v>300</v>
      </c>
      <c r="M402" s="118" t="s">
        <v>1675</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7"/>
      <c r="K403" s="118" t="s">
        <v>1396</v>
      </c>
      <c r="L403" s="118">
        <v>15</v>
      </c>
      <c r="M403" s="118" t="s">
        <v>1675</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7"/>
      <c r="K404" s="118" t="s">
        <v>1396</v>
      </c>
      <c r="L404" s="118">
        <v>50</v>
      </c>
      <c r="M404" s="118" t="s">
        <v>1675</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7"/>
      <c r="K405" s="118" t="s">
        <v>1396</v>
      </c>
      <c r="L405" s="118">
        <v>565</v>
      </c>
      <c r="M405" s="118" t="s">
        <v>1675</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7"/>
      <c r="K406" s="118" t="s">
        <v>1033</v>
      </c>
      <c r="L406" s="118">
        <v>55</v>
      </c>
      <c r="M406" s="118" t="s">
        <v>1694</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7"/>
      <c r="K407" s="118" t="s">
        <v>1396</v>
      </c>
      <c r="L407" s="118">
        <v>33</v>
      </c>
      <c r="M407" s="118" t="s">
        <v>1675</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7"/>
      <c r="K408" s="118" t="s">
        <v>1396</v>
      </c>
      <c r="L408" s="118">
        <v>101.2</v>
      </c>
      <c r="M408" s="118" t="s">
        <v>1675</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7"/>
      <c r="K409" s="118" t="s">
        <v>1396</v>
      </c>
      <c r="L409" s="297"/>
      <c r="M409" s="118" t="s">
        <v>1448</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7"/>
      <c r="K411" s="118" t="s">
        <v>1201</v>
      </c>
      <c r="L411" s="118">
        <v>12</v>
      </c>
      <c r="M411" s="118" t="s">
        <v>1708</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7"/>
      <c r="K412" s="118" t="s">
        <v>1201</v>
      </c>
      <c r="L412" s="118">
        <v>10</v>
      </c>
      <c r="M412" s="118" t="s">
        <v>1708</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7"/>
      <c r="K413" s="118" t="s">
        <v>1396</v>
      </c>
      <c r="L413" s="118">
        <v>105</v>
      </c>
      <c r="M413" s="118" t="s">
        <v>1675</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7"/>
      <c r="K414" s="118" t="s">
        <v>1033</v>
      </c>
      <c r="L414" s="118">
        <v>55</v>
      </c>
      <c r="M414" s="118" t="s">
        <v>1694</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7"/>
      <c r="K415" s="118" t="s">
        <v>1396</v>
      </c>
      <c r="L415" s="118">
        <v>140</v>
      </c>
      <c r="M415" s="118" t="s">
        <v>1675</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7"/>
      <c r="K416" s="118" t="s">
        <v>1396</v>
      </c>
      <c r="L416" s="118">
        <v>30</v>
      </c>
      <c r="M416" s="118" t="s">
        <v>1675</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7"/>
      <c r="K417" s="118" t="s">
        <v>1396</v>
      </c>
      <c r="L417" s="118">
        <v>10</v>
      </c>
      <c r="M417" s="118" t="s">
        <v>1675</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8" customFormat="1" ht="33.95" hidden="1" customHeight="1" outlineLevel="3" collapsed="1" spans="2:66">
      <c r="B418" s="114" t="s">
        <v>794</v>
      </c>
      <c r="C418" s="115" t="s">
        <v>1726</v>
      </c>
      <c r="D418" s="48" t="s">
        <v>1727</v>
      </c>
      <c r="E418" s="114"/>
      <c r="F418" s="114"/>
      <c r="G418" s="114" t="s">
        <v>943</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799</v>
      </c>
      <c r="C419" s="119" t="s">
        <v>1728</v>
      </c>
      <c r="D419" s="117" t="s">
        <v>1729</v>
      </c>
      <c r="E419" s="118" t="s">
        <v>1730</v>
      </c>
      <c r="F419" s="118" t="s">
        <v>1625</v>
      </c>
      <c r="G419" s="118" t="s">
        <v>943</v>
      </c>
      <c r="H419" s="118">
        <f t="shared" ref="H419:H429" si="791">J419*L419</f>
        <v>0</v>
      </c>
      <c r="I419" s="118" t="s">
        <v>1242</v>
      </c>
      <c r="J419" s="297">
        <f>预算主表!P94/L419</f>
        <v>0</v>
      </c>
      <c r="K419" s="118" t="s">
        <v>1396</v>
      </c>
      <c r="L419" s="118">
        <v>560.5</v>
      </c>
      <c r="M419" s="118" t="s">
        <v>1675</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7"/>
      <c r="K420" s="118" t="s">
        <v>1396</v>
      </c>
      <c r="L420" s="118">
        <v>85</v>
      </c>
      <c r="M420" s="118" t="s">
        <v>1675</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7"/>
      <c r="K421" s="118" t="s">
        <v>1396</v>
      </c>
      <c r="L421" s="118">
        <v>25</v>
      </c>
      <c r="M421" s="118" t="s">
        <v>1675</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7"/>
      <c r="K422" s="118" t="s">
        <v>1633</v>
      </c>
      <c r="L422" s="118">
        <v>19</v>
      </c>
      <c r="M422" s="118" t="s">
        <v>1634</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7"/>
      <c r="K423" s="118" t="s">
        <v>1633</v>
      </c>
      <c r="L423" s="118">
        <v>105</v>
      </c>
      <c r="M423" s="118" t="s">
        <v>1634</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7"/>
      <c r="K424" s="118" t="s">
        <v>1396</v>
      </c>
      <c r="L424" s="118">
        <v>5</v>
      </c>
      <c r="M424" s="118" t="s">
        <v>1675</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7"/>
      <c r="K425" s="118" t="s">
        <v>1396</v>
      </c>
      <c r="L425" s="118">
        <v>7.2</v>
      </c>
      <c r="M425" s="118" t="s">
        <v>1675</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7"/>
      <c r="K426" s="118" t="s">
        <v>1396</v>
      </c>
      <c r="L426" s="118">
        <v>5</v>
      </c>
      <c r="M426" s="118" t="s">
        <v>1675</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7"/>
      <c r="K427" s="118" t="s">
        <v>1754</v>
      </c>
      <c r="L427" s="118">
        <v>6.5</v>
      </c>
      <c r="M427" s="118" t="s">
        <v>1755</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7"/>
      <c r="K428" s="118" t="s">
        <v>1759</v>
      </c>
      <c r="L428" s="118">
        <v>20</v>
      </c>
      <c r="M428" s="118" t="s">
        <v>1760</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7"/>
      <c r="M429" s="118" t="s">
        <v>1763</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7"/>
      <c r="K432" s="118" t="s">
        <v>1150</v>
      </c>
      <c r="L432" s="118">
        <v>2230</v>
      </c>
      <c r="M432" s="118" t="s">
        <v>1770</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7"/>
      <c r="K433" s="118" t="s">
        <v>1150</v>
      </c>
      <c r="L433" s="118">
        <v>620</v>
      </c>
      <c r="M433" s="118" t="s">
        <v>1770</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7"/>
      <c r="K434" s="118" t="s">
        <v>1150</v>
      </c>
      <c r="L434" s="118">
        <v>3070</v>
      </c>
      <c r="M434" s="118" t="s">
        <v>1770</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7"/>
      <c r="K435" s="118" t="s">
        <v>1777</v>
      </c>
      <c r="L435" s="118">
        <v>2800</v>
      </c>
      <c r="M435" s="118" t="s">
        <v>1151</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7"/>
      <c r="K436" s="118" t="s">
        <v>1150</v>
      </c>
      <c r="L436" s="118">
        <v>10400</v>
      </c>
      <c r="M436" s="118" t="s">
        <v>1770</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7"/>
      <c r="K437" s="118" t="s">
        <v>1150</v>
      </c>
      <c r="L437" s="118">
        <v>700</v>
      </c>
      <c r="M437" s="118" t="s">
        <v>1770</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7"/>
      <c r="K438" s="118" t="s">
        <v>1777</v>
      </c>
      <c r="L438" s="118">
        <v>2800</v>
      </c>
      <c r="M438" s="118" t="s">
        <v>1151</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7"/>
      <c r="K439" s="118" t="s">
        <v>1777</v>
      </c>
      <c r="L439" s="118">
        <v>6000</v>
      </c>
      <c r="M439" s="118" t="s">
        <v>1770</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7"/>
      <c r="K441" s="118" t="s">
        <v>1396</v>
      </c>
      <c r="L441" s="118">
        <v>23.9300583657588</v>
      </c>
      <c r="M441" s="118" t="s">
        <v>1675</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7"/>
      <c r="K442" s="118" t="s">
        <v>1396</v>
      </c>
      <c r="L442" s="118">
        <v>130</v>
      </c>
      <c r="M442" s="118" t="s">
        <v>1675</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7"/>
      <c r="K443" s="118" t="s">
        <v>1396</v>
      </c>
      <c r="L443" s="118">
        <v>28.7562388818298</v>
      </c>
      <c r="M443" s="118" t="s">
        <v>1675</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7"/>
      <c r="K444" s="118" t="s">
        <v>1396</v>
      </c>
      <c r="L444" s="118">
        <v>20.8170650529501</v>
      </c>
      <c r="M444" s="118" t="s">
        <v>1675</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7"/>
      <c r="K445" s="118" t="s">
        <v>1150</v>
      </c>
      <c r="L445" s="118">
        <v>260</v>
      </c>
      <c r="M445" s="118" t="s">
        <v>1770</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7"/>
      <c r="K447" s="118" t="s">
        <v>1804</v>
      </c>
      <c r="L447" s="118">
        <v>48</v>
      </c>
      <c r="M447" s="118" t="s">
        <v>1805</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7"/>
      <c r="K448" s="118" t="s">
        <v>1804</v>
      </c>
      <c r="L448" s="118">
        <v>338</v>
      </c>
      <c r="M448" s="118" t="s">
        <v>1805</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7"/>
      <c r="K449" s="118" t="s">
        <v>1396</v>
      </c>
      <c r="L449" s="118">
        <v>190</v>
      </c>
      <c r="M449" s="118" t="s">
        <v>1675</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7"/>
      <c r="K450" s="118" t="s">
        <v>1396</v>
      </c>
      <c r="L450" s="118">
        <v>500</v>
      </c>
      <c r="M450" s="118" t="s">
        <v>1675</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7"/>
      <c r="K451" s="118" t="s">
        <v>1396</v>
      </c>
      <c r="L451" s="118">
        <v>80</v>
      </c>
      <c r="M451" s="118" t="s">
        <v>1675</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7"/>
      <c r="K452" s="118" t="s">
        <v>1396</v>
      </c>
      <c r="L452" s="118">
        <v>10</v>
      </c>
      <c r="M452" s="118" t="s">
        <v>1675</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7"/>
      <c r="K453" s="118" t="s">
        <v>1759</v>
      </c>
      <c r="L453" s="118">
        <v>37</v>
      </c>
      <c r="M453" s="118" t="s">
        <v>1760</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7"/>
      <c r="K454" s="118" t="s">
        <v>1297</v>
      </c>
      <c r="L454" s="118">
        <v>25</v>
      </c>
      <c r="M454" s="118" t="s">
        <v>1827</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7"/>
      <c r="K455" s="118" t="s">
        <v>1831</v>
      </c>
      <c r="L455" s="118">
        <v>9</v>
      </c>
      <c r="M455" s="118" t="s">
        <v>1832</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7"/>
      <c r="K456" s="118" t="s">
        <v>1836</v>
      </c>
      <c r="L456" s="118">
        <v>99</v>
      </c>
      <c r="M456" s="118" t="s">
        <v>1837</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7"/>
      <c r="K457" s="118" t="s">
        <v>1836</v>
      </c>
      <c r="L457" s="118">
        <v>120</v>
      </c>
      <c r="M457" s="118" t="s">
        <v>1837</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7"/>
      <c r="K458" s="118" t="s">
        <v>1836</v>
      </c>
      <c r="L458" s="118">
        <v>350</v>
      </c>
      <c r="M458" s="118" t="s">
        <v>1837</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7"/>
      <c r="K459" s="118" t="s">
        <v>1847</v>
      </c>
      <c r="L459" s="118">
        <v>10</v>
      </c>
      <c r="M459" s="118" t="s">
        <v>1848</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7"/>
      <c r="M460" s="118" t="s">
        <v>1244</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7"/>
      <c r="K463" s="118" t="s">
        <v>1150</v>
      </c>
      <c r="L463" s="118">
        <v>2850</v>
      </c>
      <c r="M463" s="118" t="s">
        <v>1770</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7"/>
      <c r="K464" s="118" t="s">
        <v>1150</v>
      </c>
      <c r="L464" s="118">
        <v>1180</v>
      </c>
      <c r="M464" s="118" t="s">
        <v>1770</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7"/>
      <c r="K465" s="118" t="s">
        <v>1150</v>
      </c>
      <c r="L465" s="118">
        <v>380</v>
      </c>
      <c r="M465" s="118" t="s">
        <v>1770</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7"/>
      <c r="K466" s="118" t="s">
        <v>1150</v>
      </c>
      <c r="L466" s="118">
        <v>2330</v>
      </c>
      <c r="M466" s="118" t="s">
        <v>1770</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7"/>
      <c r="K467" s="118" t="s">
        <v>1150</v>
      </c>
      <c r="L467" s="118">
        <v>2400</v>
      </c>
      <c r="M467" s="118" t="s">
        <v>1770</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7"/>
      <c r="K469" s="118" t="s">
        <v>1871</v>
      </c>
      <c r="L469" s="118">
        <v>2.6</v>
      </c>
      <c r="M469" s="118" t="s">
        <v>1872</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7"/>
      <c r="K470" s="118" t="s">
        <v>1871</v>
      </c>
      <c r="L470" s="118">
        <v>2.6</v>
      </c>
      <c r="M470" s="118" t="s">
        <v>1872</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7"/>
      <c r="K471" s="118" t="s">
        <v>1871</v>
      </c>
      <c r="L471" s="118">
        <v>2.6</v>
      </c>
      <c r="M471" s="118" t="s">
        <v>1872</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7"/>
      <c r="K472" s="118" t="s">
        <v>1880</v>
      </c>
      <c r="L472" s="118">
        <v>40</v>
      </c>
      <c r="M472" s="118" t="s">
        <v>1881</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7"/>
      <c r="K473" s="118" t="s">
        <v>1033</v>
      </c>
      <c r="L473" s="118">
        <v>17.33</v>
      </c>
      <c r="M473" s="118" t="s">
        <v>1694</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7"/>
      <c r="K474" s="118" t="s">
        <v>1887</v>
      </c>
      <c r="L474" s="118">
        <v>7</v>
      </c>
      <c r="M474" s="118" t="s">
        <v>1888</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7"/>
      <c r="K475" s="118" t="s">
        <v>1887</v>
      </c>
      <c r="L475" s="118">
        <v>1.5</v>
      </c>
      <c r="M475" s="118" t="s">
        <v>1888</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7"/>
      <c r="M476" s="118" t="s">
        <v>1244</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7"/>
      <c r="K478" s="118" t="s">
        <v>1847</v>
      </c>
      <c r="L478" s="118">
        <v>40</v>
      </c>
      <c r="M478" s="118" t="s">
        <v>1848</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7"/>
      <c r="K479" s="118" t="s">
        <v>1847</v>
      </c>
      <c r="L479" s="118">
        <v>85</v>
      </c>
      <c r="M479" s="118" t="s">
        <v>1848</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7"/>
      <c r="K480" s="118" t="s">
        <v>1831</v>
      </c>
      <c r="L480" s="118">
        <v>190</v>
      </c>
      <c r="M480" s="118" t="s">
        <v>1832</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7"/>
      <c r="K481" s="118" t="s">
        <v>1847</v>
      </c>
      <c r="L481" s="118">
        <v>28</v>
      </c>
      <c r="M481" s="118" t="s">
        <v>1848</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7"/>
      <c r="K482" s="118" t="s">
        <v>1831</v>
      </c>
      <c r="L482" s="118">
        <v>32</v>
      </c>
      <c r="M482" s="118" t="s">
        <v>1832</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7"/>
      <c r="K483" s="118" t="s">
        <v>1831</v>
      </c>
      <c r="L483" s="118">
        <v>180</v>
      </c>
      <c r="M483" s="118" t="s">
        <v>1832</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7"/>
      <c r="K484" s="118" t="s">
        <v>1847</v>
      </c>
      <c r="L484" s="118">
        <v>15</v>
      </c>
      <c r="M484" s="118" t="s">
        <v>1848</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7"/>
      <c r="K485" s="118" t="s">
        <v>1847</v>
      </c>
      <c r="L485" s="118">
        <v>25</v>
      </c>
      <c r="M485" s="118" t="s">
        <v>1848</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7"/>
      <c r="K488" s="118" t="s">
        <v>1396</v>
      </c>
      <c r="L488" s="118">
        <v>49</v>
      </c>
      <c r="M488" s="118" t="s">
        <v>1675</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7"/>
      <c r="K489" s="118" t="s">
        <v>1396</v>
      </c>
      <c r="L489" s="118">
        <v>42</v>
      </c>
      <c r="M489" s="118" t="s">
        <v>1675</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7"/>
      <c r="K490" s="118" t="s">
        <v>1633</v>
      </c>
      <c r="L490" s="118">
        <v>1262</v>
      </c>
      <c r="M490" s="118" t="s">
        <v>1634</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7"/>
      <c r="K491" s="118" t="s">
        <v>1396</v>
      </c>
      <c r="L491" s="118">
        <v>200</v>
      </c>
      <c r="M491" s="118" t="s">
        <v>1675</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7"/>
      <c r="K492" s="118" t="s">
        <v>1396</v>
      </c>
      <c r="L492" s="118">
        <v>30</v>
      </c>
      <c r="M492" s="118" t="s">
        <v>1675</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7"/>
      <c r="K494" s="118" t="s">
        <v>1396</v>
      </c>
      <c r="L494" s="118">
        <v>22</v>
      </c>
      <c r="M494" s="118" t="s">
        <v>1675</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7"/>
      <c r="K495" s="118" t="s">
        <v>1396</v>
      </c>
      <c r="L495" s="118">
        <v>25</v>
      </c>
      <c r="M495" s="118" t="s">
        <v>1675</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7"/>
      <c r="K496" s="118" t="s">
        <v>1396</v>
      </c>
      <c r="L496" s="118">
        <v>16</v>
      </c>
      <c r="M496" s="118" t="s">
        <v>1675</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7"/>
      <c r="K497" s="118" t="s">
        <v>1633</v>
      </c>
      <c r="L497" s="118">
        <v>277</v>
      </c>
      <c r="M497" s="118" t="s">
        <v>1634</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7"/>
      <c r="K498" s="118" t="s">
        <v>1949</v>
      </c>
      <c r="L498" s="118">
        <v>21</v>
      </c>
      <c r="M498" s="118" t="s">
        <v>1950</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7"/>
      <c r="K499" s="118" t="s">
        <v>1754</v>
      </c>
      <c r="L499" s="118">
        <v>375</v>
      </c>
      <c r="M499" s="118" t="s">
        <v>1755</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7"/>
      <c r="K500" s="118" t="s">
        <v>1754</v>
      </c>
      <c r="L500" s="118">
        <v>95</v>
      </c>
      <c r="M500" s="118" t="s">
        <v>1755</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7"/>
      <c r="K501" s="118" t="s">
        <v>1633</v>
      </c>
      <c r="L501" s="118">
        <v>2350</v>
      </c>
      <c r="M501" s="118" t="s">
        <v>1634</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7"/>
      <c r="K504" s="118" t="s">
        <v>1396</v>
      </c>
      <c r="L504" s="118">
        <v>513</v>
      </c>
      <c r="M504" s="118" t="s">
        <v>1675</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7"/>
      <c r="K505" s="118" t="s">
        <v>1396</v>
      </c>
      <c r="L505" s="118">
        <v>2500</v>
      </c>
      <c r="M505" s="118" t="s">
        <v>1675</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7"/>
      <c r="K506" s="118" t="s">
        <v>1150</v>
      </c>
      <c r="L506" s="118">
        <v>2315</v>
      </c>
      <c r="M506" s="118" t="s">
        <v>1770</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7"/>
      <c r="K507" s="118" t="s">
        <v>1396</v>
      </c>
      <c r="L507" s="118">
        <v>360</v>
      </c>
      <c r="M507" s="118" t="s">
        <v>1675</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7"/>
      <c r="K508" s="118" t="s">
        <v>1396</v>
      </c>
      <c r="L508" s="118">
        <v>300</v>
      </c>
      <c r="M508" s="118" t="s">
        <v>1675</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7"/>
      <c r="K509" s="118" t="s">
        <v>1396</v>
      </c>
      <c r="L509" s="118">
        <v>500</v>
      </c>
      <c r="M509" s="118" t="s">
        <v>1675</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7"/>
      <c r="K510" s="118" t="s">
        <v>1982</v>
      </c>
      <c r="L510" s="118">
        <v>3650</v>
      </c>
      <c r="M510" s="118" t="s">
        <v>1983</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7"/>
      <c r="K511" s="118" t="s">
        <v>1982</v>
      </c>
      <c r="L511" s="118">
        <v>35000</v>
      </c>
      <c r="M511" s="118" t="s">
        <v>1983</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7"/>
      <c r="K513" s="118" t="s">
        <v>1992</v>
      </c>
      <c r="L513" s="118">
        <v>15</v>
      </c>
      <c r="M513" s="118" t="s">
        <v>1993</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7"/>
      <c r="K514" s="118" t="s">
        <v>1992</v>
      </c>
      <c r="L514" s="118">
        <v>57</v>
      </c>
      <c r="M514" s="118" t="s">
        <v>1993</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7"/>
      <c r="K515" s="118" t="s">
        <v>1754</v>
      </c>
      <c r="L515" s="118">
        <v>3</v>
      </c>
      <c r="M515" s="118" t="s">
        <v>1755</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7"/>
      <c r="K516" s="118" t="s">
        <v>1150</v>
      </c>
      <c r="L516" s="118">
        <v>490</v>
      </c>
      <c r="M516" s="118" t="s">
        <v>1770</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7"/>
      <c r="K517" s="118" t="s">
        <v>1633</v>
      </c>
      <c r="L517" s="118">
        <v>320</v>
      </c>
      <c r="M517" s="118" t="s">
        <v>1634</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7"/>
      <c r="K518" s="118" t="s">
        <v>2008</v>
      </c>
      <c r="L518" s="118">
        <v>35</v>
      </c>
      <c r="M518" s="118" t="s">
        <v>2009</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7"/>
      <c r="K519" s="118" t="s">
        <v>1633</v>
      </c>
      <c r="L519" s="118">
        <v>70</v>
      </c>
      <c r="M519" s="118" t="s">
        <v>1634</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7"/>
      <c r="K521" s="118" t="s">
        <v>1396</v>
      </c>
      <c r="L521" s="118">
        <v>50</v>
      </c>
      <c r="M521" s="118" t="s">
        <v>1675</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7"/>
      <c r="K522" s="118" t="s">
        <v>1396</v>
      </c>
      <c r="L522" s="118">
        <v>20</v>
      </c>
      <c r="M522" s="118" t="s">
        <v>1675</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7"/>
      <c r="K523" s="118" t="s">
        <v>1396</v>
      </c>
      <c r="L523" s="118">
        <v>66</v>
      </c>
      <c r="M523" s="118" t="s">
        <v>1675</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7"/>
      <c r="K524" s="118" t="s">
        <v>2026</v>
      </c>
      <c r="L524" s="118">
        <v>8.5</v>
      </c>
      <c r="M524" s="118" t="s">
        <v>1805</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7"/>
      <c r="K525" s="118" t="s">
        <v>1396</v>
      </c>
      <c r="L525" s="118">
        <v>8</v>
      </c>
      <c r="M525" s="118" t="s">
        <v>1675</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7"/>
      <c r="K526" s="118" t="s">
        <v>2026</v>
      </c>
      <c r="L526" s="118">
        <v>80</v>
      </c>
      <c r="M526" s="118" t="s">
        <v>1805</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7"/>
      <c r="K527" s="118" t="s">
        <v>1396</v>
      </c>
      <c r="L527" s="118">
        <v>65</v>
      </c>
      <c r="M527" s="118" t="s">
        <v>1675</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7"/>
      <c r="K528" s="118" t="s">
        <v>1633</v>
      </c>
      <c r="L528" s="118">
        <v>135</v>
      </c>
      <c r="M528" s="118" t="s">
        <v>1634</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7"/>
      <c r="K529" s="118" t="s">
        <v>1396</v>
      </c>
      <c r="L529" s="118">
        <v>35</v>
      </c>
      <c r="M529" s="118" t="s">
        <v>1675</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7"/>
      <c r="K530" s="118" t="s">
        <v>1396</v>
      </c>
      <c r="L530" s="118">
        <v>36</v>
      </c>
      <c r="M530" s="118" t="s">
        <v>1675</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7"/>
      <c r="K531" s="118" t="s">
        <v>2026</v>
      </c>
      <c r="L531" s="118">
        <v>4.3</v>
      </c>
      <c r="M531" s="118" t="s">
        <v>1805</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7"/>
      <c r="K532" s="118" t="s">
        <v>1396</v>
      </c>
      <c r="L532" s="118">
        <v>52</v>
      </c>
      <c r="M532" s="118" t="s">
        <v>1675</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7"/>
      <c r="K533" s="118" t="s">
        <v>1396</v>
      </c>
      <c r="L533" s="118">
        <v>350</v>
      </c>
      <c r="M533" s="118" t="s">
        <v>1675</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7"/>
      <c r="K534" s="118" t="s">
        <v>1396</v>
      </c>
      <c r="L534" s="118">
        <v>75</v>
      </c>
      <c r="M534" s="118" t="s">
        <v>1675</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7"/>
      <c r="K535" s="118" t="s">
        <v>1396</v>
      </c>
      <c r="L535" s="118">
        <v>48</v>
      </c>
      <c r="M535" s="118" t="s">
        <v>1675</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7"/>
      <c r="K536" s="118" t="s">
        <v>1396</v>
      </c>
      <c r="L536" s="118">
        <v>20</v>
      </c>
      <c r="M536" s="118" t="s">
        <v>1675</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7"/>
      <c r="K537" s="118" t="s">
        <v>1396</v>
      </c>
      <c r="L537" s="118">
        <v>590</v>
      </c>
      <c r="M537" s="118" t="s">
        <v>1675</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7"/>
      <c r="K538" s="118" t="s">
        <v>1396</v>
      </c>
      <c r="L538" s="118">
        <v>7000</v>
      </c>
      <c r="M538" s="118" t="s">
        <v>1675</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7"/>
      <c r="K539" s="118" t="s">
        <v>1949</v>
      </c>
      <c r="L539" s="118">
        <v>783</v>
      </c>
      <c r="M539" s="118" t="s">
        <v>1950</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7"/>
      <c r="K542" s="118" t="s">
        <v>1982</v>
      </c>
      <c r="L542" s="118">
        <v>280</v>
      </c>
      <c r="M542" s="118" t="s">
        <v>1983</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7"/>
      <c r="K543" s="118" t="s">
        <v>1396</v>
      </c>
      <c r="L543" s="118">
        <v>252</v>
      </c>
      <c r="M543" s="118" t="s">
        <v>1675</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7"/>
      <c r="K544" s="118" t="s">
        <v>1982</v>
      </c>
      <c r="L544" s="118">
        <v>7000</v>
      </c>
      <c r="M544" s="118" t="s">
        <v>1983</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7"/>
      <c r="K545" s="118" t="s">
        <v>1150</v>
      </c>
      <c r="L545" s="118">
        <v>36500</v>
      </c>
      <c r="M545" s="118" t="s">
        <v>1770</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7"/>
      <c r="K546" s="118" t="s">
        <v>1150</v>
      </c>
      <c r="L546" s="118">
        <v>1400</v>
      </c>
      <c r="M546" s="118" t="s">
        <v>1770</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7"/>
      <c r="K547" s="118" t="s">
        <v>1150</v>
      </c>
      <c r="L547" s="118">
        <v>2277.92857142857</v>
      </c>
      <c r="M547" s="118" t="s">
        <v>1770</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7"/>
      <c r="K548" s="118" t="s">
        <v>1150</v>
      </c>
      <c r="L548" s="118">
        <v>2634.13508090615</v>
      </c>
      <c r="M548" s="118" t="s">
        <v>1770</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7"/>
      <c r="K549" s="118" t="s">
        <v>1150</v>
      </c>
      <c r="L549" s="118">
        <v>88.4446601941746</v>
      </c>
      <c r="M549" s="118" t="s">
        <v>1770</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7"/>
      <c r="K550" s="118" t="s">
        <v>1150</v>
      </c>
      <c r="L550" s="118">
        <v>4754.2</v>
      </c>
      <c r="M550" s="118" t="s">
        <v>1770</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7"/>
      <c r="K551" s="118" t="s">
        <v>1150</v>
      </c>
      <c r="L551" s="118">
        <v>6363.33333333333</v>
      </c>
      <c r="M551" s="118" t="s">
        <v>1770</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7"/>
      <c r="K553" s="118" t="s">
        <v>1150</v>
      </c>
      <c r="L553" s="118">
        <v>750</v>
      </c>
      <c r="M553" s="118" t="s">
        <v>1770</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7"/>
      <c r="K554" s="118" t="s">
        <v>1150</v>
      </c>
      <c r="L554" s="118">
        <v>500</v>
      </c>
      <c r="M554" s="118" t="s">
        <v>1770</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7"/>
      <c r="K555" s="118" t="s">
        <v>2103</v>
      </c>
      <c r="L555" s="118">
        <v>6.3</v>
      </c>
      <c r="M555" s="118" t="s">
        <v>2104</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7"/>
      <c r="K556" s="118" t="s">
        <v>1150</v>
      </c>
      <c r="L556" s="118">
        <v>500</v>
      </c>
      <c r="M556" s="118" t="s">
        <v>1770</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7"/>
      <c r="K557" s="118" t="s">
        <v>1150</v>
      </c>
      <c r="L557" s="118">
        <v>1400</v>
      </c>
      <c r="M557" s="118" t="s">
        <v>1770</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7"/>
      <c r="K558" s="118" t="s">
        <v>1150</v>
      </c>
      <c r="L558" s="118">
        <v>640</v>
      </c>
      <c r="M558" s="118" t="s">
        <v>1770</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7"/>
      <c r="K559" s="118" t="s">
        <v>1949</v>
      </c>
      <c r="L559" s="118">
        <v>35</v>
      </c>
      <c r="M559" s="118" t="s">
        <v>1950</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7"/>
      <c r="K560" s="118" t="s">
        <v>1150</v>
      </c>
      <c r="L560" s="118">
        <v>450</v>
      </c>
      <c r="M560" s="118" t="s">
        <v>1770</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7"/>
      <c r="K561" s="118" t="s">
        <v>1150</v>
      </c>
      <c r="L561" s="118">
        <v>300</v>
      </c>
      <c r="M561" s="118" t="s">
        <v>1770</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7"/>
      <c r="K562" s="118" t="s">
        <v>1150</v>
      </c>
      <c r="L562" s="118">
        <v>550</v>
      </c>
      <c r="M562" s="118" t="s">
        <v>1770</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7"/>
      <c r="K563" s="118" t="s">
        <v>1150</v>
      </c>
      <c r="L563" s="118">
        <v>610</v>
      </c>
      <c r="M563" s="118" t="s">
        <v>1770</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7"/>
      <c r="K564" s="118" t="s">
        <v>1150</v>
      </c>
      <c r="L564" s="118">
        <v>500</v>
      </c>
      <c r="M564" s="118" t="s">
        <v>1770</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7"/>
      <c r="K565" s="118" t="s">
        <v>2125</v>
      </c>
      <c r="L565" s="118">
        <v>570</v>
      </c>
      <c r="M565" s="118" t="s">
        <v>2126</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7"/>
      <c r="K566" s="118" t="s">
        <v>1633</v>
      </c>
      <c r="L566" s="118">
        <v>115</v>
      </c>
      <c r="M566" s="118" t="s">
        <v>1634</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7"/>
      <c r="K567" s="118" t="s">
        <v>1150</v>
      </c>
      <c r="L567" s="118">
        <v>150</v>
      </c>
      <c r="M567" s="118" t="s">
        <v>1770</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7"/>
      <c r="K568" s="118" t="s">
        <v>1150</v>
      </c>
      <c r="L568" s="118">
        <v>91</v>
      </c>
      <c r="M568" s="118" t="s">
        <v>1770</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7"/>
      <c r="K569" s="118" t="s">
        <v>1150</v>
      </c>
      <c r="L569" s="118">
        <v>165</v>
      </c>
      <c r="M569" s="118" t="s">
        <v>1770</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7"/>
      <c r="M571" s="118" t="s">
        <v>1244</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7"/>
      <c r="M572" s="118" t="s">
        <v>1244</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7"/>
      <c r="M573" s="118" t="s">
        <v>1244</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7"/>
      <c r="M574" s="118" t="s">
        <v>1244</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7"/>
      <c r="M575" s="118" t="s">
        <v>1244</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7"/>
      <c r="M576" s="118" t="s">
        <v>1244</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7"/>
      <c r="M577" s="118" t="s">
        <v>1244</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7"/>
      <c r="M578" s="118" t="s">
        <v>1244</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7"/>
      <c r="M579" s="118" t="s">
        <v>1244</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7"/>
      <c r="M580" s="118" t="s">
        <v>1244</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7"/>
      <c r="M581" s="114" t="s">
        <v>1244</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collapsed="1" spans="2:66">
      <c r="B582" s="108" t="s">
        <v>794</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9" customFormat="1" ht="33.95" hidden="1" customHeight="1" outlineLevel="2" collapsed="1" spans="2:66">
      <c r="B583" s="111" t="s">
        <v>794</v>
      </c>
      <c r="C583" s="112" t="s">
        <v>2161</v>
      </c>
      <c r="D583" s="29" t="s">
        <v>2162</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8" customFormat="1" ht="33.95" hidden="1" customHeight="1" outlineLevel="3" spans="2:66">
      <c r="B584" s="114" t="s">
        <v>799</v>
      </c>
      <c r="C584" s="115" t="s">
        <v>2163</v>
      </c>
      <c r="D584" s="48" t="s">
        <v>2164</v>
      </c>
      <c r="E584" s="114"/>
      <c r="F584" s="114" t="s">
        <v>1625</v>
      </c>
      <c r="G584" s="114" t="s">
        <v>943</v>
      </c>
      <c r="H584" s="114">
        <f t="shared" ref="H584:H600" si="1004">J584*L584</f>
        <v>0</v>
      </c>
      <c r="I584" s="114" t="s">
        <v>1242</v>
      </c>
      <c r="J584" s="114">
        <v>1</v>
      </c>
      <c r="K584" s="114" t="s">
        <v>1243</v>
      </c>
      <c r="L584" s="297">
        <f>预算主表!P84</f>
        <v>0</v>
      </c>
      <c r="M584" s="114" t="s">
        <v>1377</v>
      </c>
      <c r="N584" s="114">
        <f t="shared" ref="N584:N600" si="1005">COUNTA(O584:Z584)</f>
        <v>1</v>
      </c>
      <c r="O584" s="316" t="s">
        <v>1292</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7"/>
      <c r="M585" s="114" t="s">
        <v>1377</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7"/>
      <c r="M586" s="114" t="s">
        <v>1377</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7"/>
      <c r="M587" s="114" t="s">
        <v>1377</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7"/>
      <c r="M588" s="114" t="s">
        <v>1377</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7"/>
      <c r="M589" s="114" t="s">
        <v>1377</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7"/>
      <c r="M590" s="114" t="s">
        <v>1377</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7"/>
      <c r="M591" s="114" t="s">
        <v>1377</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7"/>
      <c r="M592" s="114" t="s">
        <v>1377</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7"/>
      <c r="M593" s="114" t="s">
        <v>1377</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7"/>
      <c r="M594" s="114" t="s">
        <v>1377</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7"/>
      <c r="M595" s="114" t="s">
        <v>1377</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7"/>
      <c r="M596" s="114" t="s">
        <v>1377</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7"/>
      <c r="M597" s="114" t="s">
        <v>1377</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7"/>
      <c r="M598" s="114" t="s">
        <v>1377</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7"/>
      <c r="M599" s="114" t="s">
        <v>1377</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7"/>
      <c r="M600" s="114" t="s">
        <v>1377</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7"/>
      <c r="M602" s="114" t="s">
        <v>1377</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7"/>
      <c r="M603" s="114" t="s">
        <v>1377</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7"/>
      <c r="M604" s="114" t="s">
        <v>1377</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7"/>
      <c r="M606" s="114" t="s">
        <v>1377</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7"/>
      <c r="M607" s="114" t="s">
        <v>1377</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7"/>
      <c r="M608" s="114" t="s">
        <v>1377</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7"/>
      <c r="M609" s="114" t="s">
        <v>1377</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7"/>
      <c r="M610" s="114" t="s">
        <v>1377</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7"/>
      <c r="M611" s="114" t="s">
        <v>1377</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7"/>
      <c r="M612" s="114" t="s">
        <v>1377</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7"/>
      <c r="M613" s="114" t="s">
        <v>1377</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7"/>
      <c r="M615" s="114" t="s">
        <v>1377</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7"/>
      <c r="M616" s="114" t="s">
        <v>1377</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7"/>
      <c r="M617" s="114" t="s">
        <v>1377</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7"/>
      <c r="M618" s="114" t="s">
        <v>1377</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7"/>
      <c r="M619" s="114" t="s">
        <v>1377</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7"/>
      <c r="M620" s="114" t="s">
        <v>1377</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7"/>
      <c r="M621" s="114" t="s">
        <v>1377</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7"/>
      <c r="M622" s="114" t="s">
        <v>1377</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7"/>
      <c r="M623" s="114" t="s">
        <v>1377</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7"/>
      <c r="M625" s="114" t="s">
        <v>1377</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7"/>
      <c r="M626" s="114" t="s">
        <v>1377</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7"/>
      <c r="M628" s="114" t="s">
        <v>1377</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7"/>
      <c r="M629" s="114" t="s">
        <v>1377</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7"/>
      <c r="M630" s="114" t="s">
        <v>1377</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7"/>
      <c r="M631" s="114" t="s">
        <v>1377</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7"/>
      <c r="M632" s="114" t="s">
        <v>1377</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7"/>
      <c r="M633" s="114" t="s">
        <v>1377</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7"/>
      <c r="M635" s="114" t="s">
        <v>1377</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7"/>
      <c r="M636" s="114" t="s">
        <v>1377</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7"/>
      <c r="M637" s="114" t="s">
        <v>1377</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7"/>
      <c r="M638" s="114" t="s">
        <v>1377</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7"/>
      <c r="M639" s="114" t="s">
        <v>1377</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7"/>
      <c r="M640" s="114" t="s">
        <v>1377</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7"/>
      <c r="M641" s="114" t="s">
        <v>1377</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7"/>
      <c r="M642" s="114" t="s">
        <v>1377</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7"/>
      <c r="M644" s="114" t="s">
        <v>1377</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7"/>
      <c r="M645" s="114" t="s">
        <v>1377</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7"/>
      <c r="M647" s="114" t="s">
        <v>1377</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7"/>
      <c r="M648" s="114" t="s">
        <v>1377</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7"/>
      <c r="M649" s="114" t="s">
        <v>1377</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7"/>
      <c r="M650" s="114" t="s">
        <v>1377</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9" customFormat="1" ht="33.95" hidden="1" customHeight="1" outlineLevel="2" spans="2:66">
      <c r="B651" s="111" t="s">
        <v>799</v>
      </c>
      <c r="C651" s="112" t="s">
        <v>2300</v>
      </c>
      <c r="D651" s="29" t="s">
        <v>2301</v>
      </c>
      <c r="G651" s="111" t="s">
        <v>1851</v>
      </c>
      <c r="H651" s="111">
        <f>J651*L651*N651</f>
        <v>0</v>
      </c>
      <c r="I651" s="111" t="s">
        <v>1242</v>
      </c>
      <c r="J651" s="111">
        <v>1</v>
      </c>
      <c r="K651" s="111" t="s">
        <v>1243</v>
      </c>
      <c r="L651" s="297">
        <f>预算主表!P88/12</f>
        <v>0</v>
      </c>
      <c r="M651" s="111" t="s">
        <v>1244</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customHeight="1" outlineLevel="1" collapsed="1" spans="2:66">
      <c r="B652" s="108" t="s">
        <v>794</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7">
        <f>预算主表!P100/(12*L653)</f>
        <v>0</v>
      </c>
      <c r="K653" s="111" t="s">
        <v>2304</v>
      </c>
      <c r="L653" s="297">
        <v>5.24</v>
      </c>
      <c r="M653" s="111" t="s">
        <v>2305</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7">
        <f>预算主表!P101/(12*L654)</f>
        <v>0</v>
      </c>
      <c r="K654" s="111" t="s">
        <v>2308</v>
      </c>
      <c r="L654" s="297">
        <v>0.69</v>
      </c>
      <c r="M654" s="111" t="s">
        <v>2309</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7"/>
      <c r="K655" s="111" t="s">
        <v>2304</v>
      </c>
      <c r="L655" s="297"/>
      <c r="M655" s="111" t="s">
        <v>2305</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7"/>
      <c r="K656" s="111" t="s">
        <v>1243</v>
      </c>
      <c r="L656" s="297"/>
      <c r="M656" s="111" t="s">
        <v>2314</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7"/>
      <c r="M657" s="111" t="s">
        <v>1244</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collapsed="1" spans="2:66">
      <c r="B658" s="108" t="s">
        <v>794</v>
      </c>
      <c r="C658" s="321">
        <v>1.5</v>
      </c>
      <c r="D658" s="107" t="s">
        <v>216</v>
      </c>
      <c r="G658" s="108"/>
      <c r="H658" s="108">
        <f>SUM(H659:H667)</f>
        <v>0</v>
      </c>
      <c r="N658" s="302"/>
      <c r="O658" s="285"/>
      <c r="P658" s="285"/>
      <c r="Q658" s="285"/>
      <c r="R658" s="285"/>
      <c r="S658" s="285"/>
      <c r="T658" s="285"/>
      <c r="U658" s="285"/>
      <c r="V658" s="285"/>
      <c r="W658" s="285"/>
      <c r="X658" s="285"/>
      <c r="Y658" s="285"/>
      <c r="Z658" s="285"/>
      <c r="AA658" s="285"/>
      <c r="AB658" s="108">
        <f t="shared" ref="AB658:AF658" si="1131">SUM(AB659:AB667)</f>
        <v>0</v>
      </c>
      <c r="AC658" s="108">
        <f t="shared" si="1131"/>
        <v>0</v>
      </c>
      <c r="AF658" s="108">
        <f t="shared" si="1131"/>
        <v>0</v>
      </c>
      <c r="AI658" s="108">
        <f>SUM(AI659:AI667)</f>
        <v>0</v>
      </c>
      <c r="AL658" s="108">
        <f>SUM(AL659:AL667)</f>
        <v>0</v>
      </c>
      <c r="AO658" s="108">
        <f>SUM(AO659:AO667)</f>
        <v>0</v>
      </c>
      <c r="AR658" s="108">
        <f>SUM(AR659:AR667)</f>
        <v>0</v>
      </c>
      <c r="AU658" s="108">
        <f>SUM(AU659:AU667)</f>
        <v>0</v>
      </c>
      <c r="AX658" s="108">
        <f>SUM(AX659:AX667)</f>
        <v>0</v>
      </c>
      <c r="BA658" s="108">
        <f>SUM(BA659:BA667)</f>
        <v>0</v>
      </c>
      <c r="BD658" s="108">
        <f>SUM(BD659:BD667)</f>
        <v>0</v>
      </c>
      <c r="BG658" s="108">
        <f>SUM(BG659:BG667)</f>
        <v>0</v>
      </c>
      <c r="BJ658" s="108">
        <f>SUM(BJ659:BJ667)</f>
        <v>0</v>
      </c>
      <c r="BL658" s="302"/>
      <c r="BM658" s="310"/>
      <c r="BN658" s="285"/>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7"/>
      <c r="K659" s="111" t="s">
        <v>1396</v>
      </c>
      <c r="L659" s="111">
        <v>100</v>
      </c>
      <c r="M659" s="111" t="s">
        <v>1417</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9" customFormat="1" ht="33.95" hidden="1" customHeight="1" outlineLevel="2" spans="2:66">
      <c r="B660" s="111" t="s">
        <v>799</v>
      </c>
      <c r="C660" s="112" t="s">
        <v>137</v>
      </c>
      <c r="D660" s="29" t="s">
        <v>138</v>
      </c>
      <c r="E660" s="111" t="s">
        <v>2317</v>
      </c>
      <c r="F660" s="111"/>
      <c r="G660" s="111" t="s">
        <v>1851</v>
      </c>
      <c r="H660" s="111">
        <f t="shared" ref="H660:H667" si="1132">J660*L660*N660</f>
        <v>0</v>
      </c>
      <c r="I660" s="111" t="s">
        <v>1242</v>
      </c>
      <c r="J660" s="111">
        <v>1</v>
      </c>
      <c r="K660" s="111" t="s">
        <v>1243</v>
      </c>
      <c r="L660" s="297">
        <f>预算主表!P116/12</f>
        <v>0</v>
      </c>
      <c r="M660" s="111" t="s">
        <v>1244</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9" customFormat="1" ht="33.95" hidden="1"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7">
        <f>预算主表!P117/12</f>
        <v>0</v>
      </c>
      <c r="M661" s="111" t="s">
        <v>1244</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7"/>
      <c r="M662" s="111" t="s">
        <v>1244</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7"/>
      <c r="M663" s="111" t="s">
        <v>1244</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9" customFormat="1" ht="33.95" hidden="1"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7">
        <f>预算主表!P119/12</f>
        <v>0</v>
      </c>
      <c r="M664" s="111" t="s">
        <v>1244</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7">
        <f>预算主表!P125/12</f>
        <v>0</v>
      </c>
      <c r="M665" s="111" t="s">
        <v>1244</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9" customFormat="1" ht="33.95" hidden="1" customHeight="1" outlineLevel="2" spans="2:66">
      <c r="B666" s="111" t="s">
        <v>799</v>
      </c>
      <c r="C666" s="112" t="s">
        <v>157</v>
      </c>
      <c r="D666" s="29" t="s">
        <v>158</v>
      </c>
      <c r="E666" s="111" t="s">
        <v>2322</v>
      </c>
      <c r="F666" s="111"/>
      <c r="G666" s="111" t="s">
        <v>1851</v>
      </c>
      <c r="H666" s="111">
        <f t="shared" si="1132"/>
        <v>0</v>
      </c>
      <c r="I666" s="111" t="s">
        <v>1242</v>
      </c>
      <c r="J666" s="111">
        <v>1</v>
      </c>
      <c r="K666" s="111" t="s">
        <v>1243</v>
      </c>
      <c r="L666" s="297">
        <f>预算主表!P127/12</f>
        <v>0</v>
      </c>
      <c r="M666" s="111" t="s">
        <v>1244</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7">
        <f>预算主表!P98/12</f>
        <v>0</v>
      </c>
      <c r="M667" s="111" t="s">
        <v>1244</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collapsed="1" spans="2:66">
      <c r="B668" s="108" t="s">
        <v>794</v>
      </c>
      <c r="C668" s="109">
        <v>1.6</v>
      </c>
      <c r="D668" s="107" t="s">
        <v>217</v>
      </c>
      <c r="F668" s="107" t="s">
        <v>2324</v>
      </c>
      <c r="G668" s="108"/>
      <c r="H668" s="108">
        <f>H669+H691+H692+H693+H694</f>
        <v>0</v>
      </c>
      <c r="N668" s="302"/>
      <c r="O668" s="285"/>
      <c r="P668" s="285"/>
      <c r="Q668" s="285"/>
      <c r="R668" s="285"/>
      <c r="S668" s="285"/>
      <c r="T668" s="285"/>
      <c r="U668" s="285"/>
      <c r="V668" s="285"/>
      <c r="W668" s="285"/>
      <c r="X668" s="285"/>
      <c r="Y668" s="285"/>
      <c r="Z668" s="285"/>
      <c r="AA668" s="285"/>
      <c r="AB668" s="108">
        <f t="shared" ref="AB668:AF668" si="1146">AB669+AB691+AB692+AB693+AB694</f>
        <v>0</v>
      </c>
      <c r="AC668" s="108">
        <f t="shared" si="1146"/>
        <v>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9" customFormat="1" ht="33.95" hidden="1" customHeight="1" outlineLevel="2" collapsed="1" spans="2:66">
      <c r="B669" s="111" t="s">
        <v>794</v>
      </c>
      <c r="C669" s="112" t="s">
        <v>2325</v>
      </c>
      <c r="D669" s="29" t="s">
        <v>2326</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7"/>
      <c r="K670" s="114" t="s">
        <v>1396</v>
      </c>
      <c r="L670" s="114">
        <v>1700</v>
      </c>
      <c r="M670" s="114" t="s">
        <v>1675</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8" customFormat="1" ht="33.95" hidden="1" customHeight="1" outlineLevel="3" spans="2:66">
      <c r="B671" s="114" t="s">
        <v>799</v>
      </c>
      <c r="C671" s="115" t="s">
        <v>2329</v>
      </c>
      <c r="D671" s="48" t="s">
        <v>2330</v>
      </c>
      <c r="F671" s="114" t="s">
        <v>1625</v>
      </c>
      <c r="G671" s="114" t="s">
        <v>943</v>
      </c>
      <c r="H671" s="114">
        <f t="shared" si="1148"/>
        <v>0</v>
      </c>
      <c r="I671" s="114" t="s">
        <v>1242</v>
      </c>
      <c r="J671" s="297"/>
      <c r="K671" s="114" t="s">
        <v>1396</v>
      </c>
      <c r="L671" s="114">
        <v>510</v>
      </c>
      <c r="M671" s="114" t="s">
        <v>1675</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8" customFormat="1" ht="33.95" hidden="1" customHeight="1" outlineLevel="3" spans="2:66">
      <c r="B672" s="114" t="s">
        <v>799</v>
      </c>
      <c r="C672" s="115" t="s">
        <v>2331</v>
      </c>
      <c r="D672" s="48" t="s">
        <v>2332</v>
      </c>
      <c r="F672" s="114" t="s">
        <v>1625</v>
      </c>
      <c r="G672" s="114" t="s">
        <v>943</v>
      </c>
      <c r="H672" s="114">
        <f t="shared" si="1148"/>
        <v>0</v>
      </c>
      <c r="I672" s="114" t="s">
        <v>1242</v>
      </c>
      <c r="J672" s="297"/>
      <c r="K672" s="114" t="s">
        <v>1396</v>
      </c>
      <c r="L672" s="114">
        <v>200</v>
      </c>
      <c r="M672" s="114" t="s">
        <v>1675</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7"/>
      <c r="K673" s="114" t="s">
        <v>1396</v>
      </c>
      <c r="L673" s="114">
        <v>450</v>
      </c>
      <c r="M673" s="114" t="s">
        <v>1675</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7"/>
      <c r="K674" s="114" t="s">
        <v>1396</v>
      </c>
      <c r="L674" s="114">
        <v>460</v>
      </c>
      <c r="M674" s="114" t="s">
        <v>1675</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7"/>
      <c r="K675" s="114" t="s">
        <v>1396</v>
      </c>
      <c r="L675" s="114">
        <v>1300</v>
      </c>
      <c r="M675" s="114" t="s">
        <v>1675</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7"/>
      <c r="K676" s="114" t="s">
        <v>1396</v>
      </c>
      <c r="L676" s="114">
        <v>1100</v>
      </c>
      <c r="M676" s="114" t="s">
        <v>1675</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7"/>
      <c r="K677" s="114" t="s">
        <v>1396</v>
      </c>
      <c r="L677" s="114">
        <v>240</v>
      </c>
      <c r="M677" s="114" t="s">
        <v>1675</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7"/>
      <c r="K678" s="114" t="s">
        <v>1396</v>
      </c>
      <c r="L678" s="114">
        <v>1200</v>
      </c>
      <c r="M678" s="114" t="s">
        <v>1675</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7"/>
      <c r="K679" s="114" t="s">
        <v>1396</v>
      </c>
      <c r="L679" s="114">
        <v>225</v>
      </c>
      <c r="M679" s="114" t="s">
        <v>1675</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7"/>
      <c r="K680" s="114" t="s">
        <v>1396</v>
      </c>
      <c r="L680" s="114">
        <v>4000</v>
      </c>
      <c r="M680" s="114" t="s">
        <v>1675</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7"/>
      <c r="K681" s="114" t="s">
        <v>1633</v>
      </c>
      <c r="L681" s="114">
        <v>4100</v>
      </c>
      <c r="M681" s="114" t="s">
        <v>1634</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7"/>
      <c r="K682" s="114" t="s">
        <v>1396</v>
      </c>
      <c r="L682" s="114">
        <v>1500</v>
      </c>
      <c r="M682" s="114" t="s">
        <v>1675</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7"/>
      <c r="K683" s="114" t="s">
        <v>1396</v>
      </c>
      <c r="L683" s="114">
        <v>5000</v>
      </c>
      <c r="M683" s="114" t="s">
        <v>1675</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7"/>
      <c r="K684" s="114" t="s">
        <v>1396</v>
      </c>
      <c r="L684" s="114">
        <v>8500</v>
      </c>
      <c r="M684" s="114" t="s">
        <v>1675</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7"/>
      <c r="K685" s="114" t="s">
        <v>1396</v>
      </c>
      <c r="L685" s="114">
        <v>2700</v>
      </c>
      <c r="M685" s="114" t="s">
        <v>1675</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7"/>
      <c r="K686" s="114" t="s">
        <v>1396</v>
      </c>
      <c r="L686" s="114">
        <v>400</v>
      </c>
      <c r="M686" s="114" t="s">
        <v>1675</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7"/>
      <c r="K687" s="114" t="s">
        <v>1396</v>
      </c>
      <c r="L687" s="114">
        <v>450</v>
      </c>
      <c r="M687" s="114" t="s">
        <v>1675</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7"/>
      <c r="K688" s="114" t="s">
        <v>1396</v>
      </c>
      <c r="L688" s="114">
        <v>460</v>
      </c>
      <c r="M688" s="114" t="s">
        <v>1675</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7"/>
      <c r="K689" s="114" t="s">
        <v>1396</v>
      </c>
      <c r="L689" s="114">
        <v>500</v>
      </c>
      <c r="M689" s="114" t="s">
        <v>1675</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8" customFormat="1" ht="33.95" hidden="1" customHeight="1" outlineLevel="3" spans="2:66">
      <c r="B690" s="114" t="s">
        <v>799</v>
      </c>
      <c r="C690" s="115" t="s">
        <v>2377</v>
      </c>
      <c r="D690" s="48" t="s">
        <v>2378</v>
      </c>
      <c r="E690" s="114"/>
      <c r="F690" s="114"/>
      <c r="G690" s="114" t="s">
        <v>943</v>
      </c>
      <c r="H690" s="114">
        <f t="shared" si="1163"/>
        <v>0</v>
      </c>
      <c r="I690" s="114" t="s">
        <v>1242</v>
      </c>
      <c r="J690" s="297">
        <v>12</v>
      </c>
      <c r="K690" s="114" t="s">
        <v>1243</v>
      </c>
      <c r="L690" s="297">
        <f>预算主表!P123/12</f>
        <v>0</v>
      </c>
      <c r="M690" s="114" t="s">
        <v>1244</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9" customFormat="1" ht="33.95" hidden="1" customHeight="1" outlineLevel="2" collapsed="1" spans="2:66">
      <c r="B691" s="111" t="s">
        <v>799</v>
      </c>
      <c r="C691" s="112" t="s">
        <v>2379</v>
      </c>
      <c r="D691" s="29" t="s">
        <v>2380</v>
      </c>
      <c r="E691" s="111" t="s">
        <v>2381</v>
      </c>
      <c r="F691" s="111" t="s">
        <v>1625</v>
      </c>
      <c r="G691" s="111" t="s">
        <v>943</v>
      </c>
      <c r="H691" s="111">
        <f t="shared" ref="H691:H694" si="1178">J691*L691</f>
        <v>0</v>
      </c>
      <c r="I691" s="111" t="s">
        <v>1242</v>
      </c>
      <c r="J691" s="111">
        <v>1</v>
      </c>
      <c r="K691" s="111" t="s">
        <v>1243</v>
      </c>
      <c r="L691" s="297">
        <f>预算主表!P132</f>
        <v>0</v>
      </c>
      <c r="M691" s="111" t="s">
        <v>1377</v>
      </c>
      <c r="N691" s="111">
        <f t="shared" ref="N691:N694" si="1179">COUNTA(O691:Z691)</f>
        <v>1</v>
      </c>
      <c r="O691" s="316" t="s">
        <v>1292</v>
      </c>
      <c r="P691" s="316"/>
      <c r="Q691" s="316"/>
      <c r="R691" s="316"/>
      <c r="S691" s="316"/>
      <c r="T691" s="316"/>
      <c r="U691" s="316"/>
      <c r="V691" s="316"/>
      <c r="W691" s="316"/>
      <c r="X691" s="316"/>
      <c r="Y691" s="316"/>
      <c r="Z691" s="316"/>
      <c r="AA691" s="111"/>
      <c r="AB691" s="111">
        <f t="shared" si="1165"/>
        <v>0</v>
      </c>
      <c r="AC691" s="111">
        <f t="shared" ref="AC691:AC694" si="1180">IF(O691="√",$J691*$L691/$N691,0)</f>
        <v>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7"/>
      <c r="M692" s="111" t="s">
        <v>1377</v>
      </c>
      <c r="N692" s="111">
        <f t="shared" si="1179"/>
        <v>1</v>
      </c>
      <c r="O692" s="297" t="s">
        <v>1292</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9" customFormat="1" ht="33.95" hidden="1"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7">
        <f>预算主表!P93</f>
        <v>0</v>
      </c>
      <c r="M693" s="111" t="s">
        <v>1377</v>
      </c>
      <c r="N693" s="111">
        <f t="shared" si="1179"/>
        <v>1</v>
      </c>
      <c r="O693" s="297" t="s">
        <v>1292</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7">
        <f>预算主表!P95</f>
        <v>0</v>
      </c>
      <c r="M694" s="111" t="s">
        <v>1377</v>
      </c>
      <c r="N694" s="111">
        <f t="shared" si="1179"/>
        <v>1</v>
      </c>
      <c r="O694" s="297" t="s">
        <v>1292</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3" workbookViewId="0">
      <selection activeCell="F8" sqref="F8"/>
    </sheetView>
  </sheetViews>
  <sheetFormatPr defaultColWidth="8.75454545454545" defaultRowHeight="14.5"/>
  <cols>
    <col min="1" max="1" width="2.37272727272727" style="244" customWidth="1"/>
    <col min="2" max="2" width="2.87272727272727" style="245" customWidth="1"/>
    <col min="3" max="3" width="12.8727272727273" style="246" customWidth="1"/>
    <col min="4" max="4" width="28.7545454545455" style="247" customWidth="1"/>
    <col min="5" max="5" width="4" style="245" customWidth="1"/>
    <col min="6" max="6" width="31.1272727272727" style="245" customWidth="1"/>
    <col min="7" max="7" width="7.75454545454545" style="245" customWidth="1"/>
    <col min="8" max="19" width="12.1272727272727" style="246" customWidth="1"/>
    <col min="20" max="20" width="8.75454545454545" style="245"/>
    <col min="21" max="21" width="1.87272727272727" style="244" customWidth="1"/>
    <col min="22" max="16384" width="8.75454545454545"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8"/>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35914</v>
      </c>
      <c r="I8" s="256">
        <v>35914</v>
      </c>
      <c r="J8" s="256">
        <v>35914</v>
      </c>
      <c r="K8" s="256">
        <v>35914</v>
      </c>
      <c r="L8" s="256">
        <v>35914</v>
      </c>
      <c r="M8" s="256">
        <v>35914</v>
      </c>
      <c r="N8" s="256">
        <v>35914</v>
      </c>
      <c r="O8" s="256">
        <v>35914</v>
      </c>
      <c r="P8" s="256">
        <v>35914</v>
      </c>
      <c r="Q8" s="256">
        <v>35914</v>
      </c>
      <c r="R8" s="256">
        <v>35914</v>
      </c>
      <c r="S8" s="256">
        <v>35914</v>
      </c>
    </row>
    <row r="9" ht="27" customHeight="1" spans="3:19">
      <c r="C9" s="81" t="s">
        <v>2406</v>
      </c>
      <c r="D9" s="251"/>
      <c r="F9" s="81" t="s">
        <v>1032</v>
      </c>
      <c r="G9" s="81" t="s">
        <v>1033</v>
      </c>
      <c r="H9" s="256">
        <v>35914</v>
      </c>
      <c r="I9" s="256">
        <v>35914</v>
      </c>
      <c r="J9" s="256">
        <v>35914</v>
      </c>
      <c r="K9" s="256">
        <v>35914</v>
      </c>
      <c r="L9" s="256">
        <v>35914</v>
      </c>
      <c r="M9" s="256">
        <v>35914</v>
      </c>
      <c r="N9" s="256">
        <v>35914</v>
      </c>
      <c r="O9" s="256">
        <v>35914</v>
      </c>
      <c r="P9" s="256">
        <v>35914</v>
      </c>
      <c r="Q9" s="256">
        <v>35914</v>
      </c>
      <c r="R9" s="256">
        <v>35914</v>
      </c>
      <c r="S9" s="256">
        <v>35914</v>
      </c>
    </row>
    <row r="10" ht="27" customHeight="1" spans="3:19">
      <c r="C10" s="81" t="s">
        <v>2407</v>
      </c>
      <c r="D10" s="251" t="s">
        <v>2408</v>
      </c>
      <c r="F10" s="81" t="s">
        <v>2409</v>
      </c>
      <c r="G10" s="81" t="s">
        <v>1033</v>
      </c>
      <c r="H10" s="256">
        <v>35914</v>
      </c>
      <c r="I10" s="256">
        <v>35914</v>
      </c>
      <c r="J10" s="256">
        <v>35914</v>
      </c>
      <c r="K10" s="256">
        <v>35914</v>
      </c>
      <c r="L10" s="256">
        <v>35914</v>
      </c>
      <c r="M10" s="256">
        <v>35914</v>
      </c>
      <c r="N10" s="256">
        <v>35914</v>
      </c>
      <c r="O10" s="256">
        <v>35914</v>
      </c>
      <c r="P10" s="256">
        <v>35914</v>
      </c>
      <c r="Q10" s="256">
        <v>35914</v>
      </c>
      <c r="R10" s="256">
        <v>35914</v>
      </c>
      <c r="S10" s="256">
        <v>35914</v>
      </c>
    </row>
    <row r="11" ht="27" customHeight="1" spans="3:19">
      <c r="C11" s="81" t="s">
        <v>2410</v>
      </c>
      <c r="D11" s="251" t="s">
        <v>2411</v>
      </c>
      <c r="F11" s="81" t="s">
        <v>1096</v>
      </c>
      <c r="G11" s="81" t="s">
        <v>1033</v>
      </c>
      <c r="H11" s="256"/>
      <c r="I11" s="256"/>
      <c r="J11" s="256"/>
      <c r="K11" s="256"/>
      <c r="L11" s="256"/>
      <c r="M11" s="256"/>
      <c r="N11" s="256"/>
      <c r="O11" s="256"/>
      <c r="P11" s="256"/>
      <c r="Q11" s="256"/>
      <c r="R11" s="256"/>
      <c r="S11" s="256"/>
    </row>
    <row r="12" ht="27" customHeight="1" spans="3:19">
      <c r="C12" s="81" t="s">
        <v>2412</v>
      </c>
      <c r="D12" s="251" t="s">
        <v>2398</v>
      </c>
      <c r="F12" s="81" t="s">
        <v>1177</v>
      </c>
      <c r="G12" s="81" t="s">
        <v>1033</v>
      </c>
      <c r="H12" s="256">
        <v>35914</v>
      </c>
      <c r="I12" s="256">
        <v>35914</v>
      </c>
      <c r="J12" s="256">
        <v>35914</v>
      </c>
      <c r="K12" s="256">
        <v>35914</v>
      </c>
      <c r="L12" s="256">
        <v>35914</v>
      </c>
      <c r="M12" s="256">
        <v>35914</v>
      </c>
      <c r="N12" s="256">
        <v>35914</v>
      </c>
      <c r="O12" s="256">
        <v>35914</v>
      </c>
      <c r="P12" s="256">
        <v>35914</v>
      </c>
      <c r="Q12" s="256">
        <v>35914</v>
      </c>
      <c r="R12" s="256">
        <v>35914</v>
      </c>
      <c r="S12" s="256">
        <v>35914</v>
      </c>
    </row>
    <row r="13" ht="27" customHeight="1" spans="3:19">
      <c r="C13" s="81" t="s">
        <v>2413</v>
      </c>
      <c r="D13" s="251"/>
      <c r="F13" s="81" t="s">
        <v>2313</v>
      </c>
      <c r="G13" s="81" t="s">
        <v>1033</v>
      </c>
      <c r="H13" s="256">
        <v>35914</v>
      </c>
      <c r="I13" s="256">
        <v>35914</v>
      </c>
      <c r="J13" s="256">
        <v>35914</v>
      </c>
      <c r="K13" s="256">
        <v>35914</v>
      </c>
      <c r="L13" s="256">
        <v>35914</v>
      </c>
      <c r="M13" s="256">
        <v>35914</v>
      </c>
      <c r="N13" s="256">
        <v>35914</v>
      </c>
      <c r="O13" s="256">
        <v>35914</v>
      </c>
      <c r="P13" s="256">
        <v>35914</v>
      </c>
      <c r="Q13" s="256">
        <v>35914</v>
      </c>
      <c r="R13" s="256">
        <v>35914</v>
      </c>
      <c r="S13" s="256">
        <v>35914</v>
      </c>
    </row>
    <row r="14" ht="27" customHeight="1" spans="3:4">
      <c r="C14" s="81" t="s">
        <v>2414</v>
      </c>
      <c r="D14" s="251" t="s">
        <v>2415</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2416</v>
      </c>
      <c r="D17" s="250"/>
      <c r="E17" s="250"/>
      <c r="F17" s="250"/>
      <c r="G17" s="250"/>
      <c r="H17" s="250"/>
      <c r="I17" s="250"/>
      <c r="J17" s="250"/>
      <c r="K17" s="250"/>
      <c r="L17" s="250"/>
      <c r="M17" s="250"/>
      <c r="N17" s="250"/>
      <c r="O17" s="250"/>
      <c r="P17" s="250"/>
      <c r="Q17" s="250"/>
      <c r="R17" s="250"/>
      <c r="S17" s="250"/>
    </row>
    <row r="18" ht="27" customHeight="1" spans="3:19">
      <c r="C18" s="81" t="s">
        <v>2417</v>
      </c>
      <c r="D18" s="257" t="s">
        <v>2418</v>
      </c>
      <c r="F18" s="252" t="s">
        <v>2419</v>
      </c>
      <c r="G18" s="253"/>
      <c r="H18" s="253"/>
      <c r="I18" s="253"/>
      <c r="J18" s="253"/>
      <c r="K18" s="253"/>
      <c r="L18" s="253"/>
      <c r="M18" s="253"/>
      <c r="N18" s="253"/>
      <c r="O18" s="253"/>
      <c r="P18" s="253"/>
      <c r="Q18" s="253"/>
      <c r="R18" s="253"/>
      <c r="S18" s="258"/>
    </row>
    <row r="19" ht="27" customHeight="1" spans="3:19">
      <c r="C19" s="81" t="s">
        <v>2420</v>
      </c>
      <c r="D19" s="257"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7"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1"/>
      <c r="I21" s="251"/>
      <c r="J21" s="251"/>
      <c r="K21" s="251"/>
      <c r="L21" s="251"/>
      <c r="M21" s="251"/>
      <c r="N21" s="251"/>
      <c r="O21" s="251"/>
      <c r="P21" s="251"/>
      <c r="Q21" s="251"/>
      <c r="R21" s="251"/>
      <c r="S21" s="251"/>
    </row>
    <row r="22" ht="27" customHeight="1" spans="3:19">
      <c r="C22" s="247"/>
      <c r="F22" s="80" t="s">
        <v>1153</v>
      </c>
      <c r="G22" s="80" t="s">
        <v>1150</v>
      </c>
      <c r="H22" s="251"/>
      <c r="I22" s="251"/>
      <c r="J22" s="251"/>
      <c r="K22" s="251"/>
      <c r="L22" s="251"/>
      <c r="M22" s="251"/>
      <c r="N22" s="251"/>
      <c r="O22" s="251"/>
      <c r="P22" s="251"/>
      <c r="Q22" s="251"/>
      <c r="R22" s="251"/>
      <c r="S22" s="251"/>
    </row>
    <row r="23" ht="27" customHeight="1" spans="6:19">
      <c r="F23" s="80" t="s">
        <v>1155</v>
      </c>
      <c r="G23" s="80" t="s">
        <v>1150</v>
      </c>
      <c r="H23" s="251"/>
      <c r="I23" s="251"/>
      <c r="J23" s="251"/>
      <c r="K23" s="251"/>
      <c r="L23" s="251"/>
      <c r="M23" s="251"/>
      <c r="N23" s="251"/>
      <c r="O23" s="251"/>
      <c r="P23" s="251"/>
      <c r="Q23" s="251"/>
      <c r="R23" s="251"/>
      <c r="S23" s="251"/>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01" activePane="bottomRight" state="frozen"/>
      <selection/>
      <selection pane="topRight"/>
      <selection pane="bottomLeft"/>
      <selection pane="bottomRight" activeCell="I160" sqref="I160"/>
    </sheetView>
  </sheetViews>
  <sheetFormatPr defaultColWidth="8.75454545454545" defaultRowHeight="14.5"/>
  <cols>
    <col min="1" max="1" width="8.75454545454545" style="216"/>
    <col min="2" max="2" width="16.8727272727273" style="217" customWidth="1"/>
    <col min="3" max="3" width="12.8727272727273" style="217" customWidth="1"/>
    <col min="4" max="4" width="12.8727272727273" style="218" customWidth="1"/>
    <col min="5" max="5" width="7.12727272727273" style="217" customWidth="1"/>
    <col min="6" max="16384" width="8.75454545454545"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25</v>
      </c>
      <c r="E2" s="223" t="s">
        <v>805</v>
      </c>
      <c r="F2" s="224">
        <f t="shared" ref="F2:Q2" si="1">F3+F4+F5</f>
        <v>80</v>
      </c>
      <c r="G2" s="224">
        <f t="shared" si="1"/>
        <v>20</v>
      </c>
      <c r="H2" s="224">
        <f t="shared" si="1"/>
        <v>20</v>
      </c>
      <c r="I2" s="224">
        <f t="shared" si="1"/>
        <v>20</v>
      </c>
      <c r="J2" s="224">
        <f t="shared" si="1"/>
        <v>20</v>
      </c>
      <c r="K2" s="224">
        <f t="shared" si="1"/>
        <v>20</v>
      </c>
      <c r="L2" s="224">
        <f t="shared" si="1"/>
        <v>20</v>
      </c>
      <c r="M2" s="224">
        <f t="shared" si="1"/>
        <v>20</v>
      </c>
      <c r="N2" s="224">
        <f t="shared" si="1"/>
        <v>20</v>
      </c>
      <c r="O2" s="224">
        <f t="shared" si="1"/>
        <v>20</v>
      </c>
      <c r="P2" s="224">
        <f t="shared" si="1"/>
        <v>20</v>
      </c>
      <c r="Q2" s="224">
        <f t="shared" si="1"/>
        <v>20</v>
      </c>
    </row>
    <row r="3" spans="1:17">
      <c r="A3" s="216">
        <v>1</v>
      </c>
      <c r="B3" s="222" t="s">
        <v>2428</v>
      </c>
      <c r="C3" s="225" t="s">
        <v>109</v>
      </c>
      <c r="D3" s="226">
        <f t="shared" si="0"/>
        <v>15.5833333333333</v>
      </c>
      <c r="E3" s="226" t="s">
        <v>805</v>
      </c>
      <c r="F3" s="227">
        <f t="shared" ref="F3:Q3" si="2">F7+F35+F71+F115+F155+F175+F195+F211</f>
        <v>33</v>
      </c>
      <c r="G3" s="227">
        <f t="shared" si="2"/>
        <v>14</v>
      </c>
      <c r="H3" s="227">
        <f t="shared" si="2"/>
        <v>14</v>
      </c>
      <c r="I3" s="227">
        <f t="shared" si="2"/>
        <v>14</v>
      </c>
      <c r="J3" s="227">
        <f t="shared" si="2"/>
        <v>14</v>
      </c>
      <c r="K3" s="227">
        <f t="shared" si="2"/>
        <v>14</v>
      </c>
      <c r="L3" s="227">
        <f t="shared" si="2"/>
        <v>14</v>
      </c>
      <c r="M3" s="227">
        <f t="shared" si="2"/>
        <v>14</v>
      </c>
      <c r="N3" s="227">
        <f t="shared" si="2"/>
        <v>14</v>
      </c>
      <c r="O3" s="227">
        <f t="shared" si="2"/>
        <v>14</v>
      </c>
      <c r="P3" s="227">
        <f t="shared" si="2"/>
        <v>14</v>
      </c>
      <c r="Q3" s="227">
        <f t="shared" si="2"/>
        <v>14</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7.75</v>
      </c>
      <c r="E5" s="232" t="s">
        <v>805</v>
      </c>
      <c r="F5" s="233">
        <f t="shared" ref="F5:Q5" si="4">F9+F37+F73+F117+F157+F177+F197+F213</f>
        <v>27</v>
      </c>
      <c r="G5" s="233">
        <f t="shared" si="4"/>
        <v>6</v>
      </c>
      <c r="H5" s="233">
        <f t="shared" si="4"/>
        <v>6</v>
      </c>
      <c r="I5" s="233">
        <f t="shared" si="4"/>
        <v>6</v>
      </c>
      <c r="J5" s="233">
        <f t="shared" si="4"/>
        <v>6</v>
      </c>
      <c r="K5" s="233">
        <f t="shared" si="4"/>
        <v>6</v>
      </c>
      <c r="L5" s="233">
        <f t="shared" si="4"/>
        <v>6</v>
      </c>
      <c r="M5" s="233">
        <f t="shared" si="4"/>
        <v>6</v>
      </c>
      <c r="N5" s="233">
        <f t="shared" si="4"/>
        <v>6</v>
      </c>
      <c r="O5" s="233">
        <f t="shared" si="4"/>
        <v>6</v>
      </c>
      <c r="P5" s="233">
        <f t="shared" si="4"/>
        <v>6</v>
      </c>
      <c r="Q5" s="233">
        <f t="shared" si="4"/>
        <v>6</v>
      </c>
    </row>
    <row r="6" spans="1:17">
      <c r="A6" s="216">
        <v>1</v>
      </c>
      <c r="B6" s="234" t="s">
        <v>187</v>
      </c>
      <c r="C6" s="234" t="s">
        <v>745</v>
      </c>
      <c r="D6" s="235">
        <f t="shared" si="0"/>
        <v>6</v>
      </c>
      <c r="E6" s="235" t="s">
        <v>805</v>
      </c>
      <c r="F6" s="236">
        <f t="shared" ref="F6:Q6" si="5">F7+F8+F9</f>
        <v>6</v>
      </c>
      <c r="G6" s="236">
        <f t="shared" si="5"/>
        <v>6</v>
      </c>
      <c r="H6" s="236">
        <f t="shared" si="5"/>
        <v>6</v>
      </c>
      <c r="I6" s="236">
        <f t="shared" si="5"/>
        <v>6</v>
      </c>
      <c r="J6" s="236">
        <f t="shared" si="5"/>
        <v>6</v>
      </c>
      <c r="K6" s="236">
        <f t="shared" si="5"/>
        <v>6</v>
      </c>
      <c r="L6" s="236">
        <f t="shared" si="5"/>
        <v>6</v>
      </c>
      <c r="M6" s="236">
        <f t="shared" si="5"/>
        <v>6</v>
      </c>
      <c r="N6" s="236">
        <f t="shared" si="5"/>
        <v>6</v>
      </c>
      <c r="O6" s="236">
        <f t="shared" si="5"/>
        <v>6</v>
      </c>
      <c r="P6" s="236">
        <f t="shared" si="5"/>
        <v>6</v>
      </c>
      <c r="Q6" s="236">
        <f t="shared" si="5"/>
        <v>6</v>
      </c>
    </row>
    <row r="7" spans="1:17">
      <c r="A7" s="216">
        <v>1</v>
      </c>
      <c r="B7" s="234" t="s">
        <v>187</v>
      </c>
      <c r="C7" s="225" t="s">
        <v>109</v>
      </c>
      <c r="D7" s="226">
        <f t="shared" si="0"/>
        <v>6</v>
      </c>
      <c r="E7" s="226" t="s">
        <v>805</v>
      </c>
      <c r="F7" s="227">
        <f t="shared" ref="F7:Q7" si="6">F11+F15+F19+F23+F27+F31</f>
        <v>6</v>
      </c>
      <c r="G7" s="227">
        <f t="shared" si="6"/>
        <v>6</v>
      </c>
      <c r="H7" s="227">
        <f t="shared" si="6"/>
        <v>6</v>
      </c>
      <c r="I7" s="227">
        <f t="shared" si="6"/>
        <v>6</v>
      </c>
      <c r="J7" s="227">
        <f t="shared" si="6"/>
        <v>6</v>
      </c>
      <c r="K7" s="227">
        <f t="shared" si="6"/>
        <v>6</v>
      </c>
      <c r="L7" s="227">
        <f t="shared" si="6"/>
        <v>6</v>
      </c>
      <c r="M7" s="227">
        <f t="shared" si="6"/>
        <v>6</v>
      </c>
      <c r="N7" s="227">
        <f t="shared" si="6"/>
        <v>6</v>
      </c>
      <c r="O7" s="227">
        <f t="shared" si="6"/>
        <v>6</v>
      </c>
      <c r="P7" s="227">
        <f t="shared" si="6"/>
        <v>6</v>
      </c>
      <c r="Q7" s="227">
        <f t="shared" si="6"/>
        <v>6</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6</v>
      </c>
      <c r="E10" s="239" t="s">
        <v>805</v>
      </c>
      <c r="F10" s="240">
        <f t="shared" ref="F10:Q10" si="9">F11+F12+F13</f>
        <v>6</v>
      </c>
      <c r="G10" s="240">
        <f t="shared" si="9"/>
        <v>6</v>
      </c>
      <c r="H10" s="240">
        <f t="shared" si="9"/>
        <v>6</v>
      </c>
      <c r="I10" s="240">
        <f t="shared" si="9"/>
        <v>6</v>
      </c>
      <c r="J10" s="240">
        <f t="shared" si="9"/>
        <v>6</v>
      </c>
      <c r="K10" s="240">
        <f t="shared" si="9"/>
        <v>6</v>
      </c>
      <c r="L10" s="240">
        <f t="shared" si="9"/>
        <v>6</v>
      </c>
      <c r="M10" s="240">
        <f t="shared" si="9"/>
        <v>6</v>
      </c>
      <c r="N10" s="240">
        <f t="shared" si="9"/>
        <v>6</v>
      </c>
      <c r="O10" s="240">
        <f t="shared" si="9"/>
        <v>6</v>
      </c>
      <c r="P10" s="240">
        <f t="shared" si="9"/>
        <v>6</v>
      </c>
      <c r="Q10" s="240">
        <f t="shared" si="9"/>
        <v>6</v>
      </c>
    </row>
    <row r="11" outlineLevel="1" spans="1:17">
      <c r="A11" s="216">
        <v>2</v>
      </c>
      <c r="B11" s="237" t="s">
        <v>801</v>
      </c>
      <c r="C11" s="225" t="s">
        <v>109</v>
      </c>
      <c r="D11" s="226">
        <f t="shared" si="0"/>
        <v>6</v>
      </c>
      <c r="E11" s="226" t="s">
        <v>805</v>
      </c>
      <c r="F11" s="241">
        <f>自有人工预算!E11</f>
        <v>6</v>
      </c>
      <c r="G11" s="241">
        <f>自有人工预算!F11</f>
        <v>6</v>
      </c>
      <c r="H11" s="241">
        <f>自有人工预算!G11</f>
        <v>6</v>
      </c>
      <c r="I11" s="241">
        <f>自有人工预算!H11</f>
        <v>6</v>
      </c>
      <c r="J11" s="241">
        <f>自有人工预算!I11</f>
        <v>6</v>
      </c>
      <c r="K11" s="241">
        <f>自有人工预算!J11</f>
        <v>6</v>
      </c>
      <c r="L11" s="241">
        <f>自有人工预算!K11</f>
        <v>6</v>
      </c>
      <c r="M11" s="241">
        <f>自有人工预算!L11</f>
        <v>6</v>
      </c>
      <c r="N11" s="241">
        <f>自有人工预算!M11</f>
        <v>6</v>
      </c>
      <c r="O11" s="241">
        <f>自有人工预算!N11</f>
        <v>6</v>
      </c>
      <c r="P11" s="241">
        <f>自有人工预算!O11</f>
        <v>6</v>
      </c>
      <c r="Q11" s="241">
        <f>自有人工预算!P11</f>
        <v>6</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5</v>
      </c>
      <c r="E70" s="235" t="s">
        <v>805</v>
      </c>
      <c r="F70" s="236">
        <f t="shared" ref="F70:Q70" si="28">F71+F72+F73</f>
        <v>5</v>
      </c>
      <c r="G70" s="236">
        <f t="shared" si="28"/>
        <v>5</v>
      </c>
      <c r="H70" s="236">
        <f t="shared" si="28"/>
        <v>5</v>
      </c>
      <c r="I70" s="236">
        <f t="shared" si="28"/>
        <v>5</v>
      </c>
      <c r="J70" s="236">
        <f t="shared" si="28"/>
        <v>5</v>
      </c>
      <c r="K70" s="236">
        <f t="shared" si="28"/>
        <v>5</v>
      </c>
      <c r="L70" s="236">
        <f t="shared" si="28"/>
        <v>5</v>
      </c>
      <c r="M70" s="236">
        <f t="shared" si="28"/>
        <v>5</v>
      </c>
      <c r="N70" s="236">
        <f t="shared" si="28"/>
        <v>5</v>
      </c>
      <c r="O70" s="236">
        <f t="shared" si="28"/>
        <v>5</v>
      </c>
      <c r="P70" s="236">
        <f t="shared" si="28"/>
        <v>5</v>
      </c>
      <c r="Q70" s="236">
        <f t="shared" si="28"/>
        <v>5</v>
      </c>
    </row>
    <row r="71" spans="1:17">
      <c r="A71" s="216">
        <v>17</v>
      </c>
      <c r="B71" s="234" t="s">
        <v>191</v>
      </c>
      <c r="C71" s="225" t="s">
        <v>109</v>
      </c>
      <c r="D71" s="226">
        <f t="shared" si="26"/>
        <v>0</v>
      </c>
      <c r="E71" s="226" t="s">
        <v>805</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5</v>
      </c>
      <c r="E73" s="232" t="s">
        <v>805</v>
      </c>
      <c r="F73" s="233">
        <f t="shared" ref="F73:Q73" si="31">F77+F81+F85+F89+F93+F97+F101+F105+F109+F113</f>
        <v>5</v>
      </c>
      <c r="G73" s="233">
        <f t="shared" si="31"/>
        <v>5</v>
      </c>
      <c r="H73" s="233">
        <f t="shared" si="31"/>
        <v>5</v>
      </c>
      <c r="I73" s="233">
        <f t="shared" si="31"/>
        <v>5</v>
      </c>
      <c r="J73" s="233">
        <f t="shared" si="31"/>
        <v>5</v>
      </c>
      <c r="K73" s="233">
        <f t="shared" si="31"/>
        <v>5</v>
      </c>
      <c r="L73" s="233">
        <f t="shared" si="31"/>
        <v>5</v>
      </c>
      <c r="M73" s="233">
        <f t="shared" si="31"/>
        <v>5</v>
      </c>
      <c r="N73" s="233">
        <f t="shared" si="31"/>
        <v>5</v>
      </c>
      <c r="O73" s="233">
        <f t="shared" si="31"/>
        <v>5</v>
      </c>
      <c r="P73" s="233">
        <f t="shared" si="31"/>
        <v>5</v>
      </c>
      <c r="Q73" s="233">
        <f t="shared" si="31"/>
        <v>5</v>
      </c>
    </row>
    <row r="74" outlineLevel="1" spans="1:17">
      <c r="A74" s="216">
        <v>18</v>
      </c>
      <c r="B74" s="237" t="s">
        <v>885</v>
      </c>
      <c r="C74" s="238" t="s">
        <v>745</v>
      </c>
      <c r="D74" s="239">
        <f t="shared" si="26"/>
        <v>5</v>
      </c>
      <c r="E74" s="239" t="s">
        <v>805</v>
      </c>
      <c r="F74" s="240">
        <f t="shared" ref="F74:Q74" si="32">F75+F76+F77</f>
        <v>5</v>
      </c>
      <c r="G74" s="240">
        <f t="shared" si="32"/>
        <v>5</v>
      </c>
      <c r="H74" s="240">
        <f t="shared" si="32"/>
        <v>5</v>
      </c>
      <c r="I74" s="240">
        <f t="shared" si="32"/>
        <v>5</v>
      </c>
      <c r="J74" s="240">
        <f t="shared" si="32"/>
        <v>5</v>
      </c>
      <c r="K74" s="240">
        <f t="shared" si="32"/>
        <v>5</v>
      </c>
      <c r="L74" s="240">
        <f t="shared" si="32"/>
        <v>5</v>
      </c>
      <c r="M74" s="240">
        <f t="shared" si="32"/>
        <v>5</v>
      </c>
      <c r="N74" s="240">
        <f t="shared" si="32"/>
        <v>5</v>
      </c>
      <c r="O74" s="240">
        <f t="shared" si="32"/>
        <v>5</v>
      </c>
      <c r="P74" s="240">
        <f t="shared" si="32"/>
        <v>5</v>
      </c>
      <c r="Q74" s="240">
        <f t="shared" si="32"/>
        <v>5</v>
      </c>
    </row>
    <row r="75" outlineLevel="1" spans="1:17">
      <c r="A75" s="216">
        <v>18</v>
      </c>
      <c r="B75" s="237" t="s">
        <v>885</v>
      </c>
      <c r="C75" s="225" t="s">
        <v>109</v>
      </c>
      <c r="D75" s="226">
        <f t="shared" si="26"/>
        <v>0</v>
      </c>
      <c r="E75" s="226" t="s">
        <v>805</v>
      </c>
      <c r="F75" s="241">
        <f>自有人工预算!E12</f>
        <v>0</v>
      </c>
      <c r="G75" s="241">
        <f>自有人工预算!F12</f>
        <v>0</v>
      </c>
      <c r="H75" s="241">
        <f>自有人工预算!G12</f>
        <v>0</v>
      </c>
      <c r="I75" s="241">
        <f>自有人工预算!H12</f>
        <v>0</v>
      </c>
      <c r="J75" s="241">
        <f>自有人工预算!I12</f>
        <v>0</v>
      </c>
      <c r="K75" s="241">
        <f>自有人工预算!J12</f>
        <v>0</v>
      </c>
      <c r="L75" s="241">
        <f>自有人工预算!K12</f>
        <v>0</v>
      </c>
      <c r="M75" s="241">
        <f>自有人工预算!L12</f>
        <v>0</v>
      </c>
      <c r="N75" s="241">
        <f>自有人工预算!M12</f>
        <v>0</v>
      </c>
      <c r="O75" s="241">
        <f>自有人工预算!N12</f>
        <v>0</v>
      </c>
      <c r="P75" s="241">
        <f>自有人工预算!O12</f>
        <v>0</v>
      </c>
      <c r="Q75" s="241">
        <f>自有人工预算!P12</f>
        <v>0</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5</v>
      </c>
      <c r="E77" s="232" t="s">
        <v>805</v>
      </c>
      <c r="F77" s="241">
        <v>5</v>
      </c>
      <c r="G77" s="241">
        <v>5</v>
      </c>
      <c r="H77" s="241">
        <v>5</v>
      </c>
      <c r="I77" s="241">
        <v>5</v>
      </c>
      <c r="J77" s="241">
        <v>5</v>
      </c>
      <c r="K77" s="241">
        <v>5</v>
      </c>
      <c r="L77" s="241">
        <v>5</v>
      </c>
      <c r="M77" s="241">
        <v>5</v>
      </c>
      <c r="N77" s="241">
        <v>5</v>
      </c>
      <c r="O77" s="241">
        <v>5</v>
      </c>
      <c r="P77" s="241">
        <v>5</v>
      </c>
      <c r="Q77" s="241">
        <v>5</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1</v>
      </c>
      <c r="E114" s="235" t="s">
        <v>805</v>
      </c>
      <c r="F114" s="236">
        <f t="shared" ref="F114:Q114" si="42">F115+F116+F117</f>
        <v>1</v>
      </c>
      <c r="G114" s="236">
        <f t="shared" si="42"/>
        <v>1</v>
      </c>
      <c r="H114" s="236">
        <f t="shared" si="42"/>
        <v>1</v>
      </c>
      <c r="I114" s="236">
        <f t="shared" si="42"/>
        <v>1</v>
      </c>
      <c r="J114" s="236">
        <f t="shared" si="42"/>
        <v>1</v>
      </c>
      <c r="K114" s="236">
        <f t="shared" si="42"/>
        <v>1</v>
      </c>
      <c r="L114" s="236">
        <f t="shared" si="42"/>
        <v>1</v>
      </c>
      <c r="M114" s="236">
        <f t="shared" si="42"/>
        <v>1</v>
      </c>
      <c r="N114" s="236">
        <f t="shared" si="42"/>
        <v>1</v>
      </c>
      <c r="O114" s="236">
        <f t="shared" si="42"/>
        <v>1</v>
      </c>
      <c r="P114" s="236">
        <f t="shared" si="42"/>
        <v>1</v>
      </c>
      <c r="Q114" s="236">
        <f t="shared" si="42"/>
        <v>1</v>
      </c>
    </row>
    <row r="115" spans="1:17">
      <c r="A115" s="216">
        <v>28</v>
      </c>
      <c r="B115" s="234" t="s">
        <v>195</v>
      </c>
      <c r="C115" s="225" t="s">
        <v>109</v>
      </c>
      <c r="D115" s="226">
        <f t="shared" si="26"/>
        <v>1</v>
      </c>
      <c r="E115" s="226" t="s">
        <v>805</v>
      </c>
      <c r="F115" s="227">
        <f t="shared" ref="F115:Q115" si="43">F119+F123+F127+F131+F135+F139+F143+F147+F151</f>
        <v>1</v>
      </c>
      <c r="G115" s="227">
        <f t="shared" si="43"/>
        <v>1</v>
      </c>
      <c r="H115" s="227">
        <f t="shared" si="43"/>
        <v>1</v>
      </c>
      <c r="I115" s="227">
        <f t="shared" si="43"/>
        <v>1</v>
      </c>
      <c r="J115" s="227">
        <f t="shared" si="43"/>
        <v>1</v>
      </c>
      <c r="K115" s="227">
        <f t="shared" si="43"/>
        <v>1</v>
      </c>
      <c r="L115" s="227">
        <f t="shared" si="43"/>
        <v>1</v>
      </c>
      <c r="M115" s="227">
        <f t="shared" si="43"/>
        <v>1</v>
      </c>
      <c r="N115" s="227">
        <f t="shared" si="43"/>
        <v>1</v>
      </c>
      <c r="O115" s="227">
        <f t="shared" si="43"/>
        <v>1</v>
      </c>
      <c r="P115" s="227">
        <f t="shared" si="43"/>
        <v>1</v>
      </c>
      <c r="Q115" s="227">
        <f t="shared" si="43"/>
        <v>1</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1</v>
      </c>
      <c r="E118" s="239" t="s">
        <v>805</v>
      </c>
      <c r="F118" s="240">
        <f t="shared" ref="F118:Q118" si="46">F119+F120+F121</f>
        <v>1</v>
      </c>
      <c r="G118" s="240">
        <f t="shared" si="46"/>
        <v>1</v>
      </c>
      <c r="H118" s="240">
        <f t="shared" si="46"/>
        <v>1</v>
      </c>
      <c r="I118" s="240">
        <f t="shared" si="46"/>
        <v>1</v>
      </c>
      <c r="J118" s="240">
        <f t="shared" si="46"/>
        <v>1</v>
      </c>
      <c r="K118" s="240">
        <f t="shared" si="46"/>
        <v>1</v>
      </c>
      <c r="L118" s="240">
        <f t="shared" si="46"/>
        <v>1</v>
      </c>
      <c r="M118" s="240">
        <f t="shared" si="46"/>
        <v>1</v>
      </c>
      <c r="N118" s="240">
        <f t="shared" si="46"/>
        <v>1</v>
      </c>
      <c r="O118" s="240">
        <f t="shared" si="46"/>
        <v>1</v>
      </c>
      <c r="P118" s="240">
        <f t="shared" si="46"/>
        <v>1</v>
      </c>
      <c r="Q118" s="240">
        <f t="shared" si="46"/>
        <v>1</v>
      </c>
    </row>
    <row r="119" outlineLevel="1" spans="1:17">
      <c r="A119" s="216">
        <v>29</v>
      </c>
      <c r="B119" s="237" t="s">
        <v>986</v>
      </c>
      <c r="C119" s="225" t="s">
        <v>109</v>
      </c>
      <c r="D119" s="226">
        <f t="shared" si="26"/>
        <v>1</v>
      </c>
      <c r="E119" s="226" t="s">
        <v>805</v>
      </c>
      <c r="F119" s="241">
        <f>自有人工预算!E10</f>
        <v>1</v>
      </c>
      <c r="G119" s="241">
        <f>自有人工预算!F10</f>
        <v>1</v>
      </c>
      <c r="H119" s="241">
        <f>自有人工预算!G10</f>
        <v>1</v>
      </c>
      <c r="I119" s="241">
        <f>自有人工预算!H10</f>
        <v>1</v>
      </c>
      <c r="J119" s="241">
        <f>自有人工预算!I10</f>
        <v>1</v>
      </c>
      <c r="K119" s="241">
        <f>自有人工预算!J10</f>
        <v>1</v>
      </c>
      <c r="L119" s="241">
        <f>自有人工预算!K10</f>
        <v>1</v>
      </c>
      <c r="M119" s="241">
        <f>自有人工预算!L10</f>
        <v>1</v>
      </c>
      <c r="N119" s="241">
        <f>自有人工预算!M10</f>
        <v>1</v>
      </c>
      <c r="O119" s="241">
        <f>自有人工预算!N10</f>
        <v>1</v>
      </c>
      <c r="P119" s="241">
        <f>自有人工预算!O10</f>
        <v>1</v>
      </c>
      <c r="Q119" s="241">
        <f>自有人工预算!P10</f>
        <v>1</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1</v>
      </c>
      <c r="E154" s="235" t="s">
        <v>805</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805</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1</v>
      </c>
      <c r="E158" s="239" t="s">
        <v>805</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1037</v>
      </c>
      <c r="C159" s="225" t="s">
        <v>109</v>
      </c>
      <c r="D159" s="226">
        <f t="shared" si="49"/>
        <v>1</v>
      </c>
      <c r="E159" s="226" t="s">
        <v>805</v>
      </c>
      <c r="F159" s="241">
        <f>自有人工预算!E9</f>
        <v>1</v>
      </c>
      <c r="G159" s="241">
        <f>自有人工预算!F9</f>
        <v>1</v>
      </c>
      <c r="H159" s="241">
        <f>自有人工预算!G9</f>
        <v>1</v>
      </c>
      <c r="I159" s="241">
        <f>自有人工预算!H9</f>
        <v>1</v>
      </c>
      <c r="J159" s="241">
        <f>自有人工预算!I9</f>
        <v>1</v>
      </c>
      <c r="K159" s="241">
        <f>自有人工预算!J9</f>
        <v>1</v>
      </c>
      <c r="L159" s="241">
        <f>自有人工预算!K9</f>
        <v>1</v>
      </c>
      <c r="M159" s="241">
        <f>自有人工预算!L9</f>
        <v>1</v>
      </c>
      <c r="N159" s="241">
        <f>自有人工预算!M9</f>
        <v>1</v>
      </c>
      <c r="O159" s="241">
        <f>自有人工预算!N9</f>
        <v>1</v>
      </c>
      <c r="P159" s="241">
        <f>自有人工预算!O9</f>
        <v>1</v>
      </c>
      <c r="Q159" s="241">
        <f>自有人工预算!P9</f>
        <v>1</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1</v>
      </c>
      <c r="E174" s="235" t="s">
        <v>805</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1</v>
      </c>
      <c r="E177" s="232" t="s">
        <v>805</v>
      </c>
      <c r="F177" s="233">
        <f t="shared" ref="F177:Q177" si="67">F181+F185+F189+F193</f>
        <v>1</v>
      </c>
      <c r="G177" s="233">
        <f t="shared" si="67"/>
        <v>1</v>
      </c>
      <c r="H177" s="233">
        <f t="shared" si="67"/>
        <v>1</v>
      </c>
      <c r="I177" s="233">
        <f t="shared" si="67"/>
        <v>1</v>
      </c>
      <c r="J177" s="233">
        <f t="shared" si="67"/>
        <v>1</v>
      </c>
      <c r="K177" s="233">
        <f t="shared" si="67"/>
        <v>1</v>
      </c>
      <c r="L177" s="233">
        <f t="shared" si="67"/>
        <v>1</v>
      </c>
      <c r="M177" s="233">
        <f t="shared" si="67"/>
        <v>1</v>
      </c>
      <c r="N177" s="233">
        <f t="shared" si="67"/>
        <v>1</v>
      </c>
      <c r="O177" s="233">
        <f t="shared" si="67"/>
        <v>1</v>
      </c>
      <c r="P177" s="233">
        <f t="shared" si="67"/>
        <v>1</v>
      </c>
      <c r="Q177" s="233">
        <f t="shared" si="67"/>
        <v>1</v>
      </c>
    </row>
    <row r="178" outlineLevel="1" spans="1:17">
      <c r="A178" s="216">
        <v>44</v>
      </c>
      <c r="B178" s="237" t="s">
        <v>1069</v>
      </c>
      <c r="C178" s="238" t="s">
        <v>745</v>
      </c>
      <c r="D178" s="239">
        <f t="shared" si="49"/>
        <v>1</v>
      </c>
      <c r="E178" s="239" t="s">
        <v>805</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1</v>
      </c>
      <c r="E181" s="232" t="s">
        <v>805</v>
      </c>
      <c r="F181" s="241">
        <v>1</v>
      </c>
      <c r="G181" s="241">
        <v>1</v>
      </c>
      <c r="H181" s="241">
        <v>1</v>
      </c>
      <c r="I181" s="241">
        <v>1</v>
      </c>
      <c r="J181" s="241">
        <v>1</v>
      </c>
      <c r="K181" s="241">
        <v>1</v>
      </c>
      <c r="L181" s="241">
        <v>1</v>
      </c>
      <c r="M181" s="241">
        <v>1</v>
      </c>
      <c r="N181" s="241">
        <v>1</v>
      </c>
      <c r="O181" s="241">
        <v>1</v>
      </c>
      <c r="P181" s="241">
        <v>1</v>
      </c>
      <c r="Q181" s="241">
        <v>1</v>
      </c>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6</v>
      </c>
      <c r="E210" s="235" t="s">
        <v>805</v>
      </c>
      <c r="F210" s="236">
        <f t="shared" ref="F210:Q210" si="80">F211+F212+F213</f>
        <v>6</v>
      </c>
      <c r="G210" s="236">
        <f t="shared" si="80"/>
        <v>6</v>
      </c>
      <c r="H210" s="236">
        <f t="shared" si="80"/>
        <v>6</v>
      </c>
      <c r="I210" s="236">
        <f t="shared" si="80"/>
        <v>6</v>
      </c>
      <c r="J210" s="236">
        <f t="shared" si="80"/>
        <v>6</v>
      </c>
      <c r="K210" s="236">
        <f t="shared" si="80"/>
        <v>6</v>
      </c>
      <c r="L210" s="236">
        <f t="shared" si="80"/>
        <v>6</v>
      </c>
      <c r="M210" s="236">
        <f t="shared" si="80"/>
        <v>6</v>
      </c>
      <c r="N210" s="236">
        <f t="shared" si="80"/>
        <v>6</v>
      </c>
      <c r="O210" s="236">
        <f t="shared" si="80"/>
        <v>6</v>
      </c>
      <c r="P210" s="236">
        <f t="shared" si="80"/>
        <v>6</v>
      </c>
      <c r="Q210" s="236">
        <f t="shared" si="80"/>
        <v>6</v>
      </c>
    </row>
    <row r="211" spans="1:17">
      <c r="A211" s="216">
        <v>52</v>
      </c>
      <c r="B211" s="234" t="s">
        <v>1121</v>
      </c>
      <c r="C211" s="225" t="s">
        <v>109</v>
      </c>
      <c r="D211" s="226">
        <f t="shared" si="72"/>
        <v>6</v>
      </c>
      <c r="E211" s="226" t="s">
        <v>805</v>
      </c>
      <c r="F211" s="227">
        <f t="shared" ref="F211:F213" si="81">F215+F219+F223+F227+F231</f>
        <v>6</v>
      </c>
      <c r="G211" s="227">
        <f t="shared" ref="G211:Q211" si="82">G215+G219+G223+G227+G231</f>
        <v>6</v>
      </c>
      <c r="H211" s="227">
        <f t="shared" si="82"/>
        <v>6</v>
      </c>
      <c r="I211" s="227">
        <f t="shared" si="82"/>
        <v>6</v>
      </c>
      <c r="J211" s="227">
        <f t="shared" si="82"/>
        <v>6</v>
      </c>
      <c r="K211" s="227">
        <f t="shared" si="82"/>
        <v>6</v>
      </c>
      <c r="L211" s="227">
        <f t="shared" si="82"/>
        <v>6</v>
      </c>
      <c r="M211" s="227">
        <f t="shared" si="82"/>
        <v>6</v>
      </c>
      <c r="N211" s="227">
        <f t="shared" si="82"/>
        <v>6</v>
      </c>
      <c r="O211" s="227">
        <f t="shared" si="82"/>
        <v>6</v>
      </c>
      <c r="P211" s="227">
        <f t="shared" si="82"/>
        <v>6</v>
      </c>
      <c r="Q211" s="227">
        <f t="shared" si="82"/>
        <v>6</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6</v>
      </c>
      <c r="E214" s="238" t="s">
        <v>805</v>
      </c>
      <c r="F214" s="242">
        <f t="shared" ref="F214:Q214" si="85">F215+F216+F217</f>
        <v>6</v>
      </c>
      <c r="G214" s="242">
        <f t="shared" si="85"/>
        <v>6</v>
      </c>
      <c r="H214" s="242">
        <f t="shared" si="85"/>
        <v>6</v>
      </c>
      <c r="I214" s="242">
        <f t="shared" si="85"/>
        <v>6</v>
      </c>
      <c r="J214" s="242">
        <f t="shared" si="85"/>
        <v>6</v>
      </c>
      <c r="K214" s="242">
        <f t="shared" si="85"/>
        <v>6</v>
      </c>
      <c r="L214" s="242">
        <f t="shared" si="85"/>
        <v>6</v>
      </c>
      <c r="M214" s="242">
        <f t="shared" si="85"/>
        <v>6</v>
      </c>
      <c r="N214" s="242">
        <f t="shared" si="85"/>
        <v>6</v>
      </c>
      <c r="O214" s="242">
        <f t="shared" si="85"/>
        <v>6</v>
      </c>
      <c r="P214" s="242">
        <f t="shared" si="85"/>
        <v>6</v>
      </c>
      <c r="Q214" s="242">
        <f t="shared" si="85"/>
        <v>6</v>
      </c>
    </row>
    <row r="215" outlineLevel="1" spans="1:17">
      <c r="A215" s="216">
        <v>53</v>
      </c>
      <c r="B215" s="237" t="s">
        <v>1123</v>
      </c>
      <c r="C215" s="225" t="s">
        <v>109</v>
      </c>
      <c r="D215" s="226">
        <f t="shared" si="72"/>
        <v>6</v>
      </c>
      <c r="E215" s="225" t="s">
        <v>805</v>
      </c>
      <c r="F215" s="243">
        <f>自有人工预算!E14</f>
        <v>6</v>
      </c>
      <c r="G215" s="243">
        <f>自有人工预算!F14</f>
        <v>6</v>
      </c>
      <c r="H215" s="243">
        <f>自有人工预算!G14</f>
        <v>6</v>
      </c>
      <c r="I215" s="243">
        <f>自有人工预算!H14</f>
        <v>6</v>
      </c>
      <c r="J215" s="243">
        <f>自有人工预算!I14</f>
        <v>6</v>
      </c>
      <c r="K215" s="243">
        <f>自有人工预算!J14</f>
        <v>6</v>
      </c>
      <c r="L215" s="243">
        <f>自有人工预算!K14</f>
        <v>6</v>
      </c>
      <c r="M215" s="243">
        <f>自有人工预算!L14</f>
        <v>6</v>
      </c>
      <c r="N215" s="243">
        <f>自有人工预算!M14</f>
        <v>6</v>
      </c>
      <c r="O215" s="243">
        <f>自有人工预算!N14</f>
        <v>6</v>
      </c>
      <c r="P215" s="243">
        <f>自有人工预算!O14</f>
        <v>6</v>
      </c>
      <c r="Q215" s="243">
        <f>自有人工预算!P14</f>
        <v>6</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2431</v>
      </c>
    </row>
    <row r="5" spans="2:4">
      <c r="B5" t="s">
        <v>943</v>
      </c>
      <c r="C5" t="s">
        <v>2432</v>
      </c>
      <c r="D5" t="s">
        <v>2423</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3" t="s">
        <v>1653</v>
      </c>
      <c r="C2" s="173" t="s">
        <v>2439</v>
      </c>
      <c r="D2" s="174">
        <v>150</v>
      </c>
      <c r="E2" s="175"/>
    </row>
    <row r="3" ht="14.5" spans="2:5">
      <c r="B3" s="173" t="s">
        <v>1656</v>
      </c>
      <c r="C3" s="173" t="s">
        <v>2439</v>
      </c>
      <c r="D3" s="174">
        <v>610</v>
      </c>
      <c r="E3" s="175"/>
    </row>
    <row r="4" ht="14.5" spans="2:5">
      <c r="B4" s="173" t="s">
        <v>1659</v>
      </c>
      <c r="C4" s="173" t="s">
        <v>2439</v>
      </c>
      <c r="D4" s="174">
        <v>270</v>
      </c>
      <c r="E4" s="175"/>
    </row>
    <row r="5" ht="14.5" spans="2:5">
      <c r="B5" s="173" t="s">
        <v>1661</v>
      </c>
      <c r="C5" s="173" t="s">
        <v>2439</v>
      </c>
      <c r="D5" s="174">
        <v>600</v>
      </c>
      <c r="E5" s="175"/>
    </row>
    <row r="6" ht="14.5" spans="2:5">
      <c r="B6" s="173" t="s">
        <v>1663</v>
      </c>
      <c r="C6" s="173" t="s">
        <v>2439</v>
      </c>
      <c r="D6" s="174">
        <v>150</v>
      </c>
      <c r="E6" s="175"/>
    </row>
    <row r="7" ht="14.5" spans="2:5">
      <c r="B7" s="173" t="s">
        <v>1665</v>
      </c>
      <c r="C7" s="173" t="s">
        <v>2439</v>
      </c>
      <c r="D7" s="174">
        <v>380</v>
      </c>
      <c r="E7" s="175"/>
    </row>
    <row r="8" ht="14.5" spans="2:5">
      <c r="B8" s="173" t="s">
        <v>1667</v>
      </c>
      <c r="C8" s="173" t="s">
        <v>2439</v>
      </c>
      <c r="D8" s="174">
        <v>150</v>
      </c>
      <c r="E8" s="175"/>
    </row>
    <row r="9" ht="14.5" spans="2:5">
      <c r="B9" s="173" t="s">
        <v>1653</v>
      </c>
      <c r="C9" s="173" t="s">
        <v>2440</v>
      </c>
      <c r="D9" s="174">
        <v>250</v>
      </c>
      <c r="E9" s="175"/>
    </row>
    <row r="10" ht="14.5" spans="2:5">
      <c r="B10" s="173" t="s">
        <v>1656</v>
      </c>
      <c r="C10" s="173" t="s">
        <v>2440</v>
      </c>
      <c r="D10" s="174">
        <v>910</v>
      </c>
      <c r="E10" s="175"/>
    </row>
    <row r="11" ht="14.5" spans="2:5">
      <c r="B11" s="173" t="s">
        <v>1659</v>
      </c>
      <c r="C11" s="173" t="s">
        <v>2440</v>
      </c>
      <c r="D11" s="174">
        <v>260</v>
      </c>
      <c r="E11" s="175"/>
    </row>
    <row r="12" ht="14.5" spans="2:5">
      <c r="B12" s="173" t="s">
        <v>1661</v>
      </c>
      <c r="C12" s="173" t="s">
        <v>2440</v>
      </c>
      <c r="D12" s="174">
        <v>1012</v>
      </c>
      <c r="E12" s="175"/>
    </row>
    <row r="13" ht="14.5" spans="2:5">
      <c r="B13" s="173" t="s">
        <v>1663</v>
      </c>
      <c r="C13" s="173" t="s">
        <v>2440</v>
      </c>
      <c r="D13" s="174">
        <v>150</v>
      </c>
      <c r="E13" s="175"/>
    </row>
    <row r="14" ht="14.5" spans="2:5">
      <c r="B14" s="173" t="s">
        <v>1665</v>
      </c>
      <c r="C14" s="173" t="s">
        <v>2440</v>
      </c>
      <c r="D14" s="174">
        <v>380</v>
      </c>
      <c r="E14" s="175"/>
    </row>
    <row r="15" ht="14.5" spans="2:5">
      <c r="B15" s="173" t="s">
        <v>1667</v>
      </c>
      <c r="C15" s="173" t="s">
        <v>2440</v>
      </c>
      <c r="D15" s="174">
        <v>150</v>
      </c>
      <c r="E15" s="175"/>
    </row>
    <row r="16" ht="14.5" spans="2:5">
      <c r="B16" s="173" t="s">
        <v>1653</v>
      </c>
      <c r="C16" s="173" t="s">
        <v>2441</v>
      </c>
      <c r="D16" s="174">
        <v>250</v>
      </c>
      <c r="E16" s="175"/>
    </row>
    <row r="17" ht="14.5" spans="2:5">
      <c r="B17" s="173" t="s">
        <v>1656</v>
      </c>
      <c r="C17" s="173" t="s">
        <v>2441</v>
      </c>
      <c r="D17" s="174">
        <v>960</v>
      </c>
      <c r="E17" s="175"/>
    </row>
    <row r="18" ht="14.5" spans="2:5">
      <c r="B18" s="173" t="s">
        <v>1659</v>
      </c>
      <c r="C18" s="173" t="s">
        <v>2441</v>
      </c>
      <c r="D18" s="174">
        <v>260</v>
      </c>
      <c r="E18" s="175"/>
    </row>
    <row r="19" ht="14.5" spans="2:5">
      <c r="B19" s="173" t="s">
        <v>1661</v>
      </c>
      <c r="C19" s="173" t="s">
        <v>2441</v>
      </c>
      <c r="D19" s="174">
        <v>1012</v>
      </c>
      <c r="E19" s="175"/>
    </row>
    <row r="20" ht="14.5" spans="2:5">
      <c r="B20" s="173" t="s">
        <v>1663</v>
      </c>
      <c r="C20" s="173" t="s">
        <v>2441</v>
      </c>
      <c r="D20" s="174">
        <v>150</v>
      </c>
      <c r="E20" s="175"/>
    </row>
    <row r="21" ht="14.5" spans="2:5">
      <c r="B21" s="173" t="s">
        <v>1665</v>
      </c>
      <c r="C21" s="173" t="s">
        <v>2441</v>
      </c>
      <c r="D21" s="174">
        <v>380</v>
      </c>
      <c r="E21" s="175"/>
    </row>
    <row r="22" ht="14.5" spans="2:5">
      <c r="B22" s="173" t="s">
        <v>1667</v>
      </c>
      <c r="C22" s="173" t="s">
        <v>2441</v>
      </c>
      <c r="D22" s="174">
        <v>150</v>
      </c>
      <c r="E22" s="175"/>
    </row>
    <row r="26" ht="10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2432</v>
      </c>
      <c r="AB26" s="178" t="s">
        <v>2432</v>
      </c>
      <c r="AC26" s="178" t="s">
        <v>2432</v>
      </c>
      <c r="AD26" s="178" t="s">
        <v>2432</v>
      </c>
      <c r="AE26" s="178" t="s">
        <v>2432</v>
      </c>
      <c r="AF26" s="178" t="s">
        <v>2432</v>
      </c>
      <c r="AG26" s="178" t="s">
        <v>2432</v>
      </c>
      <c r="AH26" s="178" t="s">
        <v>2432</v>
      </c>
      <c r="AI26" s="178" t="s">
        <v>2432</v>
      </c>
      <c r="AJ26" s="178" t="s">
        <v>2432</v>
      </c>
      <c r="AK26" s="178" t="s">
        <v>2432</v>
      </c>
      <c r="AL26" s="178" t="s">
        <v>2432</v>
      </c>
      <c r="AM26" s="178" t="s">
        <v>2432</v>
      </c>
      <c r="AN26" s="178" t="s">
        <v>2432</v>
      </c>
      <c r="AO26" s="178" t="s">
        <v>2432</v>
      </c>
      <c r="AP26" s="178" t="s">
        <v>2432</v>
      </c>
      <c r="AQ26" s="178" t="s">
        <v>2432</v>
      </c>
      <c r="AR26" s="178" t="s">
        <v>2432</v>
      </c>
      <c r="AS26" s="178" t="s">
        <v>2432</v>
      </c>
      <c r="AT26" s="178" t="s">
        <v>2432</v>
      </c>
      <c r="AU26" s="178" t="s">
        <v>2432</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2432</v>
      </c>
      <c r="CM26" s="178" t="s">
        <v>2432</v>
      </c>
      <c r="CN26" s="178" t="s">
        <v>2432</v>
      </c>
      <c r="CO26" s="178" t="s">
        <v>2432</v>
      </c>
      <c r="CP26" s="178" t="s">
        <v>2432</v>
      </c>
      <c r="CQ26" s="178" t="s">
        <v>2432</v>
      </c>
      <c r="CR26" s="178" t="s">
        <v>2432</v>
      </c>
      <c r="CS26" s="178" t="s">
        <v>2432</v>
      </c>
      <c r="CT26" s="178" t="s">
        <v>2432</v>
      </c>
      <c r="CU26" s="178" t="s">
        <v>2432</v>
      </c>
      <c r="CV26" s="178" t="s">
        <v>2432</v>
      </c>
      <c r="CW26" s="178" t="s">
        <v>2432</v>
      </c>
      <c r="CX26" s="178" t="s">
        <v>2432</v>
      </c>
      <c r="CY26" s="178" t="s">
        <v>2432</v>
      </c>
      <c r="CZ26" s="178" t="s">
        <v>2432</v>
      </c>
      <c r="DA26" s="178" t="s">
        <v>2432</v>
      </c>
      <c r="DB26" s="178" t="s">
        <v>2432</v>
      </c>
      <c r="DC26" s="178" t="s">
        <v>2432</v>
      </c>
      <c r="DD26" s="178" t="s">
        <v>2432</v>
      </c>
      <c r="DE26" s="178" t="s">
        <v>2432</v>
      </c>
      <c r="DF26" s="178" t="s">
        <v>2432</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2" spans="2:131">
      <c r="B28" s="176"/>
      <c r="C28" s="180"/>
      <c r="D28" s="176"/>
      <c r="E28" s="176"/>
      <c r="F28" s="178" t="s">
        <v>2431</v>
      </c>
      <c r="G28" s="181" t="s">
        <v>2423</v>
      </c>
      <c r="H28" s="181" t="s">
        <v>2434</v>
      </c>
      <c r="I28" s="181" t="s">
        <v>2435</v>
      </c>
      <c r="J28" s="181" t="s">
        <v>2436</v>
      </c>
      <c r="K28" s="181" t="s">
        <v>2437</v>
      </c>
      <c r="L28" s="202" t="s">
        <v>2438</v>
      </c>
      <c r="M28" s="178" t="s">
        <v>2431</v>
      </c>
      <c r="N28" s="181" t="s">
        <v>2423</v>
      </c>
      <c r="O28" s="181" t="s">
        <v>2434</v>
      </c>
      <c r="P28" s="203" t="s">
        <v>2435</v>
      </c>
      <c r="Q28" s="203" t="s">
        <v>2436</v>
      </c>
      <c r="R28" s="203" t="s">
        <v>2437</v>
      </c>
      <c r="S28" s="202" t="s">
        <v>2438</v>
      </c>
      <c r="T28" s="207" t="s">
        <v>2431</v>
      </c>
      <c r="U28" s="203" t="s">
        <v>2423</v>
      </c>
      <c r="V28" s="203" t="s">
        <v>2434</v>
      </c>
      <c r="W28" s="203" t="s">
        <v>2435</v>
      </c>
      <c r="X28" s="203" t="s">
        <v>2436</v>
      </c>
      <c r="Y28" s="203" t="s">
        <v>2437</v>
      </c>
      <c r="Z28" s="202" t="s">
        <v>2438</v>
      </c>
      <c r="AA28" s="208" t="s">
        <v>2431</v>
      </c>
      <c r="AB28" s="203" t="s">
        <v>2423</v>
      </c>
      <c r="AC28" s="203" t="s">
        <v>2434</v>
      </c>
      <c r="AD28" s="203" t="s">
        <v>2435</v>
      </c>
      <c r="AE28" s="203" t="s">
        <v>2436</v>
      </c>
      <c r="AF28" s="203" t="s">
        <v>2437</v>
      </c>
      <c r="AG28" s="202" t="s">
        <v>2438</v>
      </c>
      <c r="AH28" s="208" t="s">
        <v>2431</v>
      </c>
      <c r="AI28" s="203" t="s">
        <v>2423</v>
      </c>
      <c r="AJ28" s="203" t="s">
        <v>2434</v>
      </c>
      <c r="AK28" s="203" t="s">
        <v>2435</v>
      </c>
      <c r="AL28" s="203" t="s">
        <v>2436</v>
      </c>
      <c r="AM28" s="203" t="s">
        <v>2437</v>
      </c>
      <c r="AN28" s="202" t="s">
        <v>2438</v>
      </c>
      <c r="AO28" s="208" t="s">
        <v>2431</v>
      </c>
      <c r="AP28" s="203" t="s">
        <v>2423</v>
      </c>
      <c r="AQ28" s="203" t="s">
        <v>2434</v>
      </c>
      <c r="AR28" s="203" t="s">
        <v>2435</v>
      </c>
      <c r="AS28" s="203" t="s">
        <v>2436</v>
      </c>
      <c r="AT28" s="203" t="s">
        <v>2437</v>
      </c>
      <c r="AU28" s="202" t="s">
        <v>2438</v>
      </c>
      <c r="AV28" s="207" t="s">
        <v>2431</v>
      </c>
      <c r="AW28" s="202" t="s">
        <v>2423</v>
      </c>
      <c r="AX28" s="202" t="s">
        <v>2434</v>
      </c>
      <c r="AY28" s="202" t="s">
        <v>2435</v>
      </c>
      <c r="AZ28" s="202" t="s">
        <v>2436</v>
      </c>
      <c r="BA28" s="202" t="s">
        <v>2437</v>
      </c>
      <c r="BB28" s="202" t="s">
        <v>2438</v>
      </c>
      <c r="BC28" s="207" t="s">
        <v>2431</v>
      </c>
      <c r="BD28" s="202" t="s">
        <v>2423</v>
      </c>
      <c r="BE28" s="202" t="s">
        <v>2434</v>
      </c>
      <c r="BF28" s="202" t="s">
        <v>2435</v>
      </c>
      <c r="BG28" s="210" t="s">
        <v>2436</v>
      </c>
      <c r="BH28" s="210" t="s">
        <v>2437</v>
      </c>
      <c r="BI28" s="210" t="s">
        <v>2438</v>
      </c>
      <c r="BJ28" s="178" t="s">
        <v>2431</v>
      </c>
      <c r="BK28" s="210" t="s">
        <v>2423</v>
      </c>
      <c r="BL28" s="210" t="s">
        <v>2434</v>
      </c>
      <c r="BM28" s="210" t="s">
        <v>2435</v>
      </c>
      <c r="BN28" s="210" t="s">
        <v>2436</v>
      </c>
      <c r="BO28" s="210" t="s">
        <v>2437</v>
      </c>
      <c r="BP28" s="210" t="s">
        <v>2438</v>
      </c>
      <c r="BQ28" s="178" t="s">
        <v>2431</v>
      </c>
      <c r="BR28" s="181" t="s">
        <v>2423</v>
      </c>
      <c r="BS28" s="181" t="s">
        <v>2434</v>
      </c>
      <c r="BT28" s="181" t="s">
        <v>2435</v>
      </c>
      <c r="BU28" s="181" t="s">
        <v>2436</v>
      </c>
      <c r="BV28" s="181" t="s">
        <v>2437</v>
      </c>
      <c r="BW28" s="202" t="s">
        <v>2438</v>
      </c>
      <c r="BX28" s="178" t="s">
        <v>2431</v>
      </c>
      <c r="BY28" s="181" t="s">
        <v>2423</v>
      </c>
      <c r="BZ28" s="181" t="s">
        <v>2434</v>
      </c>
      <c r="CA28" s="203" t="s">
        <v>2435</v>
      </c>
      <c r="CB28" s="203" t="s">
        <v>2436</v>
      </c>
      <c r="CC28" s="203" t="s">
        <v>2437</v>
      </c>
      <c r="CD28" s="202" t="s">
        <v>2438</v>
      </c>
      <c r="CE28" s="207" t="s">
        <v>2431</v>
      </c>
      <c r="CF28" s="203" t="s">
        <v>2423</v>
      </c>
      <c r="CG28" s="203" t="s">
        <v>2434</v>
      </c>
      <c r="CH28" s="203" t="s">
        <v>2435</v>
      </c>
      <c r="CI28" s="203" t="s">
        <v>2436</v>
      </c>
      <c r="CJ28" s="203" t="s">
        <v>2437</v>
      </c>
      <c r="CK28" s="202" t="s">
        <v>2438</v>
      </c>
      <c r="CL28" s="208" t="s">
        <v>2431</v>
      </c>
      <c r="CM28" s="203" t="s">
        <v>2423</v>
      </c>
      <c r="CN28" s="203" t="s">
        <v>2434</v>
      </c>
      <c r="CO28" s="203" t="s">
        <v>2435</v>
      </c>
      <c r="CP28" s="203" t="s">
        <v>2436</v>
      </c>
      <c r="CQ28" s="203" t="s">
        <v>2437</v>
      </c>
      <c r="CR28" s="202" t="s">
        <v>2438</v>
      </c>
      <c r="CS28" s="208" t="s">
        <v>2431</v>
      </c>
      <c r="CT28" s="203" t="s">
        <v>2423</v>
      </c>
      <c r="CU28" s="203" t="s">
        <v>2434</v>
      </c>
      <c r="CV28" s="203" t="s">
        <v>2435</v>
      </c>
      <c r="CW28" s="203" t="s">
        <v>2436</v>
      </c>
      <c r="CX28" s="203" t="s">
        <v>2437</v>
      </c>
      <c r="CY28" s="202" t="s">
        <v>2438</v>
      </c>
      <c r="CZ28" s="208" t="s">
        <v>2431</v>
      </c>
      <c r="DA28" s="203" t="s">
        <v>2423</v>
      </c>
      <c r="DB28" s="203" t="s">
        <v>2434</v>
      </c>
      <c r="DC28" s="203" t="s">
        <v>2435</v>
      </c>
      <c r="DD28" s="203" t="s">
        <v>2436</v>
      </c>
      <c r="DE28" s="203" t="s">
        <v>2437</v>
      </c>
      <c r="DF28" s="202" t="s">
        <v>2438</v>
      </c>
      <c r="DG28" s="207" t="s">
        <v>2431</v>
      </c>
      <c r="DH28" s="202" t="s">
        <v>2423</v>
      </c>
      <c r="DI28" s="202" t="s">
        <v>2434</v>
      </c>
      <c r="DJ28" s="202" t="s">
        <v>2435</v>
      </c>
      <c r="DK28" s="202" t="s">
        <v>2436</v>
      </c>
      <c r="DL28" s="202" t="s">
        <v>2437</v>
      </c>
      <c r="DM28" s="202" t="s">
        <v>2438</v>
      </c>
      <c r="DN28" s="207" t="s">
        <v>2431</v>
      </c>
      <c r="DO28" s="202" t="s">
        <v>2423</v>
      </c>
      <c r="DP28" s="202" t="s">
        <v>2434</v>
      </c>
      <c r="DQ28" s="202" t="s">
        <v>2435</v>
      </c>
      <c r="DR28" s="210" t="s">
        <v>2436</v>
      </c>
      <c r="DS28" s="210" t="s">
        <v>2437</v>
      </c>
      <c r="DT28" s="210" t="s">
        <v>2438</v>
      </c>
      <c r="DU28" s="178" t="s">
        <v>2431</v>
      </c>
      <c r="DV28" s="210" t="s">
        <v>2423</v>
      </c>
      <c r="DW28" s="210" t="s">
        <v>2434</v>
      </c>
      <c r="DX28" s="210" t="s">
        <v>2435</v>
      </c>
      <c r="DY28" s="210" t="s">
        <v>2436</v>
      </c>
      <c r="DZ28" s="210" t="s">
        <v>2437</v>
      </c>
      <c r="EA28" s="210" t="s">
        <v>2438</v>
      </c>
    </row>
    <row r="29" ht="21"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2418</v>
      </c>
      <c r="BR29" s="178" t="s">
        <v>2418</v>
      </c>
      <c r="BS29" s="178" t="s">
        <v>2418</v>
      </c>
      <c r="BT29" s="178" t="s">
        <v>2418</v>
      </c>
      <c r="BU29" s="178" t="s">
        <v>2418</v>
      </c>
      <c r="BV29" s="178" t="s">
        <v>2418</v>
      </c>
      <c r="BW29" s="178" t="s">
        <v>2418</v>
      </c>
      <c r="BX29" s="178" t="s">
        <v>2418</v>
      </c>
      <c r="BY29" s="178" t="s">
        <v>2418</v>
      </c>
      <c r="BZ29" s="178" t="s">
        <v>2418</v>
      </c>
      <c r="CA29" s="178" t="s">
        <v>2418</v>
      </c>
      <c r="CB29" s="178" t="s">
        <v>2418</v>
      </c>
      <c r="CC29" s="178" t="s">
        <v>2418</v>
      </c>
      <c r="CD29" s="178" t="s">
        <v>2418</v>
      </c>
      <c r="CE29" s="178" t="s">
        <v>2418</v>
      </c>
      <c r="CF29" s="178" t="s">
        <v>2418</v>
      </c>
      <c r="CG29" s="178" t="s">
        <v>2418</v>
      </c>
      <c r="CH29" s="178" t="s">
        <v>2418</v>
      </c>
      <c r="CI29" s="178" t="s">
        <v>2418</v>
      </c>
      <c r="CJ29" s="178" t="s">
        <v>2418</v>
      </c>
      <c r="CK29" s="178" t="s">
        <v>2418</v>
      </c>
      <c r="CL29" s="178" t="s">
        <v>2418</v>
      </c>
      <c r="CM29" s="178" t="s">
        <v>2418</v>
      </c>
      <c r="CN29" s="178" t="s">
        <v>2418</v>
      </c>
      <c r="CO29" s="178" t="s">
        <v>2418</v>
      </c>
      <c r="CP29" s="178" t="s">
        <v>2418</v>
      </c>
      <c r="CQ29" s="178" t="s">
        <v>2418</v>
      </c>
      <c r="CR29" s="178" t="s">
        <v>2418</v>
      </c>
      <c r="CS29" s="178" t="s">
        <v>2418</v>
      </c>
      <c r="CT29" s="178" t="s">
        <v>2418</v>
      </c>
      <c r="CU29" s="178" t="s">
        <v>2418</v>
      </c>
      <c r="CV29" s="178" t="s">
        <v>2418</v>
      </c>
      <c r="CW29" s="178" t="s">
        <v>2418</v>
      </c>
      <c r="CX29" s="178" t="s">
        <v>2418</v>
      </c>
      <c r="CY29" s="178" t="s">
        <v>2418</v>
      </c>
      <c r="CZ29" s="178" t="s">
        <v>2418</v>
      </c>
      <c r="DA29" s="178" t="s">
        <v>2418</v>
      </c>
      <c r="DB29" s="178" t="s">
        <v>2418</v>
      </c>
      <c r="DC29" s="178" t="s">
        <v>2418</v>
      </c>
      <c r="DD29" s="178" t="s">
        <v>2418</v>
      </c>
      <c r="DE29" s="178" t="s">
        <v>2418</v>
      </c>
      <c r="DF29" s="178" t="s">
        <v>2418</v>
      </c>
      <c r="DG29" s="178" t="s">
        <v>2418</v>
      </c>
      <c r="DH29" s="178" t="s">
        <v>2418</v>
      </c>
      <c r="DI29" s="178" t="s">
        <v>2418</v>
      </c>
      <c r="DJ29" s="178" t="s">
        <v>2418</v>
      </c>
      <c r="DK29" s="178" t="s">
        <v>2418</v>
      </c>
      <c r="DL29" s="178" t="s">
        <v>2418</v>
      </c>
      <c r="DM29" s="178" t="s">
        <v>2418</v>
      </c>
      <c r="DN29" s="178" t="s">
        <v>2418</v>
      </c>
      <c r="DO29" s="178" t="s">
        <v>2418</v>
      </c>
      <c r="DP29" s="178" t="s">
        <v>2418</v>
      </c>
      <c r="DQ29" s="178" t="s">
        <v>2418</v>
      </c>
      <c r="DR29" s="178" t="s">
        <v>2418</v>
      </c>
      <c r="DS29" s="178" t="s">
        <v>2418</v>
      </c>
      <c r="DT29" s="178" t="s">
        <v>2418</v>
      </c>
      <c r="DU29" s="178" t="s">
        <v>2418</v>
      </c>
      <c r="DV29" s="178" t="s">
        <v>2418</v>
      </c>
      <c r="DW29" s="178" t="s">
        <v>2418</v>
      </c>
      <c r="DX29" s="178" t="s">
        <v>2418</v>
      </c>
      <c r="DY29" s="178" t="s">
        <v>2418</v>
      </c>
      <c r="DZ29" s="178" t="s">
        <v>2418</v>
      </c>
      <c r="EA29" s="178" t="s">
        <v>2418</v>
      </c>
    </row>
    <row r="30" ht="26"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6"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6"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6"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6"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6"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6"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6"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6"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6"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6"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9"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52"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2.5" spans="2:5">
      <c r="B45" s="196" t="s">
        <v>2462</v>
      </c>
      <c r="C45" s="196"/>
      <c r="D45" s="196"/>
      <c r="E45" s="196"/>
    </row>
    <row r="46" ht="16.5" spans="2:3">
      <c r="B46" s="197" t="s">
        <v>2393</v>
      </c>
      <c r="C46" s="197" t="s">
        <v>2463</v>
      </c>
    </row>
    <row r="47" ht="16.5" spans="2:3">
      <c r="B47" s="198" t="s">
        <v>2464</v>
      </c>
      <c r="C47" s="198" t="s">
        <v>2445</v>
      </c>
    </row>
    <row r="48" ht="16.5" spans="2:3">
      <c r="B48" s="198" t="s">
        <v>2465</v>
      </c>
      <c r="C48" s="198" t="s">
        <v>2445</v>
      </c>
    </row>
    <row r="49" ht="16.5" spans="2:3">
      <c r="B49" s="198" t="s">
        <v>2394</v>
      </c>
      <c r="C49" s="198" t="s">
        <v>2445</v>
      </c>
    </row>
    <row r="50" ht="16.5" spans="2:3">
      <c r="B50" s="198" t="s">
        <v>2466</v>
      </c>
      <c r="C50" s="198" t="s">
        <v>2445</v>
      </c>
    </row>
    <row r="51" ht="16.5" spans="2:3">
      <c r="B51" s="199" t="s">
        <v>2467</v>
      </c>
      <c r="C51" s="199" t="s">
        <v>2446</v>
      </c>
    </row>
    <row r="52" ht="16.5" spans="2:3">
      <c r="B52" s="200" t="s">
        <v>2468</v>
      </c>
      <c r="C52" s="199" t="s">
        <v>2446</v>
      </c>
    </row>
    <row r="53" ht="16.5" spans="2:3">
      <c r="B53" s="199" t="s">
        <v>2469</v>
      </c>
      <c r="C53" s="199" t="s">
        <v>2446</v>
      </c>
    </row>
    <row r="54" ht="16.5" spans="2:3">
      <c r="B54" s="199" t="s">
        <v>2470</v>
      </c>
      <c r="C54" s="199" t="s">
        <v>2446</v>
      </c>
    </row>
    <row r="55" ht="16.5" spans="2:3">
      <c r="B55" s="199" t="s">
        <v>2471</v>
      </c>
      <c r="C55" s="199" t="s">
        <v>2446</v>
      </c>
    </row>
    <row r="56" ht="16.5" spans="2:3">
      <c r="B56" s="199" t="s">
        <v>2472</v>
      </c>
      <c r="C56" s="199" t="s">
        <v>2446</v>
      </c>
    </row>
    <row r="57" ht="16.5" spans="2:3">
      <c r="B57" s="200" t="s">
        <v>2473</v>
      </c>
      <c r="C57" s="199" t="s">
        <v>2446</v>
      </c>
    </row>
    <row r="58" ht="16.5" spans="2:3">
      <c r="B58" s="199" t="s">
        <v>2474</v>
      </c>
      <c r="C58" s="199" t="s">
        <v>2446</v>
      </c>
    </row>
    <row r="59" ht="16.5" spans="2:3">
      <c r="B59" s="199" t="s">
        <v>2475</v>
      </c>
      <c r="C59" s="199" t="s">
        <v>2446</v>
      </c>
    </row>
    <row r="60" ht="16.5" spans="2:3">
      <c r="B60" s="199" t="s">
        <v>2476</v>
      </c>
      <c r="C60" s="199" t="s">
        <v>2446</v>
      </c>
    </row>
    <row r="61" ht="16.5" spans="2:3">
      <c r="B61" s="199" t="s">
        <v>2477</v>
      </c>
      <c r="C61" s="199" t="s">
        <v>2446</v>
      </c>
    </row>
    <row r="62" ht="16.5" spans="2:3">
      <c r="B62" s="201" t="s">
        <v>2478</v>
      </c>
      <c r="C62" s="201" t="s">
        <v>2447</v>
      </c>
    </row>
    <row r="63" ht="16.5" spans="2:3">
      <c r="B63" s="199" t="s">
        <v>2479</v>
      </c>
      <c r="C63" s="199" t="s">
        <v>2446</v>
      </c>
    </row>
    <row r="64" ht="16.5" spans="2:3">
      <c r="B64" s="199" t="s">
        <v>2480</v>
      </c>
      <c r="C64" s="199" t="s">
        <v>2446</v>
      </c>
    </row>
    <row r="65" ht="16.5" spans="2:3">
      <c r="B65" s="199" t="s">
        <v>2481</v>
      </c>
      <c r="C65" s="199" t="s">
        <v>2446</v>
      </c>
    </row>
    <row r="66" ht="16.5" spans="2:3">
      <c r="B66" s="200" t="s">
        <v>2482</v>
      </c>
      <c r="C66" s="199" t="s">
        <v>2446</v>
      </c>
    </row>
    <row r="67" ht="16.5" spans="2:3">
      <c r="B67" s="199" t="s">
        <v>2483</v>
      </c>
      <c r="C67" s="199" t="s">
        <v>2446</v>
      </c>
    </row>
    <row r="68" ht="16.5" spans="2:3">
      <c r="B68" s="201" t="s">
        <v>2484</v>
      </c>
      <c r="C68" s="201" t="s">
        <v>2447</v>
      </c>
    </row>
    <row r="69" ht="16.5" spans="2:3">
      <c r="B69" s="199" t="s">
        <v>2485</v>
      </c>
      <c r="C69" s="199" t="s">
        <v>2446</v>
      </c>
    </row>
    <row r="70" ht="16.5" spans="2:3">
      <c r="B70" s="199" t="s">
        <v>2486</v>
      </c>
      <c r="C70" s="199" t="s">
        <v>2446</v>
      </c>
    </row>
    <row r="71" ht="16.5" spans="2:3">
      <c r="B71" s="199" t="s">
        <v>2487</v>
      </c>
      <c r="C71" s="199" t="s">
        <v>2446</v>
      </c>
    </row>
    <row r="72" ht="16.5" spans="2:3">
      <c r="B72" s="201" t="s">
        <v>2488</v>
      </c>
      <c r="C72" s="201" t="s">
        <v>2447</v>
      </c>
    </row>
    <row r="73" ht="16.5" spans="2:3">
      <c r="B73" s="201" t="s">
        <v>2489</v>
      </c>
      <c r="C73" s="201" t="s">
        <v>2447</v>
      </c>
    </row>
    <row r="74" ht="16.5" spans="2:3">
      <c r="B74" s="199" t="s">
        <v>2490</v>
      </c>
      <c r="C74" s="199" t="s">
        <v>2446</v>
      </c>
    </row>
    <row r="75" ht="16.5" spans="2:3">
      <c r="B75" s="199" t="s">
        <v>2491</v>
      </c>
      <c r="C75" s="199" t="s">
        <v>2446</v>
      </c>
    </row>
    <row r="76" ht="16.5" spans="2:3">
      <c r="B76" s="201" t="s">
        <v>2492</v>
      </c>
      <c r="C76" s="201" t="s">
        <v>2447</v>
      </c>
    </row>
    <row r="77" ht="16.5" spans="2:3">
      <c r="B77" s="199" t="s">
        <v>2493</v>
      </c>
      <c r="C77" s="199" t="s">
        <v>2446</v>
      </c>
    </row>
    <row r="78" ht="16.5" spans="2:3">
      <c r="B78" s="199" t="s">
        <v>2494</v>
      </c>
      <c r="C78" s="199" t="s">
        <v>2446</v>
      </c>
    </row>
    <row r="79" ht="16.5" spans="2:3">
      <c r="B79" s="201" t="s">
        <v>2495</v>
      </c>
      <c r="C79" s="201" t="s">
        <v>2447</v>
      </c>
    </row>
    <row r="80" ht="16.5" spans="2:3">
      <c r="B80" s="199" t="s">
        <v>2496</v>
      </c>
      <c r="C80" s="199" t="s">
        <v>2446</v>
      </c>
    </row>
    <row r="81" ht="16.5" spans="2:3">
      <c r="B81" s="199" t="s">
        <v>2497</v>
      </c>
      <c r="C81" s="199" t="s">
        <v>2446</v>
      </c>
    </row>
    <row r="82" ht="16.5" spans="2:3">
      <c r="B82" s="201" t="s">
        <v>2498</v>
      </c>
      <c r="C82" s="201" t="s">
        <v>2447</v>
      </c>
    </row>
    <row r="83" ht="16.5" spans="2:3">
      <c r="B83" s="201" t="s">
        <v>2499</v>
      </c>
      <c r="C83" s="201" t="s">
        <v>2447</v>
      </c>
    </row>
    <row r="84" ht="16.5" spans="2:3">
      <c r="B84" s="199" t="s">
        <v>2500</v>
      </c>
      <c r="C84" s="199" t="s">
        <v>2446</v>
      </c>
    </row>
    <row r="85" ht="16.5" spans="2:3">
      <c r="B85" s="201" t="s">
        <v>2501</v>
      </c>
      <c r="C85" s="201" t="s">
        <v>2447</v>
      </c>
    </row>
    <row r="86" ht="16.5" spans="2:3">
      <c r="B86" s="201" t="s">
        <v>2502</v>
      </c>
      <c r="C86" s="201" t="s">
        <v>2447</v>
      </c>
    </row>
    <row r="87" ht="16.5" spans="2:3">
      <c r="B87" s="199" t="s">
        <v>2503</v>
      </c>
      <c r="C87" s="199" t="s">
        <v>2446</v>
      </c>
    </row>
    <row r="88" ht="16.5" spans="2:3">
      <c r="B88" s="201" t="s">
        <v>2504</v>
      </c>
      <c r="C88" s="201" t="s">
        <v>2447</v>
      </c>
    </row>
    <row r="89" ht="16.5" spans="2:3">
      <c r="B89" s="201" t="s">
        <v>2505</v>
      </c>
      <c r="C89" s="201" t="s">
        <v>2447</v>
      </c>
    </row>
    <row r="90" ht="16.5" spans="2:3">
      <c r="B90" s="201" t="s">
        <v>2506</v>
      </c>
      <c r="C90" s="201" t="s">
        <v>2447</v>
      </c>
    </row>
    <row r="91" ht="16.5" spans="2:3">
      <c r="B91" s="201" t="s">
        <v>2507</v>
      </c>
      <c r="C91" s="201" t="s">
        <v>2447</v>
      </c>
    </row>
    <row r="92" ht="16.5" spans="2:3">
      <c r="B92" s="201" t="s">
        <v>2508</v>
      </c>
      <c r="C92" s="201" t="s">
        <v>2447</v>
      </c>
    </row>
    <row r="93" ht="16.5" spans="2:3">
      <c r="B93" s="199" t="s">
        <v>2509</v>
      </c>
      <c r="C93" s="199" t="s">
        <v>2446</v>
      </c>
    </row>
    <row r="94" ht="16.5" spans="2:3">
      <c r="B94" s="201" t="s">
        <v>2510</v>
      </c>
      <c r="C94" s="201" t="s">
        <v>2447</v>
      </c>
    </row>
    <row r="95" ht="16.5" spans="2:3">
      <c r="B95" s="201" t="s">
        <v>2511</v>
      </c>
      <c r="C95" s="201" t="s">
        <v>2447</v>
      </c>
    </row>
    <row r="96" ht="16.5" spans="2:3">
      <c r="B96" s="201" t="s">
        <v>2512</v>
      </c>
      <c r="C96" s="201" t="s">
        <v>2447</v>
      </c>
    </row>
    <row r="97" ht="16.5" spans="2:3">
      <c r="B97" s="201" t="s">
        <v>2513</v>
      </c>
      <c r="C97" s="201" t="s">
        <v>2447</v>
      </c>
    </row>
    <row r="98" ht="16.5" spans="2:3">
      <c r="B98" s="201" t="s">
        <v>2514</v>
      </c>
      <c r="C98" s="201" t="s">
        <v>2447</v>
      </c>
    </row>
    <row r="99" ht="16.5" spans="2:3">
      <c r="B99" s="199" t="s">
        <v>2515</v>
      </c>
      <c r="C99" s="199" t="s">
        <v>2446</v>
      </c>
    </row>
    <row r="100" ht="16.5" spans="2:3">
      <c r="B100" s="201" t="s">
        <v>2516</v>
      </c>
      <c r="C100" s="201" t="s">
        <v>2447</v>
      </c>
    </row>
    <row r="101" ht="16.5" spans="2:3">
      <c r="B101" s="201" t="s">
        <v>2517</v>
      </c>
      <c r="C101" s="201" t="s">
        <v>2447</v>
      </c>
    </row>
    <row r="102" ht="16.5" spans="2:3">
      <c r="B102" s="201" t="s">
        <v>2518</v>
      </c>
      <c r="C102" s="201" t="s">
        <v>2447</v>
      </c>
    </row>
    <row r="103" ht="16.5" spans="2:3">
      <c r="B103" s="201" t="s">
        <v>2519</v>
      </c>
      <c r="C103" s="201" t="s">
        <v>2447</v>
      </c>
    </row>
    <row r="104" ht="16.5" spans="2:3">
      <c r="B104" s="199" t="s">
        <v>2520</v>
      </c>
      <c r="C104" s="199" t="s">
        <v>2446</v>
      </c>
    </row>
    <row r="105" ht="16.5" spans="2:3">
      <c r="B105" s="201" t="s">
        <v>2521</v>
      </c>
      <c r="C105" s="201" t="s">
        <v>2447</v>
      </c>
    </row>
    <row r="106" ht="16.5" spans="2:3">
      <c r="B106" s="201" t="s">
        <v>2522</v>
      </c>
      <c r="C106" s="201" t="s">
        <v>2447</v>
      </c>
    </row>
    <row r="107" ht="16.5" spans="2:3">
      <c r="B107" s="199" t="s">
        <v>2523</v>
      </c>
      <c r="C107" s="199" t="s">
        <v>2446</v>
      </c>
    </row>
    <row r="108" ht="16.5" spans="2:3">
      <c r="B108" s="201" t="s">
        <v>2524</v>
      </c>
      <c r="C108" s="201" t="s">
        <v>2447</v>
      </c>
    </row>
    <row r="109" ht="16.5" spans="2:3">
      <c r="B109" s="201" t="s">
        <v>2525</v>
      </c>
      <c r="C109" s="201" t="s">
        <v>2447</v>
      </c>
    </row>
    <row r="110" ht="16.5" spans="2:3">
      <c r="B110" s="201" t="s">
        <v>2526</v>
      </c>
      <c r="C110" s="201" t="s">
        <v>2447</v>
      </c>
    </row>
    <row r="111" ht="16.5" spans="2:3">
      <c r="B111" s="201" t="s">
        <v>2527</v>
      </c>
      <c r="C111" s="201" t="s">
        <v>2447</v>
      </c>
    </row>
    <row r="112" ht="16.5" spans="2:3">
      <c r="B112" s="201" t="s">
        <v>2528</v>
      </c>
      <c r="C112" s="201" t="s">
        <v>2447</v>
      </c>
    </row>
    <row r="113" ht="16.5" spans="2:3">
      <c r="B113" s="199" t="s">
        <v>2486</v>
      </c>
      <c r="C113" s="199" t="s">
        <v>2446</v>
      </c>
    </row>
    <row r="114" ht="16.5" spans="2:3">
      <c r="B114" s="201" t="s">
        <v>2529</v>
      </c>
      <c r="C114" s="201" t="s">
        <v>2447</v>
      </c>
    </row>
    <row r="115" ht="16.5" spans="2:3">
      <c r="B115" s="201" t="s">
        <v>2530</v>
      </c>
      <c r="C115" s="201" t="s">
        <v>2447</v>
      </c>
    </row>
    <row r="116" ht="16.5" spans="2:3">
      <c r="B116" s="201" t="s">
        <v>2531</v>
      </c>
      <c r="C116" s="201" t="s">
        <v>2447</v>
      </c>
    </row>
    <row r="117" ht="16.5" spans="2:3">
      <c r="B117" s="201" t="s">
        <v>2532</v>
      </c>
      <c r="C117" s="201" t="s">
        <v>2447</v>
      </c>
    </row>
    <row r="118" ht="16.5" spans="2:3">
      <c r="B118" s="201" t="s">
        <v>2533</v>
      </c>
      <c r="C118" s="201" t="s">
        <v>2447</v>
      </c>
    </row>
    <row r="119" ht="16.5" spans="2:3">
      <c r="B119" s="201" t="s">
        <v>2534</v>
      </c>
      <c r="C119" s="201" t="s">
        <v>2447</v>
      </c>
    </row>
    <row r="120" ht="16.5" spans="2:3">
      <c r="B120" s="201" t="s">
        <v>2535</v>
      </c>
      <c r="C120" s="201" t="s">
        <v>2447</v>
      </c>
    </row>
    <row r="121" ht="16.5" spans="2:3">
      <c r="B121" s="201" t="s">
        <v>2536</v>
      </c>
      <c r="C121" s="201" t="s">
        <v>2447</v>
      </c>
    </row>
    <row r="122" ht="16.5" spans="2:3">
      <c r="B122" s="201" t="s">
        <v>2537</v>
      </c>
      <c r="C122" s="201" t="s">
        <v>2447</v>
      </c>
    </row>
    <row r="123" ht="16.5" spans="2:3">
      <c r="B123" s="201" t="s">
        <v>2538</v>
      </c>
      <c r="C123" s="201" t="s">
        <v>2447</v>
      </c>
    </row>
    <row r="124" ht="16.5" spans="2:3">
      <c r="B124" s="201" t="s">
        <v>2539</v>
      </c>
      <c r="C124" s="201" t="s">
        <v>2447</v>
      </c>
    </row>
    <row r="125" ht="16.5" spans="2:3">
      <c r="B125" s="201" t="s">
        <v>2540</v>
      </c>
      <c r="C125" s="201" t="s">
        <v>2447</v>
      </c>
    </row>
    <row r="126" ht="16.5" spans="2:3">
      <c r="B126" s="201" t="s">
        <v>2541</v>
      </c>
      <c r="C126" s="201" t="s">
        <v>2447</v>
      </c>
    </row>
    <row r="127" ht="16.5" spans="2:3">
      <c r="B127" s="201" t="s">
        <v>2542</v>
      </c>
      <c r="C127" s="201" t="s">
        <v>2447</v>
      </c>
    </row>
    <row r="128" ht="16.5" spans="2:3">
      <c r="B128" s="201" t="s">
        <v>2543</v>
      </c>
      <c r="C128" s="201" t="s">
        <v>2447</v>
      </c>
    </row>
    <row r="129" ht="16.5" spans="2:3">
      <c r="B129" s="201" t="s">
        <v>2544</v>
      </c>
      <c r="C129" s="201" t="s">
        <v>2447</v>
      </c>
    </row>
    <row r="130" ht="16.5" spans="2:3">
      <c r="B130" s="201" t="s">
        <v>2545</v>
      </c>
      <c r="C130" s="201" t="s">
        <v>2447</v>
      </c>
    </row>
    <row r="131" ht="16.5" spans="2:3">
      <c r="B131" s="201" t="s">
        <v>2546</v>
      </c>
      <c r="C131" s="201" t="s">
        <v>2447</v>
      </c>
    </row>
    <row r="132" ht="16.5" spans="2:3">
      <c r="B132" s="201" t="s">
        <v>2547</v>
      </c>
      <c r="C132" s="201" t="s">
        <v>2447</v>
      </c>
    </row>
    <row r="133" ht="16.5" spans="2:3">
      <c r="B133" s="201" t="s">
        <v>2548</v>
      </c>
      <c r="C133" s="201" t="s">
        <v>2447</v>
      </c>
    </row>
    <row r="134" ht="16.5" spans="2:3">
      <c r="B134" s="201" t="s">
        <v>2549</v>
      </c>
      <c r="C134" s="201" t="s">
        <v>2447</v>
      </c>
    </row>
    <row r="135" ht="16.5" spans="2:3">
      <c r="B135" s="201" t="s">
        <v>2550</v>
      </c>
      <c r="C135" s="201" t="s">
        <v>2447</v>
      </c>
    </row>
    <row r="136" ht="16.5" spans="2:3">
      <c r="B136" s="201" t="s">
        <v>2551</v>
      </c>
      <c r="C136" s="201" t="s">
        <v>2447</v>
      </c>
    </row>
    <row r="137" ht="16.5" spans="2:3">
      <c r="B137" s="201" t="s">
        <v>2552</v>
      </c>
      <c r="C137" s="201" t="s">
        <v>2447</v>
      </c>
    </row>
    <row r="138" ht="16.5" spans="2:3">
      <c r="B138" s="201" t="s">
        <v>2553</v>
      </c>
      <c r="C138" s="201" t="s">
        <v>2447</v>
      </c>
    </row>
    <row r="139" ht="16.5" spans="2:3">
      <c r="B139" s="201" t="s">
        <v>2554</v>
      </c>
      <c r="C139" s="201" t="s">
        <v>2447</v>
      </c>
    </row>
    <row r="140" ht="16.5" spans="2:3">
      <c r="B140" s="201" t="s">
        <v>2555</v>
      </c>
      <c r="C140" s="201" t="s">
        <v>2447</v>
      </c>
    </row>
    <row r="141" ht="16.5" spans="2:3">
      <c r="B141" s="201" t="s">
        <v>2556</v>
      </c>
      <c r="C141" s="201" t="s">
        <v>2447</v>
      </c>
    </row>
    <row r="142" ht="16.5" spans="2:3">
      <c r="B142" s="201" t="s">
        <v>2557</v>
      </c>
      <c r="C142" s="201" t="s">
        <v>2447</v>
      </c>
    </row>
    <row r="143" ht="16.5" spans="2:3">
      <c r="B143" s="201" t="s">
        <v>2558</v>
      </c>
      <c r="C143" s="201" t="s">
        <v>2447</v>
      </c>
    </row>
    <row r="144" ht="16.5" spans="2:3">
      <c r="B144" s="201" t="s">
        <v>2559</v>
      </c>
      <c r="C144" s="201" t="s">
        <v>2447</v>
      </c>
    </row>
    <row r="145" ht="16.5" spans="2:3">
      <c r="B145" s="201" t="s">
        <v>2560</v>
      </c>
      <c r="C145" s="201" t="s">
        <v>2447</v>
      </c>
    </row>
    <row r="146" ht="16.5" spans="2:3">
      <c r="B146" s="201" t="s">
        <v>2561</v>
      </c>
      <c r="C146" s="201" t="s">
        <v>2447</v>
      </c>
    </row>
    <row r="147" ht="16.5" spans="2:3">
      <c r="B147" s="201" t="s">
        <v>2562</v>
      </c>
      <c r="C147" s="201" t="s">
        <v>2447</v>
      </c>
    </row>
    <row r="148" ht="16.5" spans="2:3">
      <c r="B148" s="201" t="s">
        <v>2563</v>
      </c>
      <c r="C148" s="201" t="s">
        <v>2447</v>
      </c>
    </row>
    <row r="149" ht="16.5" spans="2:3">
      <c r="B149" s="201" t="s">
        <v>2564</v>
      </c>
      <c r="C149" s="201" t="s">
        <v>2447</v>
      </c>
    </row>
    <row r="150" ht="16.5" spans="2:3">
      <c r="B150" s="201" t="s">
        <v>2565</v>
      </c>
      <c r="C150" s="201" t="s">
        <v>2447</v>
      </c>
    </row>
    <row r="151" ht="16.5" spans="2:3">
      <c r="B151" s="201" t="s">
        <v>2566</v>
      </c>
      <c r="C151" s="201" t="s">
        <v>2447</v>
      </c>
    </row>
    <row r="152" ht="16.5" spans="2:3">
      <c r="B152" s="201" t="s">
        <v>2567</v>
      </c>
      <c r="C152" s="201" t="s">
        <v>2447</v>
      </c>
    </row>
    <row r="153" ht="16.5" spans="2:3">
      <c r="B153" s="201" t="s">
        <v>2568</v>
      </c>
      <c r="C153" s="201" t="s">
        <v>2447</v>
      </c>
    </row>
    <row r="154" ht="16.5" spans="2:3">
      <c r="B154" s="201" t="s">
        <v>2569</v>
      </c>
      <c r="C154" s="201" t="s">
        <v>2447</v>
      </c>
    </row>
    <row r="155" ht="16.5" spans="2:3">
      <c r="B155" s="201" t="s">
        <v>2570</v>
      </c>
      <c r="C155" s="201" t="s">
        <v>2447</v>
      </c>
    </row>
    <row r="156" ht="16.5" spans="2:3">
      <c r="B156" s="201" t="s">
        <v>2571</v>
      </c>
      <c r="C156" s="201" t="s">
        <v>2447</v>
      </c>
    </row>
    <row r="157" ht="16.5" spans="2:3">
      <c r="B157" s="201" t="s">
        <v>2572</v>
      </c>
      <c r="C157" s="201" t="s">
        <v>2447</v>
      </c>
    </row>
    <row r="158" ht="16.5" spans="2:3">
      <c r="B158" s="201" t="s">
        <v>2573</v>
      </c>
      <c r="C158" s="201" t="s">
        <v>2447</v>
      </c>
    </row>
    <row r="159" ht="16.5" spans="2:3">
      <c r="B159" s="201" t="s">
        <v>2574</v>
      </c>
      <c r="C159" s="201" t="s">
        <v>2447</v>
      </c>
    </row>
    <row r="160" ht="16.5" spans="2:3">
      <c r="B160" s="201" t="s">
        <v>2575</v>
      </c>
      <c r="C160" s="201" t="s">
        <v>2447</v>
      </c>
    </row>
    <row r="161" ht="16.5" spans="2:3">
      <c r="B161" s="201" t="s">
        <v>2576</v>
      </c>
      <c r="C161" s="201" t="s">
        <v>2447</v>
      </c>
    </row>
    <row r="162" ht="16.5" spans="2:3">
      <c r="B162" s="201" t="s">
        <v>2577</v>
      </c>
      <c r="C162" s="201" t="s">
        <v>2447</v>
      </c>
    </row>
    <row r="163" ht="16.5" spans="2:3">
      <c r="B163" s="201" t="s">
        <v>2578</v>
      </c>
      <c r="C163" s="201" t="s">
        <v>2447</v>
      </c>
    </row>
    <row r="164" ht="16.5" spans="2:3">
      <c r="B164" s="201" t="s">
        <v>2579</v>
      </c>
      <c r="C164" s="201" t="s">
        <v>2447</v>
      </c>
    </row>
    <row r="165" ht="16.5" spans="2:3">
      <c r="B165" s="201" t="s">
        <v>2580</v>
      </c>
      <c r="C165" s="201" t="s">
        <v>2447</v>
      </c>
    </row>
    <row r="166" ht="16.5" spans="2:3">
      <c r="B166" s="201" t="s">
        <v>2581</v>
      </c>
      <c r="C166" s="201" t="s">
        <v>2447</v>
      </c>
    </row>
    <row r="167" ht="16.5" spans="2:3">
      <c r="B167" s="201" t="s">
        <v>2582</v>
      </c>
      <c r="C167" s="201" t="s">
        <v>2447</v>
      </c>
    </row>
    <row r="168" ht="16.5" spans="2:3">
      <c r="B168" s="201" t="s">
        <v>2583</v>
      </c>
      <c r="C168" s="201" t="s">
        <v>2447</v>
      </c>
    </row>
    <row r="169" ht="16.5" spans="2:3">
      <c r="B169" s="201" t="s">
        <v>2584</v>
      </c>
      <c r="C169" s="201" t="s">
        <v>2447</v>
      </c>
    </row>
    <row r="170" ht="16.5" spans="2:3">
      <c r="B170" s="201" t="s">
        <v>2585</v>
      </c>
      <c r="C170" s="201" t="s">
        <v>2447</v>
      </c>
    </row>
    <row r="171" ht="16.5" spans="2:3">
      <c r="B171" s="201" t="s">
        <v>2586</v>
      </c>
      <c r="C171" s="201" t="s">
        <v>2447</v>
      </c>
    </row>
    <row r="172" ht="16.5" spans="2:3">
      <c r="B172" s="201" t="s">
        <v>2587</v>
      </c>
      <c r="C172" s="201" t="s">
        <v>2447</v>
      </c>
    </row>
    <row r="173" ht="16.5" spans="2:3">
      <c r="B173" s="201" t="s">
        <v>2588</v>
      </c>
      <c r="C173" s="201" t="s">
        <v>2447</v>
      </c>
    </row>
    <row r="174" ht="16.5" spans="2:3">
      <c r="B174" s="201" t="s">
        <v>2589</v>
      </c>
      <c r="C174" s="201" t="s">
        <v>2447</v>
      </c>
    </row>
    <row r="175" ht="16.5" spans="2:3">
      <c r="B175" s="201" t="s">
        <v>2590</v>
      </c>
      <c r="C175" s="201" t="s">
        <v>2447</v>
      </c>
    </row>
    <row r="176" ht="16.5" spans="2:3">
      <c r="B176" s="201" t="s">
        <v>2591</v>
      </c>
      <c r="C176" s="201" t="s">
        <v>2447</v>
      </c>
    </row>
    <row r="177" ht="16.5" spans="2:3">
      <c r="B177" s="199" t="s">
        <v>2592</v>
      </c>
      <c r="C177" s="199" t="s">
        <v>2446</v>
      </c>
    </row>
    <row r="178" ht="16.5" spans="2:3">
      <c r="B178" s="201" t="s">
        <v>2593</v>
      </c>
      <c r="C178" s="201" t="s">
        <v>2447</v>
      </c>
    </row>
    <row r="179" ht="16.5" spans="2:3">
      <c r="B179" s="201" t="s">
        <v>2594</v>
      </c>
      <c r="C179" s="201" t="s">
        <v>2447</v>
      </c>
    </row>
    <row r="180" ht="16.5" spans="2:3">
      <c r="B180" s="201" t="s">
        <v>2595</v>
      </c>
      <c r="C180" s="201" t="s">
        <v>2447</v>
      </c>
    </row>
    <row r="181" ht="16.5" spans="2:3">
      <c r="B181" s="201" t="s">
        <v>2596</v>
      </c>
      <c r="C181" s="201" t="s">
        <v>2447</v>
      </c>
    </row>
    <row r="182" ht="16.5" spans="2:3">
      <c r="B182" s="199" t="s">
        <v>2597</v>
      </c>
      <c r="C182" s="199" t="s">
        <v>2446</v>
      </c>
    </row>
    <row r="183" ht="16.5" spans="2:3">
      <c r="B183" s="201" t="s">
        <v>2598</v>
      </c>
      <c r="C183" s="201" t="s">
        <v>2447</v>
      </c>
    </row>
    <row r="184" ht="16.5" spans="2:3">
      <c r="B184" s="201" t="s">
        <v>2599</v>
      </c>
      <c r="C184" s="201" t="s">
        <v>2447</v>
      </c>
    </row>
    <row r="185" ht="16.5" spans="2:3">
      <c r="B185" s="201" t="s">
        <v>2600</v>
      </c>
      <c r="C185" s="201" t="s">
        <v>2447</v>
      </c>
    </row>
    <row r="186" ht="16.5" spans="2:3">
      <c r="B186" s="201" t="s">
        <v>2601</v>
      </c>
      <c r="C186" s="201" t="s">
        <v>2447</v>
      </c>
    </row>
    <row r="187" ht="16.5" spans="2:3">
      <c r="B187" s="201" t="s">
        <v>2602</v>
      </c>
      <c r="C187" s="201" t="s">
        <v>2447</v>
      </c>
    </row>
    <row r="188" ht="16.5" spans="2:3">
      <c r="B188" s="201" t="s">
        <v>2603</v>
      </c>
      <c r="C188" s="201" t="s">
        <v>2447</v>
      </c>
    </row>
    <row r="189" ht="16.5" spans="2:3">
      <c r="B189" s="201" t="s">
        <v>2604</v>
      </c>
      <c r="C189" s="201" t="s">
        <v>2447</v>
      </c>
    </row>
    <row r="190" ht="16.5" spans="2:3">
      <c r="B190" s="201" t="s">
        <v>2605</v>
      </c>
      <c r="C190" s="201" t="s">
        <v>2447</v>
      </c>
    </row>
    <row r="191" ht="16.5" spans="2:3">
      <c r="B191" s="201" t="s">
        <v>2606</v>
      </c>
      <c r="C191" s="201" t="s">
        <v>2447</v>
      </c>
    </row>
    <row r="192" ht="16.5" spans="2:3">
      <c r="B192" s="201" t="s">
        <v>2607</v>
      </c>
      <c r="C192" s="201" t="s">
        <v>2447</v>
      </c>
    </row>
    <row r="193" ht="16.5" spans="2:3">
      <c r="B193" s="201" t="s">
        <v>2608</v>
      </c>
      <c r="C193" s="201" t="s">
        <v>2447</v>
      </c>
    </row>
    <row r="194" ht="16.5" spans="2:3">
      <c r="B194" s="201" t="s">
        <v>2609</v>
      </c>
      <c r="C194" s="201" t="s">
        <v>2447</v>
      </c>
    </row>
    <row r="195" ht="16.5" spans="2:3">
      <c r="B195" s="201" t="s">
        <v>2610</v>
      </c>
      <c r="C195" s="201" t="s">
        <v>2447</v>
      </c>
    </row>
    <row r="196" ht="16.5" spans="2:3">
      <c r="B196" s="201" t="s">
        <v>2611</v>
      </c>
      <c r="C196" s="201" t="s">
        <v>2447</v>
      </c>
    </row>
    <row r="197" ht="16.5" spans="2:3">
      <c r="B197" s="201" t="s">
        <v>2612</v>
      </c>
      <c r="C197" s="201" t="s">
        <v>2447</v>
      </c>
    </row>
    <row r="198" ht="16.5" spans="2:3">
      <c r="B198" s="201" t="s">
        <v>2613</v>
      </c>
      <c r="C198" s="201" t="s">
        <v>2447</v>
      </c>
    </row>
    <row r="199" ht="16.5" spans="2:3">
      <c r="B199" s="201" t="s">
        <v>2614</v>
      </c>
      <c r="C199" s="201" t="s">
        <v>2447</v>
      </c>
    </row>
    <row r="200" ht="16.5" spans="2:3">
      <c r="B200" s="201" t="s">
        <v>2615</v>
      </c>
      <c r="C200" s="201" t="s">
        <v>2447</v>
      </c>
    </row>
    <row r="201" ht="16.5" spans="2:3">
      <c r="B201" s="201" t="s">
        <v>2616</v>
      </c>
      <c r="C201" s="201" t="s">
        <v>2447</v>
      </c>
    </row>
    <row r="202" ht="16.5" spans="2:3">
      <c r="B202" s="201" t="s">
        <v>2617</v>
      </c>
      <c r="C202" s="201" t="s">
        <v>2447</v>
      </c>
    </row>
    <row r="203" ht="16.5" spans="2:3">
      <c r="B203" s="201" t="s">
        <v>2618</v>
      </c>
      <c r="C203" s="201" t="s">
        <v>2447</v>
      </c>
    </row>
    <row r="204" ht="16.5" spans="2:3">
      <c r="B204" s="201" t="s">
        <v>2619</v>
      </c>
      <c r="C204" s="201" t="s">
        <v>2447</v>
      </c>
    </row>
    <row r="205" ht="16.5" spans="2:3">
      <c r="B205" s="201" t="s">
        <v>2620</v>
      </c>
      <c r="C205" s="201" t="s">
        <v>2447</v>
      </c>
    </row>
    <row r="206" ht="16.5" spans="2:3">
      <c r="B206" s="201" t="s">
        <v>2621</v>
      </c>
      <c r="C206" s="201" t="s">
        <v>2447</v>
      </c>
    </row>
    <row r="207" ht="16.5" spans="2:3">
      <c r="B207" s="201" t="s">
        <v>2622</v>
      </c>
      <c r="C207" s="201" t="s">
        <v>2447</v>
      </c>
    </row>
    <row r="208" ht="16.5" spans="2:3">
      <c r="B208" s="201" t="s">
        <v>2623</v>
      </c>
      <c r="C208" s="201" t="s">
        <v>2447</v>
      </c>
    </row>
    <row r="209" ht="16.5" spans="2:3">
      <c r="B209" s="201" t="s">
        <v>2624</v>
      </c>
      <c r="C209" s="201" t="s">
        <v>2447</v>
      </c>
    </row>
    <row r="210" ht="16.5" spans="2:3">
      <c r="B210" s="201" t="s">
        <v>2625</v>
      </c>
      <c r="C210" s="201" t="s">
        <v>2447</v>
      </c>
    </row>
    <row r="211" ht="16.5" spans="2:3">
      <c r="B211" s="201" t="s">
        <v>2626</v>
      </c>
      <c r="C211" s="201" t="s">
        <v>2447</v>
      </c>
    </row>
    <row r="212" ht="16.5" spans="2:3">
      <c r="B212" s="201" t="s">
        <v>2627</v>
      </c>
      <c r="C212" s="201" t="s">
        <v>2447</v>
      </c>
    </row>
    <row r="213" ht="16.5" spans="2:3">
      <c r="B213" s="201" t="s">
        <v>2628</v>
      </c>
      <c r="C213" s="201" t="s">
        <v>2447</v>
      </c>
    </row>
    <row r="214" ht="16.5" spans="2:3">
      <c r="B214" s="201" t="s">
        <v>2629</v>
      </c>
      <c r="C214" s="201" t="s">
        <v>2447</v>
      </c>
    </row>
    <row r="215" ht="16.5" spans="2:3">
      <c r="B215" s="201" t="s">
        <v>2630</v>
      </c>
      <c r="C215" s="201" t="s">
        <v>2447</v>
      </c>
    </row>
    <row r="216" ht="16.5" spans="2:3">
      <c r="B216" s="201" t="s">
        <v>2631</v>
      </c>
      <c r="C216" s="201" t="s">
        <v>2447</v>
      </c>
    </row>
    <row r="217" ht="16.5" spans="2:3">
      <c r="B217" s="201" t="s">
        <v>2632</v>
      </c>
      <c r="C217" s="201" t="s">
        <v>2447</v>
      </c>
    </row>
    <row r="218" ht="16.5" spans="2:3">
      <c r="B218" s="201" t="s">
        <v>2633</v>
      </c>
      <c r="C218" s="201" t="s">
        <v>2447</v>
      </c>
    </row>
    <row r="219" ht="16.5" spans="2:3">
      <c r="B219" s="201" t="s">
        <v>2634</v>
      </c>
      <c r="C219" s="201" t="s">
        <v>2447</v>
      </c>
    </row>
    <row r="220" ht="16.5" spans="2:3">
      <c r="B220" s="201" t="s">
        <v>2635</v>
      </c>
      <c r="C220" s="201" t="s">
        <v>2447</v>
      </c>
    </row>
    <row r="221" ht="16.5" spans="2:3">
      <c r="B221" s="201" t="s">
        <v>2636</v>
      </c>
      <c r="C221" s="201" t="s">
        <v>2447</v>
      </c>
    </row>
    <row r="222" ht="16.5" spans="2:3">
      <c r="B222" s="201" t="s">
        <v>2637</v>
      </c>
      <c r="C222" s="201" t="s">
        <v>2447</v>
      </c>
    </row>
    <row r="223" ht="16.5" spans="2:3">
      <c r="B223" s="201" t="s">
        <v>2638</v>
      </c>
      <c r="C223" s="201" t="s">
        <v>2447</v>
      </c>
    </row>
    <row r="224" ht="16.5" spans="2:3">
      <c r="B224" s="201" t="s">
        <v>2639</v>
      </c>
      <c r="C224" s="201" t="s">
        <v>2447</v>
      </c>
    </row>
    <row r="225" ht="16.5" spans="2:3">
      <c r="B225" s="201" t="s">
        <v>2640</v>
      </c>
      <c r="C225" s="201" t="s">
        <v>2447</v>
      </c>
    </row>
    <row r="226" ht="16.5" spans="2:3">
      <c r="B226" s="201" t="s">
        <v>2641</v>
      </c>
      <c r="C226" s="201" t="s">
        <v>2447</v>
      </c>
    </row>
    <row r="227" ht="16.5" spans="2:3">
      <c r="B227" s="201" t="s">
        <v>2642</v>
      </c>
      <c r="C227" s="201" t="s">
        <v>2447</v>
      </c>
    </row>
    <row r="228" ht="16.5" spans="2:3">
      <c r="B228" s="201" t="s">
        <v>2643</v>
      </c>
      <c r="C228" s="201" t="s">
        <v>2447</v>
      </c>
    </row>
    <row r="229" ht="16.5" spans="2:3">
      <c r="B229" s="201" t="s">
        <v>2644</v>
      </c>
      <c r="C229" s="201" t="s">
        <v>2447</v>
      </c>
    </row>
    <row r="230" ht="16.5" spans="2:3">
      <c r="B230" s="201" t="s">
        <v>2645</v>
      </c>
      <c r="C230" s="201" t="s">
        <v>2447</v>
      </c>
    </row>
    <row r="231" ht="16.5" spans="2:3">
      <c r="B231" s="201" t="s">
        <v>2646</v>
      </c>
      <c r="C231" s="201" t="s">
        <v>2447</v>
      </c>
    </row>
    <row r="232" ht="16.5" spans="2:3">
      <c r="B232" s="201" t="s">
        <v>2647</v>
      </c>
      <c r="C232" s="201" t="s">
        <v>2447</v>
      </c>
    </row>
    <row r="233" ht="16.5" spans="2:3">
      <c r="B233" s="201" t="s">
        <v>2648</v>
      </c>
      <c r="C233" s="201" t="s">
        <v>2447</v>
      </c>
    </row>
    <row r="234" ht="16.5" spans="2:3">
      <c r="B234" s="201" t="s">
        <v>2649</v>
      </c>
      <c r="C234" s="201" t="s">
        <v>2447</v>
      </c>
    </row>
    <row r="235" ht="16.5" spans="2:3">
      <c r="B235" s="201" t="s">
        <v>2650</v>
      </c>
      <c r="C235" s="201" t="s">
        <v>2447</v>
      </c>
    </row>
    <row r="236" ht="16.5" spans="2:3">
      <c r="B236" s="201" t="s">
        <v>2651</v>
      </c>
      <c r="C236" s="201" t="s">
        <v>2447</v>
      </c>
    </row>
    <row r="237" ht="16.5" spans="2:3">
      <c r="B237" s="201" t="s">
        <v>2652</v>
      </c>
      <c r="C237" s="201" t="s">
        <v>2447</v>
      </c>
    </row>
    <row r="238" ht="16.5" spans="2:3">
      <c r="B238" s="201" t="s">
        <v>2653</v>
      </c>
      <c r="C238" s="201" t="s">
        <v>2447</v>
      </c>
    </row>
    <row r="239" ht="16.5" spans="2:3">
      <c r="B239" s="201" t="s">
        <v>2654</v>
      </c>
      <c r="C239" s="201" t="s">
        <v>2447</v>
      </c>
    </row>
    <row r="240" ht="16.5" spans="2:3">
      <c r="B240" s="201" t="s">
        <v>2655</v>
      </c>
      <c r="C240" s="201" t="s">
        <v>2447</v>
      </c>
    </row>
    <row r="241" ht="16.5" spans="2:3">
      <c r="B241" s="201" t="s">
        <v>2656</v>
      </c>
      <c r="C241" s="201" t="s">
        <v>2447</v>
      </c>
    </row>
    <row r="242" ht="16.5" spans="2:3">
      <c r="B242" s="201" t="s">
        <v>2657</v>
      </c>
      <c r="C242" s="201" t="s">
        <v>2447</v>
      </c>
    </row>
    <row r="243" ht="16.5" spans="2:3">
      <c r="B243" s="201" t="s">
        <v>2658</v>
      </c>
      <c r="C243" s="201" t="s">
        <v>2447</v>
      </c>
    </row>
    <row r="244" ht="16.5" spans="2:3">
      <c r="B244" s="201" t="s">
        <v>2659</v>
      </c>
      <c r="C244" s="201" t="s">
        <v>2447</v>
      </c>
    </row>
    <row r="245" ht="16.5" spans="2:3">
      <c r="B245" s="201" t="s">
        <v>2660</v>
      </c>
      <c r="C245" s="201" t="s">
        <v>2447</v>
      </c>
    </row>
    <row r="246" ht="16.5" spans="2:3">
      <c r="B246" s="201" t="s">
        <v>2661</v>
      </c>
      <c r="C246" s="201" t="s">
        <v>2447</v>
      </c>
    </row>
    <row r="247" ht="16.5" spans="2:3">
      <c r="B247" s="201" t="s">
        <v>2662</v>
      </c>
      <c r="C247" s="201" t="s">
        <v>2447</v>
      </c>
    </row>
    <row r="248" ht="16.5" spans="2:3">
      <c r="B248" s="201" t="s">
        <v>2663</v>
      </c>
      <c r="C248" s="201" t="s">
        <v>2447</v>
      </c>
    </row>
    <row r="249" ht="16.5" spans="2:3">
      <c r="B249" s="201" t="s">
        <v>2664</v>
      </c>
      <c r="C249" s="201" t="s">
        <v>2447</v>
      </c>
    </row>
    <row r="250" ht="16.5" spans="2:3">
      <c r="B250" s="201" t="s">
        <v>2665</v>
      </c>
      <c r="C250" s="201" t="s">
        <v>2447</v>
      </c>
    </row>
    <row r="251" ht="16.5" spans="2:3">
      <c r="B251" s="201" t="s">
        <v>2666</v>
      </c>
      <c r="C251" s="201" t="s">
        <v>2447</v>
      </c>
    </row>
    <row r="252" ht="16.5" spans="2:3">
      <c r="B252" s="201" t="s">
        <v>2667</v>
      </c>
      <c r="C252" s="201" t="s">
        <v>2447</v>
      </c>
    </row>
    <row r="253" ht="16.5" spans="2:3">
      <c r="B253" s="201" t="s">
        <v>2668</v>
      </c>
      <c r="C253" s="201" t="s">
        <v>2447</v>
      </c>
    </row>
    <row r="254" ht="16.5" spans="2:3">
      <c r="B254" s="201" t="s">
        <v>2669</v>
      </c>
      <c r="C254" s="201" t="s">
        <v>2447</v>
      </c>
    </row>
    <row r="255" ht="16.5" spans="2:3">
      <c r="B255" s="201" t="s">
        <v>2670</v>
      </c>
      <c r="C255" s="201" t="s">
        <v>2447</v>
      </c>
    </row>
    <row r="256" ht="16.5" spans="2:3">
      <c r="B256" s="201" t="s">
        <v>2671</v>
      </c>
      <c r="C256" s="201" t="s">
        <v>2447</v>
      </c>
    </row>
    <row r="257" ht="16.5" spans="2:3">
      <c r="B257" s="201" t="s">
        <v>2672</v>
      </c>
      <c r="C257" s="201" t="s">
        <v>2447</v>
      </c>
    </row>
    <row r="258" ht="16.5" spans="2:3">
      <c r="B258" s="201" t="s">
        <v>2673</v>
      </c>
      <c r="C258" s="201" t="s">
        <v>2447</v>
      </c>
    </row>
    <row r="259" ht="16.5" spans="2:3">
      <c r="B259" s="201" t="s">
        <v>2674</v>
      </c>
      <c r="C259" s="201" t="s">
        <v>2447</v>
      </c>
    </row>
    <row r="260" ht="16.5" spans="2:3">
      <c r="B260" s="201" t="s">
        <v>2675</v>
      </c>
      <c r="C260" s="201" t="s">
        <v>2447</v>
      </c>
    </row>
    <row r="261" ht="16.5" spans="2:3">
      <c r="B261" s="201" t="s">
        <v>2676</v>
      </c>
      <c r="C261" s="201" t="s">
        <v>2447</v>
      </c>
    </row>
    <row r="262" ht="16.5" spans="2:3">
      <c r="B262" s="201" t="s">
        <v>2677</v>
      </c>
      <c r="C262" s="201" t="s">
        <v>2447</v>
      </c>
    </row>
    <row r="263" ht="16.5" spans="2:3">
      <c r="B263" s="201" t="s">
        <v>2678</v>
      </c>
      <c r="C263" s="201" t="s">
        <v>2447</v>
      </c>
    </row>
    <row r="264" ht="16.5" spans="2:3">
      <c r="B264" s="201" t="s">
        <v>2679</v>
      </c>
      <c r="C264" s="201" t="s">
        <v>2447</v>
      </c>
    </row>
    <row r="265" ht="16.5" spans="2:3">
      <c r="B265" s="201" t="s">
        <v>2680</v>
      </c>
      <c r="C265" s="201" t="s">
        <v>2447</v>
      </c>
    </row>
    <row r="266" ht="16.5" spans="2:3">
      <c r="B266" s="201" t="s">
        <v>2681</v>
      </c>
      <c r="C266" s="201" t="s">
        <v>2447</v>
      </c>
    </row>
    <row r="267" ht="16.5" spans="2:3">
      <c r="B267" s="201" t="s">
        <v>2682</v>
      </c>
      <c r="C267" s="201" t="s">
        <v>2447</v>
      </c>
    </row>
    <row r="268" ht="16.5" spans="2:3">
      <c r="B268" s="201" t="s">
        <v>2683</v>
      </c>
      <c r="C268" s="201" t="s">
        <v>2447</v>
      </c>
    </row>
    <row r="269" ht="16.5" spans="2:3">
      <c r="B269" s="201" t="s">
        <v>2684</v>
      </c>
      <c r="C269" s="201" t="s">
        <v>2447</v>
      </c>
    </row>
    <row r="270" ht="16.5" spans="2:3">
      <c r="B270" s="201" t="s">
        <v>2685</v>
      </c>
      <c r="C270" s="201" t="s">
        <v>2447</v>
      </c>
    </row>
    <row r="271" ht="16.5" spans="2:3">
      <c r="B271" s="201" t="s">
        <v>2686</v>
      </c>
      <c r="C271" s="201" t="s">
        <v>2447</v>
      </c>
    </row>
    <row r="272" ht="16.5" spans="2:3">
      <c r="B272" s="201" t="s">
        <v>2687</v>
      </c>
      <c r="C272" s="201" t="s">
        <v>2447</v>
      </c>
    </row>
    <row r="273" ht="16.5" spans="2:3">
      <c r="B273" s="201" t="s">
        <v>2688</v>
      </c>
      <c r="C273" s="201" t="s">
        <v>2447</v>
      </c>
    </row>
    <row r="274" ht="16.5" spans="2:3">
      <c r="B274" s="201" t="s">
        <v>2689</v>
      </c>
      <c r="C274" s="201" t="s">
        <v>2447</v>
      </c>
    </row>
    <row r="275" ht="16.5" spans="2:3">
      <c r="B275" s="201" t="s">
        <v>2690</v>
      </c>
      <c r="C275" s="201" t="s">
        <v>2447</v>
      </c>
    </row>
    <row r="276" ht="16.5" spans="2:3">
      <c r="B276" s="201" t="s">
        <v>2691</v>
      </c>
      <c r="C276" s="201" t="s">
        <v>2447</v>
      </c>
    </row>
    <row r="277" ht="16.5" spans="2:3">
      <c r="B277" s="201" t="s">
        <v>2692</v>
      </c>
      <c r="C277" s="201" t="s">
        <v>2447</v>
      </c>
    </row>
    <row r="278" ht="16.5" spans="2:3">
      <c r="B278" s="201" t="s">
        <v>2693</v>
      </c>
      <c r="C278" s="201" t="s">
        <v>2447</v>
      </c>
    </row>
    <row r="279" ht="16.5" spans="2:3">
      <c r="B279" s="201" t="s">
        <v>2694</v>
      </c>
      <c r="C279" s="201" t="s">
        <v>2447</v>
      </c>
    </row>
    <row r="280" ht="16.5" spans="2:3">
      <c r="B280" s="201" t="s">
        <v>2695</v>
      </c>
      <c r="C280" s="201" t="s">
        <v>2447</v>
      </c>
    </row>
    <row r="281" ht="16.5" spans="2:3">
      <c r="B281" s="201" t="s">
        <v>2696</v>
      </c>
      <c r="C281" s="201" t="s">
        <v>2447</v>
      </c>
    </row>
    <row r="282" ht="16.5" spans="2:3">
      <c r="B282" s="201" t="s">
        <v>2697</v>
      </c>
      <c r="C282" s="201" t="s">
        <v>2447</v>
      </c>
    </row>
    <row r="283" ht="16.5" spans="2:3">
      <c r="B283" s="201" t="s">
        <v>2698</v>
      </c>
      <c r="C283" s="201" t="s">
        <v>2447</v>
      </c>
    </row>
    <row r="284" ht="16.5" spans="2:3">
      <c r="B284" s="201" t="s">
        <v>2699</v>
      </c>
      <c r="C284" s="201" t="s">
        <v>2447</v>
      </c>
    </row>
    <row r="285" ht="16.5" spans="2:3">
      <c r="B285" s="201" t="s">
        <v>2700</v>
      </c>
      <c r="C285" s="201" t="s">
        <v>2447</v>
      </c>
    </row>
    <row r="286" ht="16.5" spans="2:3">
      <c r="B286" s="201" t="s">
        <v>2701</v>
      </c>
      <c r="C286" s="201" t="s">
        <v>2447</v>
      </c>
    </row>
    <row r="287" ht="16.5" spans="2:3">
      <c r="B287" s="201" t="s">
        <v>2702</v>
      </c>
      <c r="C287" s="201" t="s">
        <v>2447</v>
      </c>
    </row>
    <row r="288" ht="16.5" spans="2:3">
      <c r="B288" s="201" t="s">
        <v>2703</v>
      </c>
      <c r="C288" s="201" t="s">
        <v>2447</v>
      </c>
    </row>
    <row r="289" ht="16.5" spans="2:3">
      <c r="B289" s="201" t="s">
        <v>2704</v>
      </c>
      <c r="C289" s="201" t="s">
        <v>2447</v>
      </c>
    </row>
    <row r="290" ht="16.5" spans="2:3">
      <c r="B290" s="201" t="s">
        <v>2705</v>
      </c>
      <c r="C290" s="201" t="s">
        <v>2447</v>
      </c>
    </row>
    <row r="291" ht="16.5" spans="2:3">
      <c r="B291" s="201" t="s">
        <v>2706</v>
      </c>
      <c r="C291" s="201" t="s">
        <v>2447</v>
      </c>
    </row>
    <row r="292" ht="16.5" spans="2:3">
      <c r="B292" s="201" t="s">
        <v>2707</v>
      </c>
      <c r="C292" s="201" t="s">
        <v>2447</v>
      </c>
    </row>
    <row r="293" ht="16.5" spans="2:3">
      <c r="B293" s="201" t="s">
        <v>2708</v>
      </c>
      <c r="C293" s="201" t="s">
        <v>2447</v>
      </c>
    </row>
    <row r="294" ht="16.5" spans="2:3">
      <c r="B294" s="201" t="s">
        <v>2709</v>
      </c>
      <c r="C294" s="201" t="s">
        <v>2447</v>
      </c>
    </row>
    <row r="295" ht="16.5" spans="2:3">
      <c r="B295" s="201" t="s">
        <v>2710</v>
      </c>
      <c r="C295" s="201" t="s">
        <v>2447</v>
      </c>
    </row>
    <row r="296" ht="16.5" spans="2:3">
      <c r="B296" s="201" t="s">
        <v>2711</v>
      </c>
      <c r="C296" s="201" t="s">
        <v>2447</v>
      </c>
    </row>
    <row r="297" ht="16.5" spans="2:3">
      <c r="B297" s="201" t="s">
        <v>2712</v>
      </c>
      <c r="C297" s="201" t="s">
        <v>2447</v>
      </c>
    </row>
    <row r="298" ht="16.5" spans="2:3">
      <c r="B298" s="201" t="s">
        <v>2713</v>
      </c>
      <c r="C298" s="201" t="s">
        <v>2447</v>
      </c>
    </row>
    <row r="299" ht="16.5" spans="2:3">
      <c r="B299" s="201" t="s">
        <v>2714</v>
      </c>
      <c r="C299" s="201" t="s">
        <v>2447</v>
      </c>
    </row>
    <row r="300" ht="16.5" spans="2:3">
      <c r="B300" s="201" t="s">
        <v>2715</v>
      </c>
      <c r="C300" s="201" t="s">
        <v>2447</v>
      </c>
    </row>
    <row r="301" ht="16.5" spans="2:3">
      <c r="B301" s="201" t="s">
        <v>2716</v>
      </c>
      <c r="C301" s="201" t="s">
        <v>2447</v>
      </c>
    </row>
    <row r="302" ht="16.5" spans="2:3">
      <c r="B302" s="201" t="s">
        <v>2717</v>
      </c>
      <c r="C302" s="201" t="s">
        <v>2447</v>
      </c>
    </row>
    <row r="303" ht="16.5" spans="2:3">
      <c r="B303" s="201" t="s">
        <v>2718</v>
      </c>
      <c r="C303" s="201" t="s">
        <v>2447</v>
      </c>
    </row>
    <row r="304" ht="16.5" spans="2:3">
      <c r="B304" s="201" t="s">
        <v>2719</v>
      </c>
      <c r="C304" s="201" t="s">
        <v>2447</v>
      </c>
    </row>
    <row r="305" ht="16.5" spans="2:3">
      <c r="B305" s="201" t="s">
        <v>2720</v>
      </c>
      <c r="C305" s="201" t="s">
        <v>2447</v>
      </c>
    </row>
    <row r="306" ht="16.5" spans="2:3">
      <c r="B306" s="201" t="s">
        <v>2721</v>
      </c>
      <c r="C306" s="201" t="s">
        <v>2447</v>
      </c>
    </row>
    <row r="307" ht="16.5" spans="2:3">
      <c r="B307" s="201" t="s">
        <v>2722</v>
      </c>
      <c r="C307" s="201" t="s">
        <v>2447</v>
      </c>
    </row>
    <row r="308" ht="16.5" spans="2:3">
      <c r="B308" s="201" t="s">
        <v>2723</v>
      </c>
      <c r="C308" s="201" t="s">
        <v>2447</v>
      </c>
    </row>
    <row r="309" ht="16.5" spans="2:3">
      <c r="B309" s="201" t="s">
        <v>2724</v>
      </c>
      <c r="C309" s="201" t="s">
        <v>2447</v>
      </c>
    </row>
    <row r="310" ht="16.5" spans="2:3">
      <c r="B310" s="201" t="s">
        <v>2725</v>
      </c>
      <c r="C310" s="201" t="s">
        <v>2447</v>
      </c>
    </row>
    <row r="311" ht="16.5" spans="2:3">
      <c r="B311" s="201" t="s">
        <v>2726</v>
      </c>
      <c r="C311" s="201" t="s">
        <v>2447</v>
      </c>
    </row>
    <row r="312" ht="16.5" spans="2:3">
      <c r="B312" s="201" t="s">
        <v>2727</v>
      </c>
      <c r="C312" s="201" t="s">
        <v>2447</v>
      </c>
    </row>
    <row r="313" ht="16.5" spans="2:3">
      <c r="B313" s="201" t="s">
        <v>2728</v>
      </c>
      <c r="C313" s="201" t="s">
        <v>2447</v>
      </c>
    </row>
    <row r="314" ht="16.5" spans="2:3">
      <c r="B314" s="201" t="s">
        <v>2729</v>
      </c>
      <c r="C314" s="201" t="s">
        <v>2447</v>
      </c>
    </row>
    <row r="315" ht="16.5" spans="2:3">
      <c r="B315" s="201" t="s">
        <v>2730</v>
      </c>
      <c r="C315" s="201" t="s">
        <v>2447</v>
      </c>
    </row>
    <row r="316" ht="16.5" spans="2:3">
      <c r="B316" s="201" t="s">
        <v>2731</v>
      </c>
      <c r="C316" s="201" t="s">
        <v>2447</v>
      </c>
    </row>
    <row r="317" ht="16.5" spans="2:3">
      <c r="B317" s="201" t="s">
        <v>2732</v>
      </c>
      <c r="C317" s="201" t="s">
        <v>2447</v>
      </c>
    </row>
    <row r="318" ht="16.5" spans="2:3">
      <c r="B318" s="201" t="s">
        <v>2733</v>
      </c>
      <c r="C318" s="201" t="s">
        <v>2447</v>
      </c>
    </row>
    <row r="319" ht="16.5" spans="2:3">
      <c r="B319" s="201" t="s">
        <v>2734</v>
      </c>
      <c r="C319" s="201" t="s">
        <v>2447</v>
      </c>
    </row>
    <row r="320" ht="16.5" spans="2:3">
      <c r="B320" s="201" t="s">
        <v>2735</v>
      </c>
      <c r="C320" s="201" t="s">
        <v>2447</v>
      </c>
    </row>
    <row r="321" ht="16.5" spans="2:3">
      <c r="B321" s="201" t="s">
        <v>2736</v>
      </c>
      <c r="C321" s="201" t="s">
        <v>2447</v>
      </c>
    </row>
    <row r="322" ht="16.5" spans="2:3">
      <c r="B322" s="201" t="s">
        <v>2737</v>
      </c>
      <c r="C322" s="201" t="s">
        <v>2447</v>
      </c>
    </row>
    <row r="323" ht="16.5" spans="2:3">
      <c r="B323" s="201" t="s">
        <v>2738</v>
      </c>
      <c r="C323" s="201" t="s">
        <v>2447</v>
      </c>
    </row>
    <row r="324" ht="16.5" spans="2:3">
      <c r="B324" s="201" t="s">
        <v>2739</v>
      </c>
      <c r="C324" s="201" t="s">
        <v>2447</v>
      </c>
    </row>
    <row r="325" ht="16.5" spans="2:3">
      <c r="B325" s="201" t="s">
        <v>2740</v>
      </c>
      <c r="C325" s="201" t="s">
        <v>2447</v>
      </c>
    </row>
    <row r="326" ht="16.5" spans="2:3">
      <c r="B326" s="201" t="s">
        <v>2741</v>
      </c>
      <c r="C326" s="201" t="s">
        <v>2447</v>
      </c>
    </row>
    <row r="327" ht="16.5" spans="2:3">
      <c r="B327" s="201" t="s">
        <v>2742</v>
      </c>
      <c r="C327" s="201" t="s">
        <v>2447</v>
      </c>
    </row>
    <row r="328" ht="16.5" spans="2:3">
      <c r="B328" s="201" t="s">
        <v>2743</v>
      </c>
      <c r="C328" s="201" t="s">
        <v>2447</v>
      </c>
    </row>
    <row r="329" ht="16.5" spans="2:3">
      <c r="B329" s="201" t="s">
        <v>2744</v>
      </c>
      <c r="C329" s="201" t="s">
        <v>2447</v>
      </c>
    </row>
    <row r="330" ht="16.5" spans="2:3">
      <c r="B330" s="201" t="s">
        <v>2745</v>
      </c>
      <c r="C330" s="201" t="s">
        <v>2447</v>
      </c>
    </row>
    <row r="331" ht="16.5" spans="2:3">
      <c r="B331" s="201" t="s">
        <v>2746</v>
      </c>
      <c r="C331" s="201" t="s">
        <v>2447</v>
      </c>
    </row>
    <row r="332" ht="16.5" spans="2:3">
      <c r="B332" s="201" t="s">
        <v>2747</v>
      </c>
      <c r="C332" s="201" t="s">
        <v>2447</v>
      </c>
    </row>
    <row r="333" ht="16.5" spans="2:3">
      <c r="B333" s="201" t="s">
        <v>2748</v>
      </c>
      <c r="C333" s="201" t="s">
        <v>2447</v>
      </c>
    </row>
    <row r="334" ht="16.5" spans="2:3">
      <c r="B334" s="201" t="s">
        <v>2749</v>
      </c>
      <c r="C334" s="201" t="s">
        <v>2447</v>
      </c>
    </row>
    <row r="335" ht="16.5" spans="2:3">
      <c r="B335" s="201" t="s">
        <v>2750</v>
      </c>
      <c r="C335" s="201" t="s">
        <v>2447</v>
      </c>
    </row>
    <row r="336" ht="16.5" spans="2:3">
      <c r="B336" s="201" t="s">
        <v>2751</v>
      </c>
      <c r="C336" s="201" t="s">
        <v>2447</v>
      </c>
    </row>
    <row r="337" ht="16.5" spans="2:3">
      <c r="B337" s="201" t="s">
        <v>2752</v>
      </c>
      <c r="C337" s="201" t="s">
        <v>2447</v>
      </c>
    </row>
    <row r="338" ht="16.5" spans="2:3">
      <c r="B338" s="201" t="s">
        <v>2753</v>
      </c>
      <c r="C338" s="201" t="s">
        <v>2447</v>
      </c>
    </row>
    <row r="339" ht="16.5" spans="2:3">
      <c r="B339" s="201" t="s">
        <v>2754</v>
      </c>
      <c r="C339" s="201" t="s">
        <v>2447</v>
      </c>
    </row>
    <row r="340" ht="16.5" spans="2:3">
      <c r="B340" s="201" t="s">
        <v>2755</v>
      </c>
      <c r="C340" s="201" t="s">
        <v>2447</v>
      </c>
    </row>
    <row r="341" ht="16.5" spans="2:3">
      <c r="B341" s="201" t="s">
        <v>2756</v>
      </c>
      <c r="C341" s="201" t="s">
        <v>2447</v>
      </c>
    </row>
    <row r="342" ht="16.5" spans="2:3">
      <c r="B342" s="201" t="s">
        <v>2757</v>
      </c>
      <c r="C342" s="201" t="s">
        <v>2447</v>
      </c>
    </row>
    <row r="343" ht="16.5" spans="2:3">
      <c r="B343" s="201" t="s">
        <v>2758</v>
      </c>
      <c r="C343" s="201" t="s">
        <v>2447</v>
      </c>
    </row>
    <row r="344" ht="16.5" spans="2:3">
      <c r="B344" s="201" t="s">
        <v>2759</v>
      </c>
      <c r="C344" s="201" t="s">
        <v>2447</v>
      </c>
    </row>
    <row r="345" ht="16.5" spans="2:3">
      <c r="B345" s="201" t="s">
        <v>2760</v>
      </c>
      <c r="C345" s="201" t="s">
        <v>2447</v>
      </c>
    </row>
    <row r="346" ht="16.5" spans="2:3">
      <c r="B346" s="201" t="s">
        <v>2761</v>
      </c>
      <c r="C346" s="201" t="s">
        <v>2447</v>
      </c>
    </row>
    <row r="347" ht="16.5" spans="2:3">
      <c r="B347" s="201" t="s">
        <v>2762</v>
      </c>
      <c r="C347" s="201" t="s">
        <v>2447</v>
      </c>
    </row>
    <row r="348" ht="16.5" spans="2:3">
      <c r="B348" s="201" t="s">
        <v>2763</v>
      </c>
      <c r="C348" s="201" t="s">
        <v>2447</v>
      </c>
    </row>
    <row r="349" ht="16.5" spans="2:3">
      <c r="B349" s="201" t="s">
        <v>2764</v>
      </c>
      <c r="C349" s="201" t="s">
        <v>2447</v>
      </c>
    </row>
    <row r="350" ht="16.5" spans="2:3">
      <c r="B350" s="201" t="s">
        <v>2765</v>
      </c>
      <c r="C350" s="201" t="s">
        <v>2447</v>
      </c>
    </row>
    <row r="351" ht="16.5" spans="2:3">
      <c r="B351" s="201" t="s">
        <v>2766</v>
      </c>
      <c r="C351" s="201" t="s">
        <v>2447</v>
      </c>
    </row>
    <row r="352" ht="16.5" spans="2:3">
      <c r="B352" s="201" t="s">
        <v>2767</v>
      </c>
      <c r="C352" s="201" t="s">
        <v>2447</v>
      </c>
    </row>
    <row r="353" ht="16.5" spans="2:3">
      <c r="B353" s="201" t="s">
        <v>2768</v>
      </c>
      <c r="C353" s="201" t="s">
        <v>2447</v>
      </c>
    </row>
    <row r="354" ht="16.5" spans="2:3">
      <c r="B354" s="201" t="s">
        <v>2769</v>
      </c>
      <c r="C354" s="201" t="s">
        <v>2447</v>
      </c>
    </row>
    <row r="355" ht="16.5" spans="2:3">
      <c r="B355" s="201" t="s">
        <v>2770</v>
      </c>
      <c r="C355" s="201" t="s">
        <v>2447</v>
      </c>
    </row>
    <row r="356" ht="16.5" spans="2:3">
      <c r="B356" s="201" t="s">
        <v>2771</v>
      </c>
      <c r="C356" s="201" t="s">
        <v>2447</v>
      </c>
    </row>
    <row r="357" ht="16.5" spans="2:3">
      <c r="B357" s="201" t="s">
        <v>2772</v>
      </c>
      <c r="C357" s="201" t="s">
        <v>2447</v>
      </c>
    </row>
    <row r="358" ht="16.5" spans="2:3">
      <c r="B358" s="201" t="s">
        <v>2773</v>
      </c>
      <c r="C358" s="201" t="s">
        <v>2447</v>
      </c>
    </row>
    <row r="359" ht="16.5" spans="2:3">
      <c r="B359" s="201" t="s">
        <v>2774</v>
      </c>
      <c r="C359" s="201" t="s">
        <v>2447</v>
      </c>
    </row>
    <row r="360" ht="16.5" spans="2:3">
      <c r="B360" s="201" t="s">
        <v>2775</v>
      </c>
      <c r="C360" s="201" t="s">
        <v>2447</v>
      </c>
    </row>
    <row r="361" ht="16.5" spans="2:3">
      <c r="B361" s="201" t="s">
        <v>2776</v>
      </c>
      <c r="C361" s="201" t="s">
        <v>2447</v>
      </c>
    </row>
    <row r="362" ht="16.5" spans="2:3">
      <c r="B362" s="201" t="s">
        <v>2777</v>
      </c>
      <c r="C362" s="201" t="s">
        <v>2447</v>
      </c>
    </row>
    <row r="363" ht="16.5" spans="2:3">
      <c r="B363" s="201" t="s">
        <v>2778</v>
      </c>
      <c r="C363" s="201" t="s">
        <v>2447</v>
      </c>
    </row>
    <row r="364" ht="16.5" spans="2:3">
      <c r="B364" s="201" t="s">
        <v>2779</v>
      </c>
      <c r="C364" s="201" t="s">
        <v>2447</v>
      </c>
    </row>
    <row r="365" ht="16.5" spans="2:3">
      <c r="B365" s="201" t="s">
        <v>2780</v>
      </c>
      <c r="C365" s="201" t="s">
        <v>2447</v>
      </c>
    </row>
    <row r="366" ht="16.5" spans="2:3">
      <c r="B366" s="201" t="s">
        <v>2781</v>
      </c>
      <c r="C366" s="201" t="s">
        <v>2447</v>
      </c>
    </row>
    <row r="367" ht="16.5" spans="2:3">
      <c r="B367" s="201" t="s">
        <v>2782</v>
      </c>
      <c r="C367" s="201" t="s">
        <v>2447</v>
      </c>
    </row>
    <row r="368" ht="16.5" spans="2:3">
      <c r="B368" s="201" t="s">
        <v>2783</v>
      </c>
      <c r="C368" s="201" t="s">
        <v>2447</v>
      </c>
    </row>
    <row r="369" ht="16.5" spans="2:3">
      <c r="B369" s="201" t="s">
        <v>2784</v>
      </c>
      <c r="C369" s="201" t="s">
        <v>2447</v>
      </c>
    </row>
    <row r="370" ht="16.5" spans="2:3">
      <c r="B370" s="201" t="s">
        <v>2785</v>
      </c>
      <c r="C370" s="201" t="s">
        <v>2447</v>
      </c>
    </row>
    <row r="371" ht="16.5" spans="2:3">
      <c r="B371" s="201" t="s">
        <v>2786</v>
      </c>
      <c r="C371" s="201" t="s">
        <v>2447</v>
      </c>
    </row>
    <row r="372" ht="16.5" spans="2:3">
      <c r="B372" s="201" t="s">
        <v>2787</v>
      </c>
      <c r="C372" s="201" t="s">
        <v>2447</v>
      </c>
    </row>
    <row r="373" ht="16.5" spans="2:3">
      <c r="B373" s="201" t="s">
        <v>2788</v>
      </c>
      <c r="C373" s="201" t="s">
        <v>2447</v>
      </c>
    </row>
    <row r="374" ht="16.5" spans="2:3">
      <c r="B374" s="201" t="s">
        <v>2789</v>
      </c>
      <c r="C374" s="201" t="s">
        <v>2447</v>
      </c>
    </row>
    <row r="375" ht="16.5" spans="2:3">
      <c r="B375" s="201" t="s">
        <v>2790</v>
      </c>
      <c r="C375" s="201" t="s">
        <v>2447</v>
      </c>
    </row>
    <row r="376" ht="16.5" spans="2:3">
      <c r="B376" s="201" t="s">
        <v>2791</v>
      </c>
      <c r="C376" s="201" t="s">
        <v>2447</v>
      </c>
    </row>
    <row r="377" ht="16.5" spans="2:3">
      <c r="B377" s="201" t="s">
        <v>2792</v>
      </c>
      <c r="C377" s="201" t="s">
        <v>2447</v>
      </c>
    </row>
    <row r="378" ht="16.5" spans="2:3">
      <c r="B378" s="201" t="s">
        <v>2793</v>
      </c>
      <c r="C378" s="201" t="s">
        <v>2447</v>
      </c>
    </row>
    <row r="379" ht="16.5" spans="2:3">
      <c r="B379" s="201" t="s">
        <v>2794</v>
      </c>
      <c r="C379" s="201" t="s">
        <v>2447</v>
      </c>
    </row>
    <row r="380" ht="16.5" spans="2:3">
      <c r="B380" s="201" t="s">
        <v>2795</v>
      </c>
      <c r="C380" s="201" t="s">
        <v>2447</v>
      </c>
    </row>
    <row r="381" ht="16.5" spans="2:3">
      <c r="B381" s="201" t="s">
        <v>2796</v>
      </c>
      <c r="C381" s="201" t="s">
        <v>2447</v>
      </c>
    </row>
    <row r="382" ht="16.5" spans="2:3">
      <c r="B382" s="201" t="s">
        <v>2797</v>
      </c>
      <c r="C382" s="201" t="s">
        <v>2447</v>
      </c>
    </row>
    <row r="383" ht="16.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M470" sqref="M470"/>
    </sheetView>
  </sheetViews>
  <sheetFormatPr defaultColWidth="8.75454545454545" defaultRowHeight="14.5"/>
  <cols>
    <col min="1" max="1" width="8.75454545454545" style="86"/>
    <col min="2" max="2" width="10.5" style="87" customWidth="1"/>
    <col min="3" max="3" width="12.8727272727273" style="87" customWidth="1"/>
    <col min="4" max="4" width="18.1272727272727" style="82" customWidth="1"/>
    <col min="5" max="5" width="18.1272727272727" style="82" customWidth="1" outlineLevel="1"/>
    <col min="6" max="6" width="22.2545454545455" style="88" customWidth="1" outlineLevel="1"/>
    <col min="7" max="7" width="16.3727272727273" style="88" customWidth="1" outlineLevel="1"/>
    <col min="8" max="8" width="15.1272727272727" style="89" customWidth="1"/>
    <col min="9" max="10" width="13.5" style="90" customWidth="1"/>
    <col min="11" max="11" width="12.3727272727273" style="90" customWidth="1" outlineLevel="1"/>
    <col min="12" max="12" width="12.3727272727273" style="88" customWidth="1" outlineLevel="1"/>
    <col min="13" max="13" width="47.5" style="88" customWidth="1" outlineLevel="1"/>
    <col min="14" max="14" width="12.3727272727273" style="90" customWidth="1" outlineLevel="1"/>
    <col min="15" max="15" width="40" style="88" customWidth="1" outlineLevel="1"/>
    <col min="16" max="22" width="12.3727272727273" style="90" customWidth="1" outlineLevel="1"/>
    <col min="23" max="23" width="61.3727272727273"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454545454545"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1500720.94</v>
      </c>
      <c r="I4" s="106">
        <f t="shared" ref="I4:J4" si="0">Y4+AB4+AE4+AH4+AK4+AN4+AQ4+AT4+AW4+AZ4+BC4+BF4</f>
        <v>1326474.36465753</v>
      </c>
      <c r="J4" s="106">
        <f t="shared" si="0"/>
        <v>174246.575342466</v>
      </c>
      <c r="K4" s="106"/>
      <c r="L4" s="144"/>
      <c r="M4" s="144"/>
      <c r="N4" s="106"/>
      <c r="O4" s="144"/>
      <c r="P4" s="106"/>
      <c r="Q4" s="106"/>
      <c r="R4" s="106"/>
      <c r="S4" s="106"/>
      <c r="T4" s="106"/>
      <c r="U4" s="106"/>
      <c r="V4" s="106"/>
      <c r="W4" s="106"/>
      <c r="X4" s="106">
        <f t="shared" ref="X4:BC4" si="1">X5+X508+X536+X597+X603+X616</f>
        <v>126125.513333333</v>
      </c>
      <c r="Y4" s="106">
        <f t="shared" si="1"/>
        <v>100646.061278539</v>
      </c>
      <c r="Z4" s="106">
        <f t="shared" si="1"/>
        <v>25479.4520547945</v>
      </c>
      <c r="AA4" s="106">
        <f t="shared" si="1"/>
        <v>121960.793333333</v>
      </c>
      <c r="AB4" s="106">
        <f t="shared" si="1"/>
        <v>98947.094703196</v>
      </c>
      <c r="AC4" s="106">
        <f t="shared" si="1"/>
        <v>23013.698630137</v>
      </c>
      <c r="AD4" s="106">
        <f t="shared" si="1"/>
        <v>121960.793333333</v>
      </c>
      <c r="AE4" s="106">
        <f t="shared" si="1"/>
        <v>96481.3412785385</v>
      </c>
      <c r="AF4" s="106">
        <f t="shared" si="1"/>
        <v>25479.4520547945</v>
      </c>
      <c r="AG4" s="106">
        <f t="shared" si="1"/>
        <v>121960.793333333</v>
      </c>
      <c r="AH4" s="106">
        <f t="shared" si="1"/>
        <v>97303.2590867576</v>
      </c>
      <c r="AI4" s="106">
        <f t="shared" si="1"/>
        <v>24657.5342465754</v>
      </c>
      <c r="AJ4" s="106">
        <f t="shared" si="1"/>
        <v>121960.793333333</v>
      </c>
      <c r="AK4" s="106">
        <f t="shared" si="1"/>
        <v>96481.3412785385</v>
      </c>
      <c r="AL4" s="106">
        <f t="shared" si="1"/>
        <v>25479.4520547945</v>
      </c>
      <c r="AM4" s="106">
        <f t="shared" si="1"/>
        <v>121960.793333333</v>
      </c>
      <c r="AN4" s="106">
        <f t="shared" si="1"/>
        <v>97303.2590867576</v>
      </c>
      <c r="AO4" s="106">
        <f t="shared" si="1"/>
        <v>24657.5342465754</v>
      </c>
      <c r="AP4" s="106">
        <f t="shared" si="1"/>
        <v>121960.793333333</v>
      </c>
      <c r="AQ4" s="106">
        <f t="shared" si="1"/>
        <v>96481.3412785385</v>
      </c>
      <c r="AR4" s="106">
        <f t="shared" si="1"/>
        <v>25479.4520547945</v>
      </c>
      <c r="AS4" s="106">
        <f t="shared" si="1"/>
        <v>121960.793333333</v>
      </c>
      <c r="AT4" s="106">
        <f t="shared" si="1"/>
        <v>121960.793333333</v>
      </c>
      <c r="AU4" s="106">
        <f t="shared" si="1"/>
        <v>0</v>
      </c>
      <c r="AV4" s="106">
        <f t="shared" si="1"/>
        <v>121960.793333333</v>
      </c>
      <c r="AW4" s="106">
        <f t="shared" si="1"/>
        <v>121960.793333333</v>
      </c>
      <c r="AX4" s="106">
        <f t="shared" si="1"/>
        <v>0</v>
      </c>
      <c r="AY4" s="106">
        <f t="shared" si="1"/>
        <v>121960.793333333</v>
      </c>
      <c r="AZ4" s="106">
        <f t="shared" si="1"/>
        <v>121960.793333333</v>
      </c>
      <c r="BA4" s="106">
        <f t="shared" si="1"/>
        <v>0</v>
      </c>
      <c r="BB4" s="106">
        <f t="shared" si="1"/>
        <v>121960.793333333</v>
      </c>
      <c r="BC4" s="106">
        <f t="shared" si="1"/>
        <v>121960.793333333</v>
      </c>
      <c r="BD4" s="106">
        <f t="shared" ref="BD4:CI4" si="2">BD5+BD508+BD536+BD597+BD603+BD616</f>
        <v>0</v>
      </c>
      <c r="BE4" s="106">
        <f t="shared" si="2"/>
        <v>154987.493333333</v>
      </c>
      <c r="BF4" s="106">
        <f t="shared" si="2"/>
        <v>154987.493333333</v>
      </c>
      <c r="BG4" s="106">
        <f t="shared" si="2"/>
        <v>0</v>
      </c>
      <c r="BH4" s="106">
        <f t="shared" si="2"/>
        <v>126125.513333333</v>
      </c>
      <c r="BI4" s="106">
        <f t="shared" si="2"/>
        <v>126125.513333333</v>
      </c>
      <c r="BJ4" s="106">
        <f t="shared" si="2"/>
        <v>0</v>
      </c>
      <c r="BK4" s="106">
        <f t="shared" si="2"/>
        <v>121960.793333333</v>
      </c>
      <c r="BL4" s="106">
        <f t="shared" si="2"/>
        <v>121960.793333333</v>
      </c>
      <c r="BM4" s="106">
        <f t="shared" si="2"/>
        <v>0</v>
      </c>
      <c r="BN4" s="106">
        <f t="shared" si="2"/>
        <v>121960.793333333</v>
      </c>
      <c r="BO4" s="106">
        <f t="shared" si="2"/>
        <v>121960.793333333</v>
      </c>
      <c r="BP4" s="106">
        <f t="shared" si="2"/>
        <v>0</v>
      </c>
      <c r="BQ4" s="106">
        <f t="shared" si="2"/>
        <v>121960.793333333</v>
      </c>
      <c r="BR4" s="106">
        <f t="shared" si="2"/>
        <v>121960.793333333</v>
      </c>
      <c r="BS4" s="106">
        <f t="shared" si="2"/>
        <v>0</v>
      </c>
      <c r="BT4" s="106">
        <f t="shared" si="2"/>
        <v>121960.793333333</v>
      </c>
      <c r="BU4" s="106">
        <f t="shared" si="2"/>
        <v>121960.793333333</v>
      </c>
      <c r="BV4" s="106">
        <f t="shared" si="2"/>
        <v>0</v>
      </c>
      <c r="BW4" s="106">
        <f t="shared" si="2"/>
        <v>121960.793333333</v>
      </c>
      <c r="BX4" s="106">
        <f t="shared" si="2"/>
        <v>121960.793333333</v>
      </c>
      <c r="BY4" s="106">
        <f t="shared" si="2"/>
        <v>0</v>
      </c>
      <c r="BZ4" s="106">
        <f t="shared" si="2"/>
        <v>121960.793333333</v>
      </c>
      <c r="CA4" s="106">
        <f t="shared" si="2"/>
        <v>121960.793333333</v>
      </c>
      <c r="CB4" s="106">
        <f t="shared" si="2"/>
        <v>0</v>
      </c>
      <c r="CC4" s="106">
        <f t="shared" si="2"/>
        <v>121960.793333333</v>
      </c>
      <c r="CD4" s="106">
        <f t="shared" si="2"/>
        <v>121960.793333333</v>
      </c>
      <c r="CE4" s="106">
        <f t="shared" si="2"/>
        <v>0</v>
      </c>
      <c r="CF4" s="106">
        <f t="shared" si="2"/>
        <v>121960.793333333</v>
      </c>
      <c r="CG4" s="106">
        <f t="shared" si="2"/>
        <v>121960.793333333</v>
      </c>
      <c r="CH4" s="106">
        <f t="shared" si="2"/>
        <v>0</v>
      </c>
      <c r="CI4" s="106">
        <f t="shared" si="2"/>
        <v>121960.793333333</v>
      </c>
      <c r="CJ4" s="106">
        <f t="shared" ref="CJ4:CQ4" si="3">CJ5+CJ508+CJ536+CJ597+CJ603+CJ616</f>
        <v>121960.793333333</v>
      </c>
      <c r="CK4" s="106">
        <f t="shared" si="3"/>
        <v>0</v>
      </c>
      <c r="CL4" s="106">
        <f t="shared" si="3"/>
        <v>121960.793333333</v>
      </c>
      <c r="CM4" s="106">
        <f t="shared" si="3"/>
        <v>121960.793333333</v>
      </c>
      <c r="CN4" s="106">
        <f t="shared" si="3"/>
        <v>0</v>
      </c>
      <c r="CO4" s="106">
        <f t="shared" si="3"/>
        <v>154987.493333333</v>
      </c>
      <c r="CP4" s="106">
        <f t="shared" si="3"/>
        <v>154987.493333333</v>
      </c>
      <c r="CQ4" s="106">
        <f t="shared" si="3"/>
        <v>0</v>
      </c>
    </row>
    <row r="5" s="82" customFormat="1" ht="24" customHeight="1" collapsed="1" spans="1:95">
      <c r="A5" s="107"/>
      <c r="B5" s="108" t="s">
        <v>794</v>
      </c>
      <c r="C5" s="109">
        <v>1.1</v>
      </c>
      <c r="D5" s="107" t="s">
        <v>214</v>
      </c>
      <c r="E5" s="108"/>
      <c r="F5" s="108"/>
      <c r="G5" s="107"/>
      <c r="H5" s="110">
        <f t="shared" ref="H5:I8" si="4">X5+AA5+AD5+AG5+AJ5+AM5+AP5+AS5+AV5+AY5+BB5+BE5</f>
        <v>1500720.94</v>
      </c>
      <c r="I5" s="110">
        <f t="shared" si="4"/>
        <v>1326474.36465753</v>
      </c>
      <c r="J5" s="110">
        <f t="shared" ref="J5:J68" si="5">Z5+AC5+AF5+AI5+AL5+AO5+AR5+AU5+AX5+BA5+BD5+BG5</f>
        <v>174246.575342466</v>
      </c>
      <c r="K5" s="110"/>
      <c r="L5" s="145"/>
      <c r="M5" s="145"/>
      <c r="N5" s="110"/>
      <c r="O5" s="145"/>
      <c r="P5" s="110"/>
      <c r="Q5" s="110"/>
      <c r="R5" s="110"/>
      <c r="S5" s="110"/>
      <c r="T5" s="110"/>
      <c r="U5" s="110"/>
      <c r="V5" s="110"/>
      <c r="W5" s="110"/>
      <c r="X5" s="110">
        <f>VLOOKUP($C5,'1 预算编制表单'!$C:$BJ,27,FALSE)</f>
        <v>126125.513333333</v>
      </c>
      <c r="Y5" s="110">
        <f t="shared" ref="Y5:BG5" si="6">Y6+Y177+Y428</f>
        <v>100646.061278539</v>
      </c>
      <c r="Z5" s="110">
        <f t="shared" si="6"/>
        <v>25479.4520547945</v>
      </c>
      <c r="AA5" s="110">
        <f>VLOOKUP($C5,'1 预算编制表单'!$C:$BJ,30,FALSE)</f>
        <v>121960.793333333</v>
      </c>
      <c r="AB5" s="110">
        <f t="shared" si="6"/>
        <v>98947.094703196</v>
      </c>
      <c r="AC5" s="110">
        <f t="shared" si="6"/>
        <v>23013.698630137</v>
      </c>
      <c r="AD5" s="110">
        <f>VLOOKUP($C5,'1 预算编制表单'!$C:$BJ,33,FALSE)</f>
        <v>121960.793333333</v>
      </c>
      <c r="AE5" s="110">
        <f t="shared" si="6"/>
        <v>96481.3412785385</v>
      </c>
      <c r="AF5" s="110">
        <f t="shared" si="6"/>
        <v>25479.4520547945</v>
      </c>
      <c r="AG5" s="110">
        <f>VLOOKUP($C5,'1 预算编制表单'!$C:$BJ,36,FALSE)</f>
        <v>121960.793333333</v>
      </c>
      <c r="AH5" s="110">
        <f t="shared" si="6"/>
        <v>97303.2590867576</v>
      </c>
      <c r="AI5" s="110">
        <f t="shared" si="6"/>
        <v>24657.5342465754</v>
      </c>
      <c r="AJ5" s="110">
        <f>VLOOKUP($C5,'1 预算编制表单'!$C:$BJ,39,FALSE)</f>
        <v>121960.793333333</v>
      </c>
      <c r="AK5" s="110">
        <f t="shared" si="6"/>
        <v>96481.3412785385</v>
      </c>
      <c r="AL5" s="110">
        <f t="shared" si="6"/>
        <v>25479.4520547945</v>
      </c>
      <c r="AM5" s="110">
        <f>VLOOKUP($C5,'1 预算编制表单'!$C:$BJ,42,FALSE)</f>
        <v>121960.793333333</v>
      </c>
      <c r="AN5" s="110">
        <f t="shared" si="6"/>
        <v>97303.2590867576</v>
      </c>
      <c r="AO5" s="110">
        <f t="shared" si="6"/>
        <v>24657.5342465754</v>
      </c>
      <c r="AP5" s="110">
        <f>VLOOKUP($C5,'1 预算编制表单'!$C:$BJ,45,FALSE)</f>
        <v>121960.793333333</v>
      </c>
      <c r="AQ5" s="110">
        <f t="shared" si="6"/>
        <v>96481.3412785385</v>
      </c>
      <c r="AR5" s="110">
        <f t="shared" si="6"/>
        <v>25479.4520547945</v>
      </c>
      <c r="AS5" s="110">
        <f>VLOOKUP($C5,'1 预算编制表单'!$C:$BJ,48,FALSE)</f>
        <v>121960.793333333</v>
      </c>
      <c r="AT5" s="110">
        <f t="shared" si="6"/>
        <v>121960.793333333</v>
      </c>
      <c r="AU5" s="110">
        <f t="shared" si="6"/>
        <v>0</v>
      </c>
      <c r="AV5" s="110">
        <f>VLOOKUP($C5,'1 预算编制表单'!$C:$BJ,51,FALSE)</f>
        <v>121960.793333333</v>
      </c>
      <c r="AW5" s="110">
        <f t="shared" si="6"/>
        <v>121960.793333333</v>
      </c>
      <c r="AX5" s="110">
        <f t="shared" si="6"/>
        <v>0</v>
      </c>
      <c r="AY5" s="110">
        <f>VLOOKUP($C5,'1 预算编制表单'!$C:$BJ,54,FALSE)</f>
        <v>121960.793333333</v>
      </c>
      <c r="AZ5" s="110">
        <f t="shared" si="6"/>
        <v>121960.793333333</v>
      </c>
      <c r="BA5" s="110">
        <f t="shared" si="6"/>
        <v>0</v>
      </c>
      <c r="BB5" s="110">
        <f>VLOOKUP($C5,'1 预算编制表单'!$C:$BJ,57,FALSE)</f>
        <v>121960.793333333</v>
      </c>
      <c r="BC5" s="110">
        <f t="shared" si="6"/>
        <v>121960.793333333</v>
      </c>
      <c r="BD5" s="110">
        <f t="shared" si="6"/>
        <v>0</v>
      </c>
      <c r="BE5" s="110">
        <f>VLOOKUP($C5,'1 预算编制表单'!$C:$BJ,60,FALSE)</f>
        <v>154987.493333333</v>
      </c>
      <c r="BF5" s="110">
        <f t="shared" si="6"/>
        <v>154987.493333333</v>
      </c>
      <c r="BG5" s="110">
        <f t="shared" si="6"/>
        <v>0</v>
      </c>
      <c r="BH5" s="110">
        <f>VLOOKUP($C5,'1 预算编制表单'!$C:$BJ,27,FALSE)</f>
        <v>126125.513333333</v>
      </c>
      <c r="BI5" s="110">
        <f t="shared" ref="BI5:BM5" si="7">BI6+BI177+BI428</f>
        <v>126125.513333333</v>
      </c>
      <c r="BJ5" s="110">
        <f t="shared" si="7"/>
        <v>0</v>
      </c>
      <c r="BK5" s="110">
        <f>VLOOKUP($C5,'1 预算编制表单'!$C:$BJ,30,FALSE)</f>
        <v>121960.793333333</v>
      </c>
      <c r="BL5" s="110">
        <f t="shared" si="7"/>
        <v>121960.793333333</v>
      </c>
      <c r="BM5" s="110">
        <f t="shared" si="7"/>
        <v>0</v>
      </c>
      <c r="BN5" s="110">
        <f>VLOOKUP($C5,'1 预算编制表单'!$C:$BJ,33,FALSE)</f>
        <v>121960.793333333</v>
      </c>
      <c r="BO5" s="110">
        <f t="shared" ref="BO5:BS5" si="8">BO6+BO177+BO428</f>
        <v>121960.793333333</v>
      </c>
      <c r="BP5" s="110">
        <f t="shared" si="8"/>
        <v>0</v>
      </c>
      <c r="BQ5" s="110">
        <f>VLOOKUP($C5,'1 预算编制表单'!$C:$BJ,36,FALSE)</f>
        <v>121960.793333333</v>
      </c>
      <c r="BR5" s="110">
        <f t="shared" si="8"/>
        <v>121960.793333333</v>
      </c>
      <c r="BS5" s="110">
        <f t="shared" si="8"/>
        <v>0</v>
      </c>
      <c r="BT5" s="110">
        <f>VLOOKUP($C5,'1 预算编制表单'!$C:$BJ,39,FALSE)</f>
        <v>121960.793333333</v>
      </c>
      <c r="BU5" s="110">
        <f t="shared" ref="BU5:BY5" si="9">BU6+BU177+BU428</f>
        <v>121960.793333333</v>
      </c>
      <c r="BV5" s="110">
        <f t="shared" si="9"/>
        <v>0</v>
      </c>
      <c r="BW5" s="110">
        <f>VLOOKUP($C5,'1 预算编制表单'!$C:$BJ,42,FALSE)</f>
        <v>121960.793333333</v>
      </c>
      <c r="BX5" s="110">
        <f t="shared" si="9"/>
        <v>121960.793333333</v>
      </c>
      <c r="BY5" s="110">
        <f t="shared" si="9"/>
        <v>0</v>
      </c>
      <c r="BZ5" s="110">
        <f>VLOOKUP($C5,'1 预算编制表单'!$C:$BJ,45,FALSE)</f>
        <v>121960.793333333</v>
      </c>
      <c r="CA5" s="110">
        <f t="shared" ref="CA5:CE5" si="10">CA6+CA177+CA428</f>
        <v>121960.793333333</v>
      </c>
      <c r="CB5" s="110">
        <f t="shared" si="10"/>
        <v>0</v>
      </c>
      <c r="CC5" s="110">
        <f>VLOOKUP($C5,'1 预算编制表单'!$C:$BJ,48,FALSE)</f>
        <v>121960.793333333</v>
      </c>
      <c r="CD5" s="110">
        <f t="shared" si="10"/>
        <v>121960.793333333</v>
      </c>
      <c r="CE5" s="110">
        <f t="shared" si="10"/>
        <v>0</v>
      </c>
      <c r="CF5" s="110">
        <f>VLOOKUP($C5,'1 预算编制表单'!$C:$BJ,51,FALSE)</f>
        <v>121960.793333333</v>
      </c>
      <c r="CG5" s="110">
        <f t="shared" ref="CG5:CK5" si="11">CG6+CG177+CG428</f>
        <v>121960.793333333</v>
      </c>
      <c r="CH5" s="110">
        <f t="shared" si="11"/>
        <v>0</v>
      </c>
      <c r="CI5" s="110">
        <f>VLOOKUP($C5,'1 预算编制表单'!$C:$BJ,54,FALSE)</f>
        <v>121960.793333333</v>
      </c>
      <c r="CJ5" s="110">
        <f t="shared" si="11"/>
        <v>121960.793333333</v>
      </c>
      <c r="CK5" s="110">
        <f t="shared" si="11"/>
        <v>0</v>
      </c>
      <c r="CL5" s="110">
        <f>VLOOKUP($C5,'1 预算编制表单'!$C:$BJ,57,FALSE)</f>
        <v>121960.793333333</v>
      </c>
      <c r="CM5" s="110">
        <f t="shared" ref="CM5:CQ5" si="12">CM6+CM177+CM428</f>
        <v>121960.793333333</v>
      </c>
      <c r="CN5" s="110">
        <f t="shared" si="12"/>
        <v>0</v>
      </c>
      <c r="CO5" s="110">
        <f>VLOOKUP($C5,'1 预算编制表单'!$C:$BJ,60,FALSE)</f>
        <v>154987.493333333</v>
      </c>
      <c r="CP5" s="110">
        <f t="shared" si="12"/>
        <v>154987.493333333</v>
      </c>
      <c r="CQ5" s="110">
        <f t="shared" si="12"/>
        <v>0</v>
      </c>
    </row>
    <row r="6" s="82" customFormat="1" ht="24" hidden="1" customHeight="1" outlineLevel="1" collapsed="1" spans="1:95">
      <c r="A6" s="29">
        <f>IF(C6&lt;&gt;"",ROW(),"")</f>
        <v>6</v>
      </c>
      <c r="B6" s="111" t="s">
        <v>794</v>
      </c>
      <c r="C6" s="112" t="s">
        <v>218</v>
      </c>
      <c r="D6" s="29" t="s">
        <v>219</v>
      </c>
      <c r="E6" s="111"/>
      <c r="F6" s="111"/>
      <c r="G6" s="111"/>
      <c r="H6" s="113">
        <f t="shared" si="4"/>
        <v>1500720.94</v>
      </c>
      <c r="I6" s="113">
        <f t="shared" si="4"/>
        <v>1326474.36465753</v>
      </c>
      <c r="J6" s="113">
        <f t="shared" si="5"/>
        <v>174246.575342466</v>
      </c>
      <c r="K6" s="113"/>
      <c r="L6" s="146"/>
      <c r="M6" s="146"/>
      <c r="N6" s="113"/>
      <c r="O6" s="146"/>
      <c r="P6" s="113"/>
      <c r="Q6" s="113"/>
      <c r="R6" s="113"/>
      <c r="S6" s="113"/>
      <c r="T6" s="113"/>
      <c r="U6" s="113"/>
      <c r="V6" s="113"/>
      <c r="W6" s="113"/>
      <c r="X6" s="113">
        <f>VLOOKUP($C6,'1 预算编制表单'!$C:$BJ,27,FALSE)</f>
        <v>126125.513333333</v>
      </c>
      <c r="Y6" s="113">
        <f>X6-Z6</f>
        <v>100646.061278539</v>
      </c>
      <c r="Z6" s="113">
        <f>Z7+Z26+Z45+Z70+Z95+Z114+Z139+Z158</f>
        <v>25479.4520547945</v>
      </c>
      <c r="AA6" s="113">
        <f>VLOOKUP($C6,'1 预算编制表单'!$C:$BJ,30,FALSE)</f>
        <v>121960.793333333</v>
      </c>
      <c r="AB6" s="113">
        <f>AA6-AC6</f>
        <v>98947.094703196</v>
      </c>
      <c r="AC6" s="113">
        <f>AC7+AC26+AC45+AC70+AC95+AC114+AC139+AC158</f>
        <v>23013.698630137</v>
      </c>
      <c r="AD6" s="113">
        <f>VLOOKUP($C6,'1 预算编制表单'!$C:$BJ,33,FALSE)</f>
        <v>121960.793333333</v>
      </c>
      <c r="AE6" s="113">
        <f>AD6-AF6</f>
        <v>96481.3412785385</v>
      </c>
      <c r="AF6" s="113">
        <f>AF7+AF26+AF45+AF70+AF95+AF114+AF139+AF158</f>
        <v>25479.4520547945</v>
      </c>
      <c r="AG6" s="113">
        <f>VLOOKUP($C6,'1 预算编制表单'!$C:$BJ,36,FALSE)</f>
        <v>121960.793333333</v>
      </c>
      <c r="AH6" s="113">
        <f>AG6-AI6</f>
        <v>97303.2590867576</v>
      </c>
      <c r="AI6" s="113">
        <f>AI7+AI26+AI45+AI70+AI95+AI114+AI139+AI158</f>
        <v>24657.5342465754</v>
      </c>
      <c r="AJ6" s="113">
        <f>VLOOKUP($C6,'1 预算编制表单'!$C:$BJ,39,FALSE)</f>
        <v>121960.793333333</v>
      </c>
      <c r="AK6" s="113">
        <f>AJ6-AL6</f>
        <v>96481.3412785385</v>
      </c>
      <c r="AL6" s="113">
        <f>AL7+AL26+AL45+AL70+AL95+AL114+AL139+AL158</f>
        <v>25479.4520547945</v>
      </c>
      <c r="AM6" s="113">
        <f>VLOOKUP($C6,'1 预算编制表单'!$C:$BJ,42,FALSE)</f>
        <v>121960.793333333</v>
      </c>
      <c r="AN6" s="113">
        <f>AM6-AO6</f>
        <v>97303.2590867576</v>
      </c>
      <c r="AO6" s="113">
        <f>AO7+AO26+AO45+AO70+AO95+AO114+AO139+AO158</f>
        <v>24657.5342465754</v>
      </c>
      <c r="AP6" s="113">
        <f>VLOOKUP($C6,'1 预算编制表单'!$C:$BJ,45,FALSE)</f>
        <v>121960.793333333</v>
      </c>
      <c r="AQ6" s="113">
        <f>AP6-AR6</f>
        <v>96481.3412785385</v>
      </c>
      <c r="AR6" s="113">
        <f>AR7+AR26+AR45+AR70+AR95+AR114+AR139+AR158</f>
        <v>25479.4520547945</v>
      </c>
      <c r="AS6" s="113">
        <f>VLOOKUP($C6,'1 预算编制表单'!$C:$BJ,48,FALSE)</f>
        <v>121960.793333333</v>
      </c>
      <c r="AT6" s="113">
        <f>AS6-AU6</f>
        <v>121960.793333333</v>
      </c>
      <c r="AU6" s="113">
        <f>AU7+AU26+AU45+AU70+AU95+AU114+AU139+AU158</f>
        <v>0</v>
      </c>
      <c r="AV6" s="113">
        <f>VLOOKUP($C6,'1 预算编制表单'!$C:$BJ,51,FALSE)</f>
        <v>121960.793333333</v>
      </c>
      <c r="AW6" s="113">
        <f>AV6-AX6</f>
        <v>121960.793333333</v>
      </c>
      <c r="AX6" s="113">
        <f>AX7+AX26+AX45+AX70+AX95+AX114+AX139+AX158</f>
        <v>0</v>
      </c>
      <c r="AY6" s="113">
        <f>VLOOKUP($C6,'1 预算编制表单'!$C:$BJ,54,FALSE)</f>
        <v>121960.793333333</v>
      </c>
      <c r="AZ6" s="113">
        <f>AY6-BA6</f>
        <v>121960.793333333</v>
      </c>
      <c r="BA6" s="113">
        <f>BA7+BA26+BA45+BA70+BA95+BA114+BA139+BA158</f>
        <v>0</v>
      </c>
      <c r="BB6" s="113">
        <f>VLOOKUP($C6,'1 预算编制表单'!$C:$BJ,57,FALSE)</f>
        <v>121960.793333333</v>
      </c>
      <c r="BC6" s="113">
        <f>BB6-BD6</f>
        <v>121960.793333333</v>
      </c>
      <c r="BD6" s="113">
        <f>BD7+BD26+BD45+BD70+BD95+BD114+BD139+BD158</f>
        <v>0</v>
      </c>
      <c r="BE6" s="113">
        <f>VLOOKUP($C6,'1 预算编制表单'!$C:$BJ,60,FALSE)</f>
        <v>154987.493333333</v>
      </c>
      <c r="BF6" s="113">
        <f>BE6-BG6</f>
        <v>154987.493333333</v>
      </c>
      <c r="BG6" s="113">
        <f>BG7+BG26+BG45+BG70+BG95+BG114+BG139+BG158</f>
        <v>0</v>
      </c>
      <c r="BH6" s="113">
        <f>VLOOKUP($C6,'1 预算编制表单'!$C:$BJ,27,FALSE)</f>
        <v>126125.513333333</v>
      </c>
      <c r="BI6" s="113">
        <f t="shared" ref="BI6:BI8" si="13">BH6-BJ6</f>
        <v>126125.513333333</v>
      </c>
      <c r="BJ6" s="113">
        <f>BJ7+BJ26+BJ45+BJ70+BJ95+BJ114+BJ139+BJ158</f>
        <v>0</v>
      </c>
      <c r="BK6" s="113">
        <f>VLOOKUP($C6,'1 预算编制表单'!$C:$BJ,30,FALSE)</f>
        <v>121960.793333333</v>
      </c>
      <c r="BL6" s="113">
        <f t="shared" ref="BL6:BL8" si="14">BK6-BM6</f>
        <v>121960.793333333</v>
      </c>
      <c r="BM6" s="113">
        <f>BM7+BM26+BM45+BM70+BM95+BM114+BM139+BM158</f>
        <v>0</v>
      </c>
      <c r="BN6" s="113">
        <f>VLOOKUP($C6,'1 预算编制表单'!$C:$BJ,33,FALSE)</f>
        <v>121960.793333333</v>
      </c>
      <c r="BO6" s="113">
        <f t="shared" ref="BO6:BO8" si="15">BN6-BP6</f>
        <v>121960.793333333</v>
      </c>
      <c r="BP6" s="113">
        <f>BP7+BP26+BP45+BP70+BP95+BP114+BP139+BP158</f>
        <v>0</v>
      </c>
      <c r="BQ6" s="113">
        <f>VLOOKUP($C6,'1 预算编制表单'!$C:$BJ,36,FALSE)</f>
        <v>121960.793333333</v>
      </c>
      <c r="BR6" s="113">
        <f t="shared" ref="BR6:BR8" si="16">BQ6-BS6</f>
        <v>121960.793333333</v>
      </c>
      <c r="BS6" s="113">
        <f>BS7+BS26+BS45+BS70+BS95+BS114+BS139+BS158</f>
        <v>0</v>
      </c>
      <c r="BT6" s="113">
        <f>VLOOKUP($C6,'1 预算编制表单'!$C:$BJ,39,FALSE)</f>
        <v>121960.793333333</v>
      </c>
      <c r="BU6" s="113">
        <f t="shared" ref="BU6:BU8" si="17">BT6-BV6</f>
        <v>121960.793333333</v>
      </c>
      <c r="BV6" s="113">
        <f>BV7+BV26+BV45+BV70+BV95+BV114+BV139+BV158</f>
        <v>0</v>
      </c>
      <c r="BW6" s="113">
        <f>VLOOKUP($C6,'1 预算编制表单'!$C:$BJ,42,FALSE)</f>
        <v>121960.793333333</v>
      </c>
      <c r="BX6" s="113">
        <f t="shared" ref="BX6:BX8" si="18">BW6-BY6</f>
        <v>121960.793333333</v>
      </c>
      <c r="BY6" s="113">
        <f>BY7+BY26+BY45+BY70+BY95+BY114+BY139+BY158</f>
        <v>0</v>
      </c>
      <c r="BZ6" s="113">
        <f>VLOOKUP($C6,'1 预算编制表单'!$C:$BJ,45,FALSE)</f>
        <v>121960.793333333</v>
      </c>
      <c r="CA6" s="113">
        <f t="shared" ref="CA6:CA8" si="19">BZ6-CB6</f>
        <v>121960.793333333</v>
      </c>
      <c r="CB6" s="113">
        <f>CB7+CB26+CB45+CB70+CB95+CB114+CB139+CB158</f>
        <v>0</v>
      </c>
      <c r="CC6" s="113">
        <f>VLOOKUP($C6,'1 预算编制表单'!$C:$BJ,48,FALSE)</f>
        <v>121960.793333333</v>
      </c>
      <c r="CD6" s="113">
        <f t="shared" ref="CD6:CD8" si="20">CC6-CE6</f>
        <v>121960.793333333</v>
      </c>
      <c r="CE6" s="113">
        <f>CE7+CE26+CE45+CE70+CE95+CE114+CE139+CE158</f>
        <v>0</v>
      </c>
      <c r="CF6" s="113">
        <f>VLOOKUP($C6,'1 预算编制表单'!$C:$BJ,51,FALSE)</f>
        <v>121960.793333333</v>
      </c>
      <c r="CG6" s="113">
        <f t="shared" ref="CG6:CG8" si="21">CF6-CH6</f>
        <v>121960.793333333</v>
      </c>
      <c r="CH6" s="113">
        <f>CH7+CH26+CH45+CH70+CH95+CH114+CH139+CH158</f>
        <v>0</v>
      </c>
      <c r="CI6" s="113">
        <f>VLOOKUP($C6,'1 预算编制表单'!$C:$BJ,54,FALSE)</f>
        <v>121960.793333333</v>
      </c>
      <c r="CJ6" s="113">
        <f t="shared" ref="CJ6:CJ8" si="22">CI6-CK6</f>
        <v>121960.793333333</v>
      </c>
      <c r="CK6" s="113">
        <f>CK7+CK26+CK45+CK70+CK95+CK114+CK139+CK158</f>
        <v>0</v>
      </c>
      <c r="CL6" s="113">
        <f>VLOOKUP($C6,'1 预算编制表单'!$C:$BJ,57,FALSE)</f>
        <v>121960.793333333</v>
      </c>
      <c r="CM6" s="113">
        <f t="shared" ref="CM6:CM8" si="23">CL6-CN6</f>
        <v>121960.793333333</v>
      </c>
      <c r="CN6" s="113">
        <f>CN7+CN26+CN45+CN70+CN95+CN114+CN139+CN158</f>
        <v>0</v>
      </c>
      <c r="CO6" s="113">
        <f>VLOOKUP($C6,'1 预算编制表单'!$C:$BJ,60,FALSE)</f>
        <v>154987.493333333</v>
      </c>
      <c r="CP6" s="113">
        <f t="shared" ref="CP6:CP8" si="24">CO6-CQ6</f>
        <v>154987.493333333</v>
      </c>
      <c r="CQ6" s="113">
        <f>CQ7+CQ26+CQ45+CQ70+CQ95+CQ114+CQ139+CQ158</f>
        <v>0</v>
      </c>
    </row>
    <row r="7" s="82" customFormat="1" ht="24" hidden="1" customHeight="1" outlineLevel="2" collapsed="1" spans="1:95">
      <c r="A7" s="48"/>
      <c r="B7" s="114" t="s">
        <v>794</v>
      </c>
      <c r="C7" s="115" t="s">
        <v>797</v>
      </c>
      <c r="D7" s="48" t="s">
        <v>798</v>
      </c>
      <c r="E7" s="114"/>
      <c r="F7" s="114"/>
      <c r="G7" s="114"/>
      <c r="H7" s="116">
        <f t="shared" si="4"/>
        <v>445483.56</v>
      </c>
      <c r="I7" s="116">
        <f t="shared" si="4"/>
        <v>445483.56</v>
      </c>
      <c r="J7" s="116">
        <f t="shared" si="5"/>
        <v>0</v>
      </c>
      <c r="K7" s="116"/>
      <c r="L7" s="147"/>
      <c r="M7" s="147"/>
      <c r="N7" s="116"/>
      <c r="O7" s="147"/>
      <c r="P7" s="116"/>
      <c r="Q7" s="116"/>
      <c r="R7" s="116"/>
      <c r="S7" s="116"/>
      <c r="T7" s="116"/>
      <c r="U7" s="116"/>
      <c r="V7" s="116"/>
      <c r="W7" s="116"/>
      <c r="X7" s="116">
        <f>VLOOKUP($C7,'1 预算编制表单'!$C:$BJ,27,FALSE)</f>
        <v>38249.22</v>
      </c>
      <c r="Y7" s="116">
        <f>X7-Z7</f>
        <v>38249.22</v>
      </c>
      <c r="Z7" s="116">
        <f>Z8+Z14+Z20</f>
        <v>0</v>
      </c>
      <c r="AA7" s="116">
        <f>VLOOKUP($C7,'1 预算编制表单'!$C:$BJ,30,FALSE)</f>
        <v>36464.34</v>
      </c>
      <c r="AB7" s="116">
        <f>AA7-AC7</f>
        <v>36464.34</v>
      </c>
      <c r="AC7" s="116">
        <f>AC8+AC14+AC20</f>
        <v>0</v>
      </c>
      <c r="AD7" s="116">
        <f>VLOOKUP($C7,'1 预算编制表单'!$C:$BJ,33,FALSE)</f>
        <v>36464.34</v>
      </c>
      <c r="AE7" s="116">
        <f>AD7-AF7</f>
        <v>36464.34</v>
      </c>
      <c r="AF7" s="116">
        <f>AF8+AF14+AF20</f>
        <v>0</v>
      </c>
      <c r="AG7" s="116">
        <f>VLOOKUP($C7,'1 预算编制表单'!$C:$BJ,36,FALSE)</f>
        <v>36464.34</v>
      </c>
      <c r="AH7" s="116">
        <f>AG7-AI7</f>
        <v>36464.34</v>
      </c>
      <c r="AI7" s="116">
        <f>AI8+AI14+AI20</f>
        <v>0</v>
      </c>
      <c r="AJ7" s="116">
        <f>VLOOKUP($C7,'1 预算编制表单'!$C:$BJ,39,FALSE)</f>
        <v>36464.34</v>
      </c>
      <c r="AK7" s="116">
        <f>AJ7-AL7</f>
        <v>36464.34</v>
      </c>
      <c r="AL7" s="116">
        <f>AL8+AL14+AL20</f>
        <v>0</v>
      </c>
      <c r="AM7" s="116">
        <f>VLOOKUP($C7,'1 预算编制表单'!$C:$BJ,42,FALSE)</f>
        <v>36464.34</v>
      </c>
      <c r="AN7" s="116">
        <f>AM7-AO7</f>
        <v>36464.34</v>
      </c>
      <c r="AO7" s="116">
        <f>AO8+AO14+AO20</f>
        <v>0</v>
      </c>
      <c r="AP7" s="116">
        <f>VLOOKUP($C7,'1 预算编制表单'!$C:$BJ,45,FALSE)</f>
        <v>36464.34</v>
      </c>
      <c r="AQ7" s="116">
        <f>AP7-AR7</f>
        <v>36464.34</v>
      </c>
      <c r="AR7" s="116">
        <f>AR8+AR14+AR20</f>
        <v>0</v>
      </c>
      <c r="AS7" s="116">
        <f>VLOOKUP($C7,'1 预算编制表单'!$C:$BJ,48,FALSE)</f>
        <v>36464.34</v>
      </c>
      <c r="AT7" s="116">
        <f>AS7-AU7</f>
        <v>36464.34</v>
      </c>
      <c r="AU7" s="116">
        <f>AU8+AU14+AU20</f>
        <v>0</v>
      </c>
      <c r="AV7" s="116">
        <f>VLOOKUP($C7,'1 预算编制表单'!$C:$BJ,51,FALSE)</f>
        <v>36464.34</v>
      </c>
      <c r="AW7" s="116">
        <f>AV7-AX7</f>
        <v>36464.34</v>
      </c>
      <c r="AX7" s="116">
        <f>AX8+AX14+AX20</f>
        <v>0</v>
      </c>
      <c r="AY7" s="116">
        <f>VLOOKUP($C7,'1 预算编制表单'!$C:$BJ,54,FALSE)</f>
        <v>36464.34</v>
      </c>
      <c r="AZ7" s="116">
        <f>AY7-BA7</f>
        <v>36464.34</v>
      </c>
      <c r="BA7" s="116">
        <f>BA8+BA14+BA20</f>
        <v>0</v>
      </c>
      <c r="BB7" s="116">
        <f>VLOOKUP($C7,'1 预算编制表单'!$C:$BJ,57,FALSE)</f>
        <v>36464.34</v>
      </c>
      <c r="BC7" s="116">
        <f>BB7-BD7</f>
        <v>36464.34</v>
      </c>
      <c r="BD7" s="116">
        <f>BD8+BD14+BD20</f>
        <v>0</v>
      </c>
      <c r="BE7" s="116">
        <f>VLOOKUP($C7,'1 预算编制表单'!$C:$BJ,60,FALSE)</f>
        <v>42590.94</v>
      </c>
      <c r="BF7" s="116">
        <f>BE7-BG7</f>
        <v>42590.94</v>
      </c>
      <c r="BG7" s="116">
        <f>BG8+BG14+BG20</f>
        <v>0</v>
      </c>
      <c r="BH7" s="116">
        <f>VLOOKUP($C7,'1 预算编制表单'!$C:$BJ,27,FALSE)</f>
        <v>38249.22</v>
      </c>
      <c r="BI7" s="116">
        <f t="shared" si="13"/>
        <v>38249.22</v>
      </c>
      <c r="BJ7" s="116">
        <f>BJ8+BJ14+BJ20</f>
        <v>0</v>
      </c>
      <c r="BK7" s="116">
        <f>VLOOKUP($C7,'1 预算编制表单'!$C:$BJ,30,FALSE)</f>
        <v>36464.34</v>
      </c>
      <c r="BL7" s="116">
        <f t="shared" si="14"/>
        <v>36464.34</v>
      </c>
      <c r="BM7" s="116">
        <f>BM8+BM14+BM20</f>
        <v>0</v>
      </c>
      <c r="BN7" s="116">
        <f>VLOOKUP($C7,'1 预算编制表单'!$C:$BJ,33,FALSE)</f>
        <v>36464.34</v>
      </c>
      <c r="BO7" s="116">
        <f t="shared" si="15"/>
        <v>36464.34</v>
      </c>
      <c r="BP7" s="116">
        <f>BP8+BP14+BP20</f>
        <v>0</v>
      </c>
      <c r="BQ7" s="116">
        <f>VLOOKUP($C7,'1 预算编制表单'!$C:$BJ,36,FALSE)</f>
        <v>36464.34</v>
      </c>
      <c r="BR7" s="116">
        <f t="shared" si="16"/>
        <v>36464.34</v>
      </c>
      <c r="BS7" s="116">
        <f>BS8+BS14+BS20</f>
        <v>0</v>
      </c>
      <c r="BT7" s="116">
        <f>VLOOKUP($C7,'1 预算编制表单'!$C:$BJ,39,FALSE)</f>
        <v>36464.34</v>
      </c>
      <c r="BU7" s="116">
        <f t="shared" si="17"/>
        <v>36464.34</v>
      </c>
      <c r="BV7" s="116">
        <f>BV8+BV14+BV20</f>
        <v>0</v>
      </c>
      <c r="BW7" s="116">
        <f>VLOOKUP($C7,'1 预算编制表单'!$C:$BJ,42,FALSE)</f>
        <v>36464.34</v>
      </c>
      <c r="BX7" s="116">
        <f t="shared" si="18"/>
        <v>36464.34</v>
      </c>
      <c r="BY7" s="116">
        <f>BY8+BY14+BY20</f>
        <v>0</v>
      </c>
      <c r="BZ7" s="116">
        <f>VLOOKUP($C7,'1 预算编制表单'!$C:$BJ,45,FALSE)</f>
        <v>36464.34</v>
      </c>
      <c r="CA7" s="116">
        <f t="shared" si="19"/>
        <v>36464.34</v>
      </c>
      <c r="CB7" s="116">
        <f>CB8+CB14+CB20</f>
        <v>0</v>
      </c>
      <c r="CC7" s="116">
        <f>VLOOKUP($C7,'1 预算编制表单'!$C:$BJ,48,FALSE)</f>
        <v>36464.34</v>
      </c>
      <c r="CD7" s="116">
        <f t="shared" si="20"/>
        <v>36464.34</v>
      </c>
      <c r="CE7" s="116">
        <f>CE8+CE14+CE20</f>
        <v>0</v>
      </c>
      <c r="CF7" s="116">
        <f>VLOOKUP($C7,'1 预算编制表单'!$C:$BJ,51,FALSE)</f>
        <v>36464.34</v>
      </c>
      <c r="CG7" s="116">
        <f t="shared" si="21"/>
        <v>36464.34</v>
      </c>
      <c r="CH7" s="116">
        <f>CH8+CH14+CH20</f>
        <v>0</v>
      </c>
      <c r="CI7" s="116">
        <f>VLOOKUP($C7,'1 预算编制表单'!$C:$BJ,54,FALSE)</f>
        <v>36464.34</v>
      </c>
      <c r="CJ7" s="116">
        <f t="shared" si="22"/>
        <v>36464.34</v>
      </c>
      <c r="CK7" s="116">
        <f>CK8+CK14+CK20</f>
        <v>0</v>
      </c>
      <c r="CL7" s="116">
        <f>VLOOKUP($C7,'1 预算编制表单'!$C:$BJ,57,FALSE)</f>
        <v>36464.34</v>
      </c>
      <c r="CM7" s="116">
        <f t="shared" si="23"/>
        <v>36464.34</v>
      </c>
      <c r="CN7" s="116">
        <f>CN8+CN14+CN20</f>
        <v>0</v>
      </c>
      <c r="CO7" s="116">
        <f>VLOOKUP($C7,'1 预算编制表单'!$C:$BJ,60,FALSE)</f>
        <v>42590.94</v>
      </c>
      <c r="CP7" s="116">
        <f t="shared" si="24"/>
        <v>42590.94</v>
      </c>
      <c r="CQ7" s="116">
        <f>CQ8+CQ14+CQ20</f>
        <v>0</v>
      </c>
    </row>
    <row r="8" s="82" customFormat="1" ht="24" hidden="1" customHeight="1" outlineLevel="3" collapsed="1" spans="1:95">
      <c r="A8" s="117"/>
      <c r="B8" s="118" t="s">
        <v>799</v>
      </c>
      <c r="C8" s="119" t="s">
        <v>108</v>
      </c>
      <c r="D8" s="117" t="s">
        <v>109</v>
      </c>
      <c r="E8" s="118"/>
      <c r="F8" s="118"/>
      <c r="G8" s="118"/>
      <c r="H8" s="120">
        <f t="shared" si="4"/>
        <v>445483.56</v>
      </c>
      <c r="I8" s="120">
        <f t="shared" si="4"/>
        <v>445483.56</v>
      </c>
      <c r="J8" s="120">
        <f t="shared" si="5"/>
        <v>0</v>
      </c>
      <c r="K8" s="120"/>
      <c r="L8" s="148"/>
      <c r="M8" s="148"/>
      <c r="N8" s="120"/>
      <c r="O8" s="148"/>
      <c r="P8" s="120"/>
      <c r="Q8" s="120"/>
      <c r="R8" s="120"/>
      <c r="S8" s="120"/>
      <c r="T8" s="120"/>
      <c r="U8" s="120"/>
      <c r="V8" s="120"/>
      <c r="W8" s="120"/>
      <c r="X8" s="120">
        <f>VLOOKUP($C8,'1 预算编制表单'!$C:$BJ,27,FALSE)</f>
        <v>38249.22</v>
      </c>
      <c r="Y8" s="120">
        <f>X8-Z8</f>
        <v>38249.22</v>
      </c>
      <c r="Z8" s="120">
        <f>SUM(Z9:Z13)</f>
        <v>0</v>
      </c>
      <c r="AA8" s="120">
        <f>VLOOKUP($C8,'1 预算编制表单'!$C:$BJ,30,FALSE)</f>
        <v>36464.34</v>
      </c>
      <c r="AB8" s="120">
        <f>AA8-AC8</f>
        <v>36464.34</v>
      </c>
      <c r="AC8" s="120">
        <f>SUM(AC9:AC13)</f>
        <v>0</v>
      </c>
      <c r="AD8" s="120">
        <f>VLOOKUP($C8,'1 预算编制表单'!$C:$BJ,33,FALSE)</f>
        <v>36464.34</v>
      </c>
      <c r="AE8" s="120">
        <f>AD8-AF8</f>
        <v>36464.34</v>
      </c>
      <c r="AF8" s="120">
        <f>SUM(AF9:AF13)</f>
        <v>0</v>
      </c>
      <c r="AG8" s="120">
        <f>VLOOKUP($C8,'1 预算编制表单'!$C:$BJ,36,FALSE)</f>
        <v>36464.34</v>
      </c>
      <c r="AH8" s="120">
        <f>AG8-AI8</f>
        <v>36464.34</v>
      </c>
      <c r="AI8" s="120">
        <f>SUM(AI9:AI13)</f>
        <v>0</v>
      </c>
      <c r="AJ8" s="120">
        <f>VLOOKUP($C8,'1 预算编制表单'!$C:$BJ,39,FALSE)</f>
        <v>36464.34</v>
      </c>
      <c r="AK8" s="120">
        <f>AJ8-AL8</f>
        <v>36464.34</v>
      </c>
      <c r="AL8" s="120">
        <f>SUM(AL9:AL13)</f>
        <v>0</v>
      </c>
      <c r="AM8" s="120">
        <f>VLOOKUP($C8,'1 预算编制表单'!$C:$BJ,42,FALSE)</f>
        <v>36464.34</v>
      </c>
      <c r="AN8" s="120">
        <f>AM8-AO8</f>
        <v>36464.34</v>
      </c>
      <c r="AO8" s="120">
        <f>SUM(AO9:AO13)</f>
        <v>0</v>
      </c>
      <c r="AP8" s="120">
        <f>VLOOKUP($C8,'1 预算编制表单'!$C:$BJ,45,FALSE)</f>
        <v>36464.34</v>
      </c>
      <c r="AQ8" s="120">
        <f>AP8-AR8</f>
        <v>36464.34</v>
      </c>
      <c r="AR8" s="120">
        <f>SUM(AR9:AR13)</f>
        <v>0</v>
      </c>
      <c r="AS8" s="120">
        <f>VLOOKUP($C8,'1 预算编制表单'!$C:$BJ,48,FALSE)</f>
        <v>36464.34</v>
      </c>
      <c r="AT8" s="120">
        <f>AS8-AU8</f>
        <v>36464.34</v>
      </c>
      <c r="AU8" s="120">
        <f>SUM(AU9:AU13)</f>
        <v>0</v>
      </c>
      <c r="AV8" s="120">
        <f>VLOOKUP($C8,'1 预算编制表单'!$C:$BJ,51,FALSE)</f>
        <v>36464.34</v>
      </c>
      <c r="AW8" s="120">
        <f>AV8-AX8</f>
        <v>36464.34</v>
      </c>
      <c r="AX8" s="120">
        <f>SUM(AX9:AX13)</f>
        <v>0</v>
      </c>
      <c r="AY8" s="120">
        <f>VLOOKUP($C8,'1 预算编制表单'!$C:$BJ,54,FALSE)</f>
        <v>36464.34</v>
      </c>
      <c r="AZ8" s="120">
        <f>AY8-BA8</f>
        <v>36464.34</v>
      </c>
      <c r="BA8" s="120">
        <f>SUM(BA9:BA13)</f>
        <v>0</v>
      </c>
      <c r="BB8" s="120">
        <f>VLOOKUP($C8,'1 预算编制表单'!$C:$BJ,57,FALSE)</f>
        <v>36464.34</v>
      </c>
      <c r="BC8" s="120">
        <f>BB8-BD8</f>
        <v>36464.34</v>
      </c>
      <c r="BD8" s="120">
        <f>SUM(BD9:BD13)</f>
        <v>0</v>
      </c>
      <c r="BE8" s="120">
        <f>VLOOKUP($C8,'1 预算编制表单'!$C:$BJ,60,FALSE)</f>
        <v>42590.94</v>
      </c>
      <c r="BF8" s="120">
        <f>BE8-BG8</f>
        <v>42590.94</v>
      </c>
      <c r="BG8" s="120">
        <f>SUM(BG9:BG13)</f>
        <v>0</v>
      </c>
      <c r="BH8" s="120">
        <f>VLOOKUP($C8,'1 预算编制表单'!$C:$BJ,27,FALSE)</f>
        <v>38249.22</v>
      </c>
      <c r="BI8" s="120">
        <f t="shared" si="13"/>
        <v>38249.22</v>
      </c>
      <c r="BJ8" s="120">
        <f>SUM(BJ9:BJ13)</f>
        <v>0</v>
      </c>
      <c r="BK8" s="120">
        <f>VLOOKUP($C8,'1 预算编制表单'!$C:$BJ,30,FALSE)</f>
        <v>36464.34</v>
      </c>
      <c r="BL8" s="120">
        <f t="shared" si="14"/>
        <v>36464.34</v>
      </c>
      <c r="BM8" s="120">
        <f>SUM(BM9:BM13)</f>
        <v>0</v>
      </c>
      <c r="BN8" s="120">
        <f>VLOOKUP($C8,'1 预算编制表单'!$C:$BJ,33,FALSE)</f>
        <v>36464.34</v>
      </c>
      <c r="BO8" s="120">
        <f t="shared" si="15"/>
        <v>36464.34</v>
      </c>
      <c r="BP8" s="120">
        <f>SUM(BP9:BP13)</f>
        <v>0</v>
      </c>
      <c r="BQ8" s="120">
        <f>VLOOKUP($C8,'1 预算编制表单'!$C:$BJ,36,FALSE)</f>
        <v>36464.34</v>
      </c>
      <c r="BR8" s="120">
        <f t="shared" si="16"/>
        <v>36464.34</v>
      </c>
      <c r="BS8" s="120">
        <f>SUM(BS9:BS13)</f>
        <v>0</v>
      </c>
      <c r="BT8" s="120">
        <f>VLOOKUP($C8,'1 预算编制表单'!$C:$BJ,39,FALSE)</f>
        <v>36464.34</v>
      </c>
      <c r="BU8" s="120">
        <f t="shared" si="17"/>
        <v>36464.34</v>
      </c>
      <c r="BV8" s="120">
        <f>SUM(BV9:BV13)</f>
        <v>0</v>
      </c>
      <c r="BW8" s="120">
        <f>VLOOKUP($C8,'1 预算编制表单'!$C:$BJ,42,FALSE)</f>
        <v>36464.34</v>
      </c>
      <c r="BX8" s="120">
        <f t="shared" si="18"/>
        <v>36464.34</v>
      </c>
      <c r="BY8" s="120">
        <f>SUM(BY9:BY13)</f>
        <v>0</v>
      </c>
      <c r="BZ8" s="120">
        <f>VLOOKUP($C8,'1 预算编制表单'!$C:$BJ,45,FALSE)</f>
        <v>36464.34</v>
      </c>
      <c r="CA8" s="120">
        <f t="shared" si="19"/>
        <v>36464.34</v>
      </c>
      <c r="CB8" s="120">
        <f>SUM(CB9:CB13)</f>
        <v>0</v>
      </c>
      <c r="CC8" s="120">
        <f>VLOOKUP($C8,'1 预算编制表单'!$C:$BJ,48,FALSE)</f>
        <v>36464.34</v>
      </c>
      <c r="CD8" s="120">
        <f t="shared" si="20"/>
        <v>36464.34</v>
      </c>
      <c r="CE8" s="120">
        <f>SUM(CE9:CE13)</f>
        <v>0</v>
      </c>
      <c r="CF8" s="120">
        <f>VLOOKUP($C8,'1 预算编制表单'!$C:$BJ,51,FALSE)</f>
        <v>36464.34</v>
      </c>
      <c r="CG8" s="120">
        <f t="shared" si="21"/>
        <v>36464.34</v>
      </c>
      <c r="CH8" s="120">
        <f>SUM(CH9:CH13)</f>
        <v>0</v>
      </c>
      <c r="CI8" s="120">
        <f>VLOOKUP($C8,'1 预算编制表单'!$C:$BJ,54,FALSE)</f>
        <v>36464.34</v>
      </c>
      <c r="CJ8" s="120">
        <f t="shared" si="22"/>
        <v>36464.34</v>
      </c>
      <c r="CK8" s="120">
        <f>SUM(CK9:CK13)</f>
        <v>0</v>
      </c>
      <c r="CL8" s="120">
        <f>VLOOKUP($C8,'1 预算编制表单'!$C:$BJ,57,FALSE)</f>
        <v>36464.34</v>
      </c>
      <c r="CM8" s="120">
        <f t="shared" si="23"/>
        <v>36464.34</v>
      </c>
      <c r="CN8" s="120">
        <f>SUM(CN9:CN13)</f>
        <v>0</v>
      </c>
      <c r="CO8" s="120">
        <f>VLOOKUP($C8,'1 预算编制表单'!$C:$BJ,60,FALSE)</f>
        <v>42590.94</v>
      </c>
      <c r="CP8" s="120">
        <f t="shared" si="24"/>
        <v>42590.94</v>
      </c>
      <c r="CQ8" s="120">
        <f>SUM(CQ9:CQ13)</f>
        <v>0</v>
      </c>
    </row>
    <row r="9" s="82" customFormat="1" ht="24" hidden="1"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hidden="1"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hidden="1"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hidden="1"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hidden="1"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hidden="1" customHeight="1" outlineLevel="3" collapsed="1"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hidden="1"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hidden="1"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hidden="1"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hidden="1"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hidden="1"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hidden="1" customHeight="1" outlineLevel="3" collapsed="1"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hidden="1"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hidden="1"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hidden="1"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hidden="1"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hidden="1"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hidden="1" customHeight="1" outlineLevel="2" collapsed="1"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hidden="1" customHeight="1" outlineLevel="3" collapsed="1"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hidden="1"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hidden="1"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hidden="1"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hidden="1"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hidden="1"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hidden="1" customHeight="1" outlineLevel="3" collapsed="1"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hidden="1"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hidden="1"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hidden="1"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hidden="1"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hidden="1"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hidden="1" customHeight="1" outlineLevel="3" collapsed="1"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hidden="1"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hidden="1"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hidden="1"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hidden="1"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hidden="1"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hidden="1" customHeight="1" outlineLevel="2" collapsed="1" spans="1:95">
      <c r="A45" s="48"/>
      <c r="B45" s="114" t="s">
        <v>794</v>
      </c>
      <c r="C45" s="115" t="s">
        <v>882</v>
      </c>
      <c r="D45" s="48" t="s">
        <v>883</v>
      </c>
      <c r="E45" s="114"/>
      <c r="F45" s="114"/>
      <c r="G45" s="114"/>
      <c r="H45" s="116">
        <f>X45+AA45+AD45+AG45+AJ45+AM45+AP45+AS45+AV45+AY45+BB45+BE45</f>
        <v>226415.094339623</v>
      </c>
      <c r="I45" s="116">
        <f>Y45+AB45+AE45+AH45+AK45+AN45+AQ45+AT45+AW45+AZ45+BC45+BF45</f>
        <v>87017.8340656502</v>
      </c>
      <c r="J45" s="116">
        <f t="shared" si="5"/>
        <v>139397.260273973</v>
      </c>
      <c r="K45" s="116"/>
      <c r="L45" s="147"/>
      <c r="M45" s="147"/>
      <c r="N45" s="116"/>
      <c r="O45" s="116"/>
      <c r="P45" s="116"/>
      <c r="Q45" s="116"/>
      <c r="R45" s="116"/>
      <c r="S45" s="116"/>
      <c r="T45" s="116"/>
      <c r="U45" s="116"/>
      <c r="V45" s="116"/>
      <c r="W45" s="116"/>
      <c r="X45" s="116">
        <f>VLOOKUP($C45,'1 预算编制表单'!$C:$BJ,27,FALSE)</f>
        <v>18867.9245283019</v>
      </c>
      <c r="Y45" s="116">
        <f>X45-Z45</f>
        <v>-1515.6371155337</v>
      </c>
      <c r="Z45" s="116">
        <f>Z46+Z52+Z58+Z64</f>
        <v>20383.5616438356</v>
      </c>
      <c r="AA45" s="116">
        <f>VLOOKUP($C45,'1 预算编制表单'!$C:$BJ,30,FALSE)</f>
        <v>18867.9245283019</v>
      </c>
      <c r="AB45" s="116">
        <f>AA45-AC45</f>
        <v>456.9656241923</v>
      </c>
      <c r="AC45" s="116">
        <f>AC46+AC52+AC58+AC64</f>
        <v>18410.9589041096</v>
      </c>
      <c r="AD45" s="116">
        <f>VLOOKUP($C45,'1 预算编制表单'!$C:$BJ,33,FALSE)</f>
        <v>18867.9245283019</v>
      </c>
      <c r="AE45" s="116">
        <f>AD45-AF45</f>
        <v>-1515.6371155337</v>
      </c>
      <c r="AF45" s="116">
        <f>AF46+AF52+AF58+AF64</f>
        <v>20383.5616438356</v>
      </c>
      <c r="AG45" s="116">
        <f>VLOOKUP($C45,'1 预算编制表单'!$C:$BJ,36,FALSE)</f>
        <v>18867.9245283019</v>
      </c>
      <c r="AH45" s="116">
        <f>AG45-AI45</f>
        <v>-858.102868958398</v>
      </c>
      <c r="AI45" s="116">
        <f>AI46+AI52+AI58+AI64</f>
        <v>19726.0273972603</v>
      </c>
      <c r="AJ45" s="116">
        <f>VLOOKUP($C45,'1 预算编制表单'!$C:$BJ,39,FALSE)</f>
        <v>18867.9245283019</v>
      </c>
      <c r="AK45" s="116">
        <f>AJ45-AL45</f>
        <v>-1515.6371155337</v>
      </c>
      <c r="AL45" s="116">
        <f>AL46+AL52+AL58+AL64</f>
        <v>20383.5616438356</v>
      </c>
      <c r="AM45" s="116">
        <f>VLOOKUP($C45,'1 预算编制表单'!$C:$BJ,42,FALSE)</f>
        <v>18867.9245283019</v>
      </c>
      <c r="AN45" s="116">
        <f>AM45-AO45</f>
        <v>-858.102868958398</v>
      </c>
      <c r="AO45" s="116">
        <f>AO46+AO52+AO58+AO64</f>
        <v>19726.0273972603</v>
      </c>
      <c r="AP45" s="116">
        <f>VLOOKUP($C45,'1 预算编制表单'!$C:$BJ,45,FALSE)</f>
        <v>18867.9245283019</v>
      </c>
      <c r="AQ45" s="116">
        <f>AP45-AR45</f>
        <v>-1515.6371155337</v>
      </c>
      <c r="AR45" s="116">
        <f>AR46+AR52+AR58+AR64</f>
        <v>20383.5616438356</v>
      </c>
      <c r="AS45" s="116">
        <f>VLOOKUP($C45,'1 预算编制表单'!$C:$BJ,48,FALSE)</f>
        <v>18867.9245283019</v>
      </c>
      <c r="AT45" s="116">
        <f>AS45-AU45</f>
        <v>18867.9245283019</v>
      </c>
      <c r="AU45" s="116">
        <f>AU46+AU52+AU58+AU64</f>
        <v>0</v>
      </c>
      <c r="AV45" s="116">
        <f>VLOOKUP($C45,'1 预算编制表单'!$C:$BJ,51,FALSE)</f>
        <v>18867.9245283019</v>
      </c>
      <c r="AW45" s="116">
        <f>AV45-AX45</f>
        <v>18867.9245283019</v>
      </c>
      <c r="AX45" s="116">
        <f>AX46+AX52+AX58+AX64</f>
        <v>0</v>
      </c>
      <c r="AY45" s="116">
        <f>VLOOKUP($C45,'1 预算编制表单'!$C:$BJ,54,FALSE)</f>
        <v>18867.9245283019</v>
      </c>
      <c r="AZ45" s="116">
        <f>AY45-BA45</f>
        <v>18867.9245283019</v>
      </c>
      <c r="BA45" s="116">
        <f>BA46+BA52+BA58+BA64</f>
        <v>0</v>
      </c>
      <c r="BB45" s="116">
        <f>VLOOKUP($C45,'1 预算编制表单'!$C:$BJ,57,FALSE)</f>
        <v>18867.9245283019</v>
      </c>
      <c r="BC45" s="116">
        <f>BB45-BD45</f>
        <v>18867.9245283019</v>
      </c>
      <c r="BD45" s="116">
        <f>BD46+BD52+BD58+BD64</f>
        <v>0</v>
      </c>
      <c r="BE45" s="116">
        <f>VLOOKUP($C45,'1 预算编制表单'!$C:$BJ,60,FALSE)</f>
        <v>18867.9245283019</v>
      </c>
      <c r="BF45" s="116">
        <f>BE45-BG45</f>
        <v>18867.9245283019</v>
      </c>
      <c r="BG45" s="116">
        <f>BG46+BG52+BG58+BG64</f>
        <v>0</v>
      </c>
      <c r="BH45" s="116">
        <f>VLOOKUP($C45,'1 预算编制表单'!$C:$BJ,27,FALSE)</f>
        <v>18867.9245283019</v>
      </c>
      <c r="BI45" s="116">
        <f>BH45-BJ45</f>
        <v>18867.9245283019</v>
      </c>
      <c r="BJ45" s="116">
        <f>BJ46+BJ52+BJ58+BJ64</f>
        <v>0</v>
      </c>
      <c r="BK45" s="116">
        <f>VLOOKUP($C45,'1 预算编制表单'!$C:$BJ,30,FALSE)</f>
        <v>18867.9245283019</v>
      </c>
      <c r="BL45" s="116">
        <f>BK45-BM45</f>
        <v>18867.9245283019</v>
      </c>
      <c r="BM45" s="116">
        <f>BM46+BM52+BM58+BM64</f>
        <v>0</v>
      </c>
      <c r="BN45" s="116">
        <f>VLOOKUP($C45,'1 预算编制表单'!$C:$BJ,33,FALSE)</f>
        <v>18867.9245283019</v>
      </c>
      <c r="BO45" s="116">
        <f>BN45-BP45</f>
        <v>18867.9245283019</v>
      </c>
      <c r="BP45" s="116">
        <f>BP46+BP52+BP58+BP64</f>
        <v>0</v>
      </c>
      <c r="BQ45" s="116">
        <f>VLOOKUP($C45,'1 预算编制表单'!$C:$BJ,36,FALSE)</f>
        <v>18867.9245283019</v>
      </c>
      <c r="BR45" s="116">
        <f>BQ45-BS45</f>
        <v>18867.9245283019</v>
      </c>
      <c r="BS45" s="116">
        <f>BS46+BS52+BS58+BS64</f>
        <v>0</v>
      </c>
      <c r="BT45" s="116">
        <f>VLOOKUP($C45,'1 预算编制表单'!$C:$BJ,39,FALSE)</f>
        <v>18867.9245283019</v>
      </c>
      <c r="BU45" s="116">
        <f>BT45-BV45</f>
        <v>18867.9245283019</v>
      </c>
      <c r="BV45" s="116">
        <f>BV46+BV52+BV58+BV64</f>
        <v>0</v>
      </c>
      <c r="BW45" s="116">
        <f>VLOOKUP($C45,'1 预算编制表单'!$C:$BJ,42,FALSE)</f>
        <v>18867.9245283019</v>
      </c>
      <c r="BX45" s="116">
        <f>BW45-BY45</f>
        <v>18867.9245283019</v>
      </c>
      <c r="BY45" s="116">
        <f>BY46+BY52+BY58+BY64</f>
        <v>0</v>
      </c>
      <c r="BZ45" s="116">
        <f>VLOOKUP($C45,'1 预算编制表单'!$C:$BJ,45,FALSE)</f>
        <v>18867.9245283019</v>
      </c>
      <c r="CA45" s="116">
        <f>BZ45-CB45</f>
        <v>18867.9245283019</v>
      </c>
      <c r="CB45" s="116">
        <f>CB46+CB52+CB58+CB64</f>
        <v>0</v>
      </c>
      <c r="CC45" s="116">
        <f>VLOOKUP($C45,'1 预算编制表单'!$C:$BJ,48,FALSE)</f>
        <v>18867.9245283019</v>
      </c>
      <c r="CD45" s="116">
        <f>CC45-CE45</f>
        <v>18867.9245283019</v>
      </c>
      <c r="CE45" s="116">
        <f>CE46+CE52+CE58+CE64</f>
        <v>0</v>
      </c>
      <c r="CF45" s="116">
        <f>VLOOKUP($C45,'1 预算编制表单'!$C:$BJ,51,FALSE)</f>
        <v>18867.9245283019</v>
      </c>
      <c r="CG45" s="116">
        <f>CF45-CH45</f>
        <v>18867.9245283019</v>
      </c>
      <c r="CH45" s="116">
        <f>CH46+CH52+CH58+CH64</f>
        <v>0</v>
      </c>
      <c r="CI45" s="116">
        <f>VLOOKUP($C45,'1 预算编制表单'!$C:$BJ,54,FALSE)</f>
        <v>18867.9245283019</v>
      </c>
      <c r="CJ45" s="116">
        <f>CI45-CK45</f>
        <v>18867.9245283019</v>
      </c>
      <c r="CK45" s="116">
        <f>CK46+CK52+CK58+CK64</f>
        <v>0</v>
      </c>
      <c r="CL45" s="116">
        <f>VLOOKUP($C45,'1 预算编制表单'!$C:$BJ,57,FALSE)</f>
        <v>18867.9245283019</v>
      </c>
      <c r="CM45" s="116">
        <f>CL45-CN45</f>
        <v>18867.9245283019</v>
      </c>
      <c r="CN45" s="116">
        <f>CN46+CN52+CN58+CN64</f>
        <v>0</v>
      </c>
      <c r="CO45" s="116">
        <f>VLOOKUP($C45,'1 预算编制表单'!$C:$BJ,60,FALSE)</f>
        <v>18867.9245283019</v>
      </c>
      <c r="CP45" s="116">
        <f>CO45-CQ45</f>
        <v>18867.9245283019</v>
      </c>
      <c r="CQ45" s="116">
        <f>CQ46+CQ52+CQ58+CQ64</f>
        <v>0</v>
      </c>
    </row>
    <row r="46" s="82" customFormat="1" ht="24" hidden="1" customHeight="1" outlineLevel="3" collapsed="1" spans="1:95">
      <c r="A46" s="117"/>
      <c r="B46" s="118" t="s">
        <v>799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hidden="1"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hidden="1"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hidden="1"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hidden="1"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hidden="1"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hidden="1" customHeight="1" outlineLevel="3" collapsed="1"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hidden="1"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hidden="1"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hidden="1"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hidden="1"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hidden="1"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hidden="1" customHeight="1" outlineLevel="3" collapsed="1" spans="1:95">
      <c r="A58" s="117"/>
      <c r="B58" s="118" t="s">
        <v>799</v>
      </c>
      <c r="C58" s="119" t="s">
        <v>14</v>
      </c>
      <c r="D58" s="117" t="s">
        <v>15</v>
      </c>
      <c r="E58" s="118"/>
      <c r="F58" s="118"/>
      <c r="G58" s="118"/>
      <c r="H58" s="120">
        <f>X58+AA58+AD58+AG58+AJ58+AM58+AP58+AS58+AV58+AY58+BB58+BE58</f>
        <v>226415.094339623</v>
      </c>
      <c r="I58" s="120">
        <f>Y58+AB58+AE58+AH58+AK58+AN58+AQ58+AT58+AW58+AZ58+BC58+BF58</f>
        <v>87017.8340656502</v>
      </c>
      <c r="J58" s="120">
        <f t="shared" si="5"/>
        <v>139397.260273973</v>
      </c>
      <c r="K58" s="120"/>
      <c r="L58" s="148"/>
      <c r="M58" s="148"/>
      <c r="N58" s="120"/>
      <c r="O58" s="120"/>
      <c r="P58" s="120"/>
      <c r="Q58" s="120"/>
      <c r="R58" s="120"/>
      <c r="S58" s="120"/>
      <c r="T58" s="120"/>
      <c r="U58" s="120"/>
      <c r="V58" s="120"/>
      <c r="W58" s="120"/>
      <c r="X58" s="120">
        <f>VLOOKUP($C58,'1 预算编制表单'!$C:$BJ,27,FALSE)</f>
        <v>18867.9245283019</v>
      </c>
      <c r="Y58" s="120">
        <f>X58-Z58</f>
        <v>-1515.63711553371</v>
      </c>
      <c r="Z58" s="120">
        <f>SUM(Z59:Z63)</f>
        <v>20383.5616438356</v>
      </c>
      <c r="AA58" s="120">
        <f>VLOOKUP($C58,'1 预算编制表单'!$C:$BJ,30,FALSE)</f>
        <v>18867.9245283019</v>
      </c>
      <c r="AB58" s="120">
        <f>AA58-AC58</f>
        <v>456.965624192311</v>
      </c>
      <c r="AC58" s="120">
        <f>SUM(AC59:AC63)</f>
        <v>18410.9589041096</v>
      </c>
      <c r="AD58" s="120">
        <f>VLOOKUP($C58,'1 预算编制表单'!$C:$BJ,33,FALSE)</f>
        <v>18867.9245283019</v>
      </c>
      <c r="AE58" s="120">
        <f>AD58-AF58</f>
        <v>-1515.63711553371</v>
      </c>
      <c r="AF58" s="120">
        <f>SUM(AF59:AF63)</f>
        <v>20383.5616438356</v>
      </c>
      <c r="AG58" s="120">
        <f>VLOOKUP($C58,'1 预算编制表单'!$C:$BJ,36,FALSE)</f>
        <v>18867.9245283019</v>
      </c>
      <c r="AH58" s="120">
        <f>AG58-AI58</f>
        <v>-858.102868958373</v>
      </c>
      <c r="AI58" s="120">
        <f>SUM(AI59:AI63)</f>
        <v>19726.0273972603</v>
      </c>
      <c r="AJ58" s="120">
        <f>VLOOKUP($C58,'1 预算编制表单'!$C:$BJ,39,FALSE)</f>
        <v>18867.9245283019</v>
      </c>
      <c r="AK58" s="120">
        <f>AJ58-AL58</f>
        <v>-1515.63711553371</v>
      </c>
      <c r="AL58" s="120">
        <f>SUM(AL59:AL63)</f>
        <v>20383.5616438356</v>
      </c>
      <c r="AM58" s="120">
        <f>VLOOKUP($C58,'1 预算编制表单'!$C:$BJ,42,FALSE)</f>
        <v>18867.9245283019</v>
      </c>
      <c r="AN58" s="120">
        <f>AM58-AO58</f>
        <v>-858.102868958373</v>
      </c>
      <c r="AO58" s="120">
        <f>SUM(AO59:AO63)</f>
        <v>19726.0273972603</v>
      </c>
      <c r="AP58" s="120">
        <f>VLOOKUP($C58,'1 预算编制表单'!$C:$BJ,45,FALSE)</f>
        <v>18867.9245283019</v>
      </c>
      <c r="AQ58" s="120">
        <f>AP58-AR58</f>
        <v>-1515.63711553371</v>
      </c>
      <c r="AR58" s="120">
        <f>SUM(AR59:AR63)</f>
        <v>20383.5616438356</v>
      </c>
      <c r="AS58" s="120">
        <f>VLOOKUP($C58,'1 预算编制表单'!$C:$BJ,48,FALSE)</f>
        <v>18867.9245283019</v>
      </c>
      <c r="AT58" s="120">
        <f>AS58-AU58</f>
        <v>18867.9245283019</v>
      </c>
      <c r="AU58" s="120">
        <f>SUM(AU59:AU63)</f>
        <v>0</v>
      </c>
      <c r="AV58" s="120">
        <f>VLOOKUP($C58,'1 预算编制表单'!$C:$BJ,51,FALSE)</f>
        <v>18867.9245283019</v>
      </c>
      <c r="AW58" s="120">
        <f>AV58-AX58</f>
        <v>18867.9245283019</v>
      </c>
      <c r="AX58" s="120">
        <f>SUM(AX59:AX63)</f>
        <v>0</v>
      </c>
      <c r="AY58" s="120">
        <f>VLOOKUP($C58,'1 预算编制表单'!$C:$BJ,54,FALSE)</f>
        <v>18867.9245283019</v>
      </c>
      <c r="AZ58" s="120">
        <f>AY58-BA58</f>
        <v>18867.9245283019</v>
      </c>
      <c r="BA58" s="120">
        <f>SUM(BA59:BA63)</f>
        <v>0</v>
      </c>
      <c r="BB58" s="120">
        <f>VLOOKUP($C58,'1 预算编制表单'!$C:$BJ,57,FALSE)</f>
        <v>18867.9245283019</v>
      </c>
      <c r="BC58" s="120">
        <f>BB58-BD58</f>
        <v>18867.9245283019</v>
      </c>
      <c r="BD58" s="120">
        <f>SUM(BD59:BD63)</f>
        <v>0</v>
      </c>
      <c r="BE58" s="120">
        <f>VLOOKUP($C58,'1 预算编制表单'!$C:$BJ,60,FALSE)</f>
        <v>18867.9245283019</v>
      </c>
      <c r="BF58" s="120">
        <f>BE58-BG58</f>
        <v>18867.9245283019</v>
      </c>
      <c r="BG58" s="120">
        <f>SUM(BG59:BG63)</f>
        <v>0</v>
      </c>
      <c r="BH58" s="120">
        <f>VLOOKUP($C58,'1 预算编制表单'!$C:$BJ,27,FALSE)</f>
        <v>18867.9245283019</v>
      </c>
      <c r="BI58" s="120">
        <f>BH58-BJ58</f>
        <v>18867.9245283019</v>
      </c>
      <c r="BJ58" s="120">
        <f>SUM(BJ59:BJ63)</f>
        <v>0</v>
      </c>
      <c r="BK58" s="120">
        <f>VLOOKUP($C58,'1 预算编制表单'!$C:$BJ,30,FALSE)</f>
        <v>18867.9245283019</v>
      </c>
      <c r="BL58" s="120">
        <f>BK58-BM58</f>
        <v>18867.9245283019</v>
      </c>
      <c r="BM58" s="120">
        <f>SUM(BM59:BM63)</f>
        <v>0</v>
      </c>
      <c r="BN58" s="120">
        <f>VLOOKUP($C58,'1 预算编制表单'!$C:$BJ,33,FALSE)</f>
        <v>18867.9245283019</v>
      </c>
      <c r="BO58" s="120">
        <f>BN58-BP58</f>
        <v>18867.9245283019</v>
      </c>
      <c r="BP58" s="120">
        <f>SUM(BP59:BP63)</f>
        <v>0</v>
      </c>
      <c r="BQ58" s="120">
        <f>VLOOKUP($C58,'1 预算编制表单'!$C:$BJ,36,FALSE)</f>
        <v>18867.9245283019</v>
      </c>
      <c r="BR58" s="120">
        <f>BQ58-BS58</f>
        <v>18867.9245283019</v>
      </c>
      <c r="BS58" s="120">
        <f>SUM(BS59:BS63)</f>
        <v>0</v>
      </c>
      <c r="BT58" s="120">
        <f>VLOOKUP($C58,'1 预算编制表单'!$C:$BJ,39,FALSE)</f>
        <v>18867.9245283019</v>
      </c>
      <c r="BU58" s="120">
        <f>BT58-BV58</f>
        <v>18867.9245283019</v>
      </c>
      <c r="BV58" s="120">
        <f>SUM(BV59:BV63)</f>
        <v>0</v>
      </c>
      <c r="BW58" s="120">
        <f>VLOOKUP($C58,'1 预算编制表单'!$C:$BJ,42,FALSE)</f>
        <v>18867.9245283019</v>
      </c>
      <c r="BX58" s="120">
        <f>BW58-BY58</f>
        <v>18867.9245283019</v>
      </c>
      <c r="BY58" s="120">
        <f>SUM(BY59:BY63)</f>
        <v>0</v>
      </c>
      <c r="BZ58" s="120">
        <f>VLOOKUP($C58,'1 预算编制表单'!$C:$BJ,45,FALSE)</f>
        <v>18867.9245283019</v>
      </c>
      <c r="CA58" s="120">
        <f>BZ58-CB58</f>
        <v>18867.9245283019</v>
      </c>
      <c r="CB58" s="120">
        <f>SUM(CB59:CB63)</f>
        <v>0</v>
      </c>
      <c r="CC58" s="120">
        <f>VLOOKUP($C58,'1 预算编制表单'!$C:$BJ,48,FALSE)</f>
        <v>18867.9245283019</v>
      </c>
      <c r="CD58" s="120">
        <f>CC58-CE58</f>
        <v>18867.9245283019</v>
      </c>
      <c r="CE58" s="120">
        <f>SUM(CE59:CE63)</f>
        <v>0</v>
      </c>
      <c r="CF58" s="120">
        <f>VLOOKUP($C58,'1 预算编制表单'!$C:$BJ,51,FALSE)</f>
        <v>18867.9245283019</v>
      </c>
      <c r="CG58" s="120">
        <f>CF58-CH58</f>
        <v>18867.9245283019</v>
      </c>
      <c r="CH58" s="120">
        <f>SUM(CH59:CH63)</f>
        <v>0</v>
      </c>
      <c r="CI58" s="120">
        <f>VLOOKUP($C58,'1 预算编制表单'!$C:$BJ,54,FALSE)</f>
        <v>18867.9245283019</v>
      </c>
      <c r="CJ58" s="120">
        <f>CI58-CK58</f>
        <v>18867.9245283019</v>
      </c>
      <c r="CK58" s="120">
        <f>SUM(CK59:CK63)</f>
        <v>0</v>
      </c>
      <c r="CL58" s="120">
        <f>VLOOKUP($C58,'1 预算编制表单'!$C:$BJ,57,FALSE)</f>
        <v>18867.9245283019</v>
      </c>
      <c r="CM58" s="120">
        <f>CL58-CN58</f>
        <v>18867.9245283019</v>
      </c>
      <c r="CN58" s="120">
        <f>SUM(CN59:CN63)</f>
        <v>0</v>
      </c>
      <c r="CO58" s="120">
        <f>VLOOKUP($C58,'1 预算编制表单'!$C:$BJ,60,FALSE)</f>
        <v>18867.9245283019</v>
      </c>
      <c r="CP58" s="120">
        <f>CO58-CQ58</f>
        <v>18867.9245283019</v>
      </c>
      <c r="CQ58" s="120">
        <f>SUM(CQ59:CQ63)</f>
        <v>0</v>
      </c>
    </row>
    <row r="59" s="82" customFormat="1" ht="24" hidden="1" customHeight="1" outlineLevel="4" spans="1:95">
      <c r="A59" s="121"/>
      <c r="B59" s="122"/>
      <c r="C59" s="123"/>
      <c r="D59" s="121"/>
      <c r="E59" s="122"/>
      <c r="F59" s="122"/>
      <c r="G59" s="122"/>
      <c r="H59" s="124"/>
      <c r="I59" s="124"/>
      <c r="J59" s="124">
        <f t="shared" si="5"/>
        <v>139397.260273973</v>
      </c>
      <c r="K59" s="124">
        <v>1</v>
      </c>
      <c r="L59" s="149" t="s">
        <v>2823</v>
      </c>
      <c r="M59" s="150" t="str">
        <f>IFERROR(VLOOKUP($L59,'2-2 引出数据_合同数据仓库'!$B$2:$BP$10000,3,FALSE),0)</f>
        <v>银湖实验小学2024-2025年清洁外包服务合同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2024-07-31</v>
      </c>
      <c r="R59" s="124" t="str">
        <f>IFERROR(VLOOKUP($L59,'2-2 引出数据_合同数据仓库'!$B$2:$BP$10000,29,FALSE),0)</f>
        <v>2024-08-01</v>
      </c>
      <c r="S59" s="124" t="str">
        <f>IFERROR(VLOOKUP($L59,'2-2 引出数据_合同数据仓库'!$B$2:$BP$10000,4,FALSE),0)</f>
        <v>2025-07-31</v>
      </c>
      <c r="T59" s="124"/>
      <c r="U59" s="124">
        <f>IFERROR(VLOOKUP($L59,'2-2 引出数据_合同数据仓库'!$B$2:$BP$10000,15,FALSE),0)</f>
        <v>240000</v>
      </c>
      <c r="V59" s="124">
        <f t="shared" ref="V59:V62" si="670">U59/(S59-R59+1)*365</f>
        <v>240000</v>
      </c>
      <c r="W59" s="124"/>
      <c r="X59" s="156">
        <v>45658</v>
      </c>
      <c r="Y59" s="156">
        <f t="shared" ref="Y59:Y62" si="671">X59+30</f>
        <v>45688</v>
      </c>
      <c r="Z59" s="160">
        <f t="shared" ref="Z59:Z62" si="672">IFERROR(IF(($R59-Y59)&gt;=0,0,IF(($S59-X59)&lt;0,0,IF(AND(($S59-Y59)&gt;0,(X59-$R59)&gt;0),$V59/365*(Y59-X59+1),IF(AND(($S59-Y59)&lt;=0,(X59-$R59)&gt;0),$V59/365*($S59-X59+1),$V59/365*(Y59-$R59+1))))),0)</f>
        <v>20383.5616438356</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18410.9589041096</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20383.5616438356</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19726.0273972603</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20383.5616438356</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19726.0273972603</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20383.5616438356</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0</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0</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0</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hidden="1"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hidden="1"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hidden="1"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hidden="1"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hidden="1" customHeight="1" outlineLevel="3" collapsed="1"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hidden="1"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hidden="1"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hidden="1"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hidden="1"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hidden="1"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hidden="1" customHeight="1" outlineLevel="2" collapsed="1" spans="1:95">
      <c r="A70" s="48"/>
      <c r="B70" s="114" t="s">
        <v>794</v>
      </c>
      <c r="C70" s="115" t="s">
        <v>983</v>
      </c>
      <c r="D70" s="48" t="s">
        <v>984</v>
      </c>
      <c r="E70" s="114"/>
      <c r="F70" s="114"/>
      <c r="G70" s="114"/>
      <c r="H70" s="116">
        <f>X70+AA70+AD70+AG70+AJ70+AM70+AP70+AS70+AV70+AY70+BB70+BE70</f>
        <v>72047.3</v>
      </c>
      <c r="I70" s="116">
        <f>Y70+AB70+AE70+AH70+AK70+AN70+AQ70+AT70+AW70+AZ70+BC70+BF70</f>
        <v>72047.3</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6191.54</v>
      </c>
      <c r="Y70" s="116">
        <f>X70-Z70</f>
        <v>6191.54</v>
      </c>
      <c r="Z70" s="116">
        <f>Z71+Z77+Z83+Z89</f>
        <v>0</v>
      </c>
      <c r="AA70" s="116">
        <f>VLOOKUP($C70,'1 预算编制表单'!$C:$BJ,30,FALSE)</f>
        <v>5894.06</v>
      </c>
      <c r="AB70" s="116">
        <f>AA70-AC70</f>
        <v>5894.06</v>
      </c>
      <c r="AC70" s="116">
        <f>AC71+AC77+AC83+AC89</f>
        <v>0</v>
      </c>
      <c r="AD70" s="116">
        <f>VLOOKUP($C70,'1 预算编制表单'!$C:$BJ,33,FALSE)</f>
        <v>5894.06</v>
      </c>
      <c r="AE70" s="116">
        <f>AD70-AF70</f>
        <v>5894.06</v>
      </c>
      <c r="AF70" s="116">
        <f>AF71+AF77+AF83+AF89</f>
        <v>0</v>
      </c>
      <c r="AG70" s="116">
        <f>VLOOKUP($C70,'1 预算编制表单'!$C:$BJ,36,FALSE)</f>
        <v>5894.06</v>
      </c>
      <c r="AH70" s="116">
        <f>AG70-AI70</f>
        <v>5894.06</v>
      </c>
      <c r="AI70" s="116">
        <f>AI71+AI77+AI83+AI89</f>
        <v>0</v>
      </c>
      <c r="AJ70" s="116">
        <f>VLOOKUP($C70,'1 预算编制表单'!$C:$BJ,39,FALSE)</f>
        <v>5894.06</v>
      </c>
      <c r="AK70" s="116">
        <f>AJ70-AL70</f>
        <v>5894.06</v>
      </c>
      <c r="AL70" s="116">
        <f>AL71+AL77+AL83+AL89</f>
        <v>0</v>
      </c>
      <c r="AM70" s="116">
        <f>VLOOKUP($C70,'1 预算编制表单'!$C:$BJ,42,FALSE)</f>
        <v>5894.06</v>
      </c>
      <c r="AN70" s="116">
        <f>AM70-AO70</f>
        <v>5894.06</v>
      </c>
      <c r="AO70" s="116">
        <f>AO71+AO77+AO83+AO89</f>
        <v>0</v>
      </c>
      <c r="AP70" s="116">
        <f>VLOOKUP($C70,'1 预算编制表单'!$C:$BJ,45,FALSE)</f>
        <v>5894.06</v>
      </c>
      <c r="AQ70" s="116">
        <f>AP70-AR70</f>
        <v>5894.06</v>
      </c>
      <c r="AR70" s="116">
        <f>AR71+AR77+AR83+AR89</f>
        <v>0</v>
      </c>
      <c r="AS70" s="116">
        <f>VLOOKUP($C70,'1 预算编制表单'!$C:$BJ,48,FALSE)</f>
        <v>5894.06</v>
      </c>
      <c r="AT70" s="116">
        <f>AS70-AU70</f>
        <v>5894.06</v>
      </c>
      <c r="AU70" s="116">
        <f>AU71+AU77+AU83+AU89</f>
        <v>0</v>
      </c>
      <c r="AV70" s="116">
        <f>VLOOKUP($C70,'1 预算编制表单'!$C:$BJ,51,FALSE)</f>
        <v>5894.06</v>
      </c>
      <c r="AW70" s="116">
        <f>AV70-AX70</f>
        <v>5894.06</v>
      </c>
      <c r="AX70" s="116">
        <f>AX71+AX77+AX83+AX89</f>
        <v>0</v>
      </c>
      <c r="AY70" s="116">
        <f>VLOOKUP($C70,'1 预算编制表单'!$C:$BJ,54,FALSE)</f>
        <v>5894.06</v>
      </c>
      <c r="AZ70" s="116">
        <f>AY70-BA70</f>
        <v>5894.06</v>
      </c>
      <c r="BA70" s="116">
        <f>BA71+BA77+BA83+BA89</f>
        <v>0</v>
      </c>
      <c r="BB70" s="116">
        <f>VLOOKUP($C70,'1 预算编制表单'!$C:$BJ,57,FALSE)</f>
        <v>5894.06</v>
      </c>
      <c r="BC70" s="116">
        <f>BB70-BD70</f>
        <v>5894.06</v>
      </c>
      <c r="BD70" s="116">
        <f>BD71+BD77+BD83+BD89</f>
        <v>0</v>
      </c>
      <c r="BE70" s="116">
        <f>VLOOKUP($C70,'1 预算编制表单'!$C:$BJ,60,FALSE)</f>
        <v>6915.16</v>
      </c>
      <c r="BF70" s="116">
        <f>BE70-BG70</f>
        <v>6915.16</v>
      </c>
      <c r="BG70" s="116">
        <f>BG71+BG77+BG83+BG89</f>
        <v>0</v>
      </c>
      <c r="BH70" s="116">
        <f>VLOOKUP($C70,'1 预算编制表单'!$C:$BJ,27,FALSE)</f>
        <v>6191.54</v>
      </c>
      <c r="BI70" s="116">
        <f>BH70-BJ70</f>
        <v>6191.54</v>
      </c>
      <c r="BJ70" s="116">
        <f>BJ71+BJ77+BJ83+BJ89</f>
        <v>0</v>
      </c>
      <c r="BK70" s="116">
        <f>VLOOKUP($C70,'1 预算编制表单'!$C:$BJ,30,FALSE)</f>
        <v>5894.06</v>
      </c>
      <c r="BL70" s="116">
        <f>BK70-BM70</f>
        <v>5894.06</v>
      </c>
      <c r="BM70" s="116">
        <f>BM71+BM77+BM83+BM89</f>
        <v>0</v>
      </c>
      <c r="BN70" s="116">
        <f>VLOOKUP($C70,'1 预算编制表单'!$C:$BJ,33,FALSE)</f>
        <v>5894.06</v>
      </c>
      <c r="BO70" s="116">
        <f>BN70-BP70</f>
        <v>5894.06</v>
      </c>
      <c r="BP70" s="116">
        <f>BP71+BP77+BP83+BP89</f>
        <v>0</v>
      </c>
      <c r="BQ70" s="116">
        <f>VLOOKUP($C70,'1 预算编制表单'!$C:$BJ,36,FALSE)</f>
        <v>5894.06</v>
      </c>
      <c r="BR70" s="116">
        <f>BQ70-BS70</f>
        <v>5894.06</v>
      </c>
      <c r="BS70" s="116">
        <f>BS71+BS77+BS83+BS89</f>
        <v>0</v>
      </c>
      <c r="BT70" s="116">
        <f>VLOOKUP($C70,'1 预算编制表单'!$C:$BJ,39,FALSE)</f>
        <v>5894.06</v>
      </c>
      <c r="BU70" s="116">
        <f>BT70-BV70</f>
        <v>5894.06</v>
      </c>
      <c r="BV70" s="116">
        <f>BV71+BV77+BV83+BV89</f>
        <v>0</v>
      </c>
      <c r="BW70" s="116">
        <f>VLOOKUP($C70,'1 预算编制表单'!$C:$BJ,42,FALSE)</f>
        <v>5894.06</v>
      </c>
      <c r="BX70" s="116">
        <f>BW70-BY70</f>
        <v>5894.06</v>
      </c>
      <c r="BY70" s="116">
        <f>BY71+BY77+BY83+BY89</f>
        <v>0</v>
      </c>
      <c r="BZ70" s="116">
        <f>VLOOKUP($C70,'1 预算编制表单'!$C:$BJ,45,FALSE)</f>
        <v>5894.06</v>
      </c>
      <c r="CA70" s="116">
        <f>BZ70-CB70</f>
        <v>5894.06</v>
      </c>
      <c r="CB70" s="116">
        <f>CB71+CB77+CB83+CB89</f>
        <v>0</v>
      </c>
      <c r="CC70" s="116">
        <f>VLOOKUP($C70,'1 预算编制表单'!$C:$BJ,48,FALSE)</f>
        <v>5894.06</v>
      </c>
      <c r="CD70" s="116">
        <f>CC70-CE70</f>
        <v>5894.06</v>
      </c>
      <c r="CE70" s="116">
        <f>CE71+CE77+CE83+CE89</f>
        <v>0</v>
      </c>
      <c r="CF70" s="116">
        <f>VLOOKUP($C70,'1 预算编制表单'!$C:$BJ,51,FALSE)</f>
        <v>5894.06</v>
      </c>
      <c r="CG70" s="116">
        <f>CF70-CH70</f>
        <v>5894.06</v>
      </c>
      <c r="CH70" s="116">
        <f>CH71+CH77+CH83+CH89</f>
        <v>0</v>
      </c>
      <c r="CI70" s="116">
        <f>VLOOKUP($C70,'1 预算编制表单'!$C:$BJ,54,FALSE)</f>
        <v>5894.06</v>
      </c>
      <c r="CJ70" s="116">
        <f>CI70-CK70</f>
        <v>5894.06</v>
      </c>
      <c r="CK70" s="116">
        <f>CK71+CK77+CK83+CK89</f>
        <v>0</v>
      </c>
      <c r="CL70" s="116">
        <f>VLOOKUP($C70,'1 预算编制表单'!$C:$BJ,57,FALSE)</f>
        <v>5894.06</v>
      </c>
      <c r="CM70" s="116">
        <f>CL70-CN70</f>
        <v>5894.06</v>
      </c>
      <c r="CN70" s="116">
        <f>CN71+CN77+CN83+CN89</f>
        <v>0</v>
      </c>
      <c r="CO70" s="116">
        <f>VLOOKUP($C70,'1 预算编制表单'!$C:$BJ,60,FALSE)</f>
        <v>6915.16</v>
      </c>
      <c r="CP70" s="116">
        <f>CO70-CQ70</f>
        <v>6915.16</v>
      </c>
      <c r="CQ70" s="116">
        <f>CQ71+CQ77+CQ83+CQ89</f>
        <v>0</v>
      </c>
    </row>
    <row r="71" ht="24" hidden="1" customHeight="1" outlineLevel="3" collapsed="1" spans="1:95">
      <c r="A71" s="117"/>
      <c r="B71" s="118" t="s">
        <v>799</v>
      </c>
      <c r="C71" s="119" t="s">
        <v>118</v>
      </c>
      <c r="D71" s="117" t="s">
        <v>109</v>
      </c>
      <c r="E71" s="118"/>
      <c r="F71" s="118"/>
      <c r="G71" s="118"/>
      <c r="H71" s="120">
        <f>X71+AA71+AD71+AG71+AJ71+AM71+AP71+AS71+AV71+AY71+BB71+BE71</f>
        <v>72047.3</v>
      </c>
      <c r="I71" s="120">
        <f>Y71+AB71+AE71+AH71+AK71+AN71+AQ71+AT71+AW71+AZ71+BC71+BF71</f>
        <v>72047.3</v>
      </c>
      <c r="J71" s="120">
        <f t="shared" si="814"/>
        <v>0</v>
      </c>
      <c r="K71" s="120"/>
      <c r="L71" s="148"/>
      <c r="M71" s="148"/>
      <c r="N71" s="120"/>
      <c r="O71" s="120"/>
      <c r="P71" s="120"/>
      <c r="Q71" s="120"/>
      <c r="R71" s="120"/>
      <c r="S71" s="120"/>
      <c r="T71" s="120"/>
      <c r="U71" s="120"/>
      <c r="V71" s="120"/>
      <c r="W71" s="120"/>
      <c r="X71" s="120">
        <f>VLOOKUP($C71,'1 预算编制表单'!$C:$BJ,27,FALSE)</f>
        <v>6191.54</v>
      </c>
      <c r="Y71" s="120">
        <f>X71-Z71</f>
        <v>6191.54</v>
      </c>
      <c r="Z71" s="120">
        <f>SUM(Z72:Z76)</f>
        <v>0</v>
      </c>
      <c r="AA71" s="120">
        <f>VLOOKUP($C71,'1 预算编制表单'!$C:$BJ,30,FALSE)</f>
        <v>5894.06</v>
      </c>
      <c r="AB71" s="120">
        <f>AA71-AC71</f>
        <v>5894.06</v>
      </c>
      <c r="AC71" s="120">
        <f>SUM(AC72:AC76)</f>
        <v>0</v>
      </c>
      <c r="AD71" s="120">
        <f>VLOOKUP($C71,'1 预算编制表单'!$C:$BJ,33,FALSE)</f>
        <v>5894.06</v>
      </c>
      <c r="AE71" s="120">
        <f>AD71-AF71</f>
        <v>5894.06</v>
      </c>
      <c r="AF71" s="120">
        <f>SUM(AF72:AF76)</f>
        <v>0</v>
      </c>
      <c r="AG71" s="120">
        <f>VLOOKUP($C71,'1 预算编制表单'!$C:$BJ,36,FALSE)</f>
        <v>5894.06</v>
      </c>
      <c r="AH71" s="120">
        <f>AG71-AI71</f>
        <v>5894.06</v>
      </c>
      <c r="AI71" s="120">
        <f>SUM(AI72:AI76)</f>
        <v>0</v>
      </c>
      <c r="AJ71" s="120">
        <f>VLOOKUP($C71,'1 预算编制表单'!$C:$BJ,39,FALSE)</f>
        <v>5894.06</v>
      </c>
      <c r="AK71" s="120">
        <f>AJ71-AL71</f>
        <v>5894.06</v>
      </c>
      <c r="AL71" s="120">
        <f>SUM(AL72:AL76)</f>
        <v>0</v>
      </c>
      <c r="AM71" s="120">
        <f>VLOOKUP($C71,'1 预算编制表单'!$C:$BJ,42,FALSE)</f>
        <v>5894.06</v>
      </c>
      <c r="AN71" s="120">
        <f>AM71-AO71</f>
        <v>5894.06</v>
      </c>
      <c r="AO71" s="120">
        <f>SUM(AO72:AO76)</f>
        <v>0</v>
      </c>
      <c r="AP71" s="120">
        <f>VLOOKUP($C71,'1 预算编制表单'!$C:$BJ,45,FALSE)</f>
        <v>5894.06</v>
      </c>
      <c r="AQ71" s="120">
        <f>AP71-AR71</f>
        <v>5894.06</v>
      </c>
      <c r="AR71" s="120">
        <f>SUM(AR72:AR76)</f>
        <v>0</v>
      </c>
      <c r="AS71" s="120">
        <f>VLOOKUP($C71,'1 预算编制表单'!$C:$BJ,48,FALSE)</f>
        <v>5894.06</v>
      </c>
      <c r="AT71" s="120">
        <f>AS71-AU71</f>
        <v>5894.06</v>
      </c>
      <c r="AU71" s="120">
        <f>SUM(AU72:AU76)</f>
        <v>0</v>
      </c>
      <c r="AV71" s="120">
        <f>VLOOKUP($C71,'1 预算编制表单'!$C:$BJ,51,FALSE)</f>
        <v>5894.06</v>
      </c>
      <c r="AW71" s="120">
        <f>AV71-AX71</f>
        <v>5894.06</v>
      </c>
      <c r="AX71" s="120">
        <f>SUM(AX72:AX76)</f>
        <v>0</v>
      </c>
      <c r="AY71" s="120">
        <f>VLOOKUP($C71,'1 预算编制表单'!$C:$BJ,54,FALSE)</f>
        <v>5894.06</v>
      </c>
      <c r="AZ71" s="120">
        <f>AY71-BA71</f>
        <v>5894.06</v>
      </c>
      <c r="BA71" s="120">
        <f>SUM(BA72:BA76)</f>
        <v>0</v>
      </c>
      <c r="BB71" s="120">
        <f>VLOOKUP($C71,'1 预算编制表单'!$C:$BJ,57,FALSE)</f>
        <v>5894.06</v>
      </c>
      <c r="BC71" s="120">
        <f>BB71-BD71</f>
        <v>5894.06</v>
      </c>
      <c r="BD71" s="120">
        <f>SUM(BD72:BD76)</f>
        <v>0</v>
      </c>
      <c r="BE71" s="120">
        <f>VLOOKUP($C71,'1 预算编制表单'!$C:$BJ,60,FALSE)</f>
        <v>6915.16</v>
      </c>
      <c r="BF71" s="120">
        <f>BE71-BG71</f>
        <v>6915.16</v>
      </c>
      <c r="BG71" s="120">
        <f>SUM(BG72:BG76)</f>
        <v>0</v>
      </c>
      <c r="BH71" s="120">
        <f>VLOOKUP($C71,'1 预算编制表单'!$C:$BJ,27,FALSE)</f>
        <v>6191.54</v>
      </c>
      <c r="BI71" s="120">
        <f>BH71-BJ71</f>
        <v>6191.54</v>
      </c>
      <c r="BJ71" s="120">
        <f>SUM(BJ72:BJ76)</f>
        <v>0</v>
      </c>
      <c r="BK71" s="120">
        <f>VLOOKUP($C71,'1 预算编制表单'!$C:$BJ,30,FALSE)</f>
        <v>5894.06</v>
      </c>
      <c r="BL71" s="120">
        <f>BK71-BM71</f>
        <v>5894.06</v>
      </c>
      <c r="BM71" s="120">
        <f>SUM(BM72:BM76)</f>
        <v>0</v>
      </c>
      <c r="BN71" s="120">
        <f>VLOOKUP($C71,'1 预算编制表单'!$C:$BJ,33,FALSE)</f>
        <v>5894.06</v>
      </c>
      <c r="BO71" s="120">
        <f>BN71-BP71</f>
        <v>5894.06</v>
      </c>
      <c r="BP71" s="120">
        <f>SUM(BP72:BP76)</f>
        <v>0</v>
      </c>
      <c r="BQ71" s="120">
        <f>VLOOKUP($C71,'1 预算编制表单'!$C:$BJ,36,FALSE)</f>
        <v>5894.06</v>
      </c>
      <c r="BR71" s="120">
        <f>BQ71-BS71</f>
        <v>5894.06</v>
      </c>
      <c r="BS71" s="120">
        <f>SUM(BS72:BS76)</f>
        <v>0</v>
      </c>
      <c r="BT71" s="120">
        <f>VLOOKUP($C71,'1 预算编制表单'!$C:$BJ,39,FALSE)</f>
        <v>5894.06</v>
      </c>
      <c r="BU71" s="120">
        <f>BT71-BV71</f>
        <v>5894.06</v>
      </c>
      <c r="BV71" s="120">
        <f>SUM(BV72:BV76)</f>
        <v>0</v>
      </c>
      <c r="BW71" s="120">
        <f>VLOOKUP($C71,'1 预算编制表单'!$C:$BJ,42,FALSE)</f>
        <v>5894.06</v>
      </c>
      <c r="BX71" s="120">
        <f>BW71-BY71</f>
        <v>5894.06</v>
      </c>
      <c r="BY71" s="120">
        <f>SUM(BY72:BY76)</f>
        <v>0</v>
      </c>
      <c r="BZ71" s="120">
        <f>VLOOKUP($C71,'1 预算编制表单'!$C:$BJ,45,FALSE)</f>
        <v>5894.06</v>
      </c>
      <c r="CA71" s="120">
        <f>BZ71-CB71</f>
        <v>5894.06</v>
      </c>
      <c r="CB71" s="120">
        <f>SUM(CB72:CB76)</f>
        <v>0</v>
      </c>
      <c r="CC71" s="120">
        <f>VLOOKUP($C71,'1 预算编制表单'!$C:$BJ,48,FALSE)</f>
        <v>5894.06</v>
      </c>
      <c r="CD71" s="120">
        <f>CC71-CE71</f>
        <v>5894.06</v>
      </c>
      <c r="CE71" s="120">
        <f>SUM(CE72:CE76)</f>
        <v>0</v>
      </c>
      <c r="CF71" s="120">
        <f>VLOOKUP($C71,'1 预算编制表单'!$C:$BJ,51,FALSE)</f>
        <v>5894.06</v>
      </c>
      <c r="CG71" s="120">
        <f>CF71-CH71</f>
        <v>5894.06</v>
      </c>
      <c r="CH71" s="120">
        <f>SUM(CH72:CH76)</f>
        <v>0</v>
      </c>
      <c r="CI71" s="120">
        <f>VLOOKUP($C71,'1 预算编制表单'!$C:$BJ,54,FALSE)</f>
        <v>5894.06</v>
      </c>
      <c r="CJ71" s="120">
        <f>CI71-CK71</f>
        <v>5894.06</v>
      </c>
      <c r="CK71" s="120">
        <f>SUM(CK72:CK76)</f>
        <v>0</v>
      </c>
      <c r="CL71" s="120">
        <f>VLOOKUP($C71,'1 预算编制表单'!$C:$BJ,57,FALSE)</f>
        <v>5894.06</v>
      </c>
      <c r="CM71" s="120">
        <f>CL71-CN71</f>
        <v>5894.06</v>
      </c>
      <c r="CN71" s="120">
        <f>SUM(CN72:CN76)</f>
        <v>0</v>
      </c>
      <c r="CO71" s="120">
        <f>VLOOKUP($C71,'1 预算编制表单'!$C:$BJ,60,FALSE)</f>
        <v>6915.16</v>
      </c>
      <c r="CP71" s="120">
        <f>CO71-CQ71</f>
        <v>6915.16</v>
      </c>
      <c r="CQ71" s="120">
        <f>SUM(CQ72:CQ76)</f>
        <v>0</v>
      </c>
    </row>
    <row r="72" s="82" customFormat="1" ht="24" hidden="1"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hidden="1"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hidden="1"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hidden="1"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hidden="1"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hidden="1" customHeight="1" outlineLevel="3" collapsed="1"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hidden="1"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hidden="1"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hidden="1"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hidden="1"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hidden="1"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hidden="1" customHeight="1" outlineLevel="3" collapsed="1"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hidden="1"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hidden="1"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hidden="1"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hidden="1"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hidden="1"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hidden="1" customHeight="1" outlineLevel="3" collapsed="1"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hidden="1"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hidden="1"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hidden="1"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hidden="1"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hidden="1"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hidden="1" customHeight="1" outlineLevel="2" collapsed="1" spans="1:95">
      <c r="A95" s="48"/>
      <c r="B95" s="114" t="s">
        <v>794</v>
      </c>
      <c r="C95" s="115" t="s">
        <v>1034</v>
      </c>
      <c r="D95" s="48" t="s">
        <v>1035</v>
      </c>
      <c r="E95" s="114"/>
      <c r="F95" s="114"/>
      <c r="G95" s="114"/>
      <c r="H95" s="116">
        <f>X95+AA95+AD95+AG95+AJ95+AM95+AP95+AS95+AV95+AY95+BB95+BE95</f>
        <v>159727</v>
      </c>
      <c r="I95" s="116">
        <f>Y95+AB95+AE95+AH95+AK95+AN95+AQ95+AT95+AW95+AZ95+BC95+BF95</f>
        <v>159727</v>
      </c>
      <c r="J95" s="116">
        <f t="shared" si="814"/>
        <v>0</v>
      </c>
      <c r="K95" s="116"/>
      <c r="L95" s="147"/>
      <c r="M95" s="147"/>
      <c r="N95" s="116"/>
      <c r="O95" s="116"/>
      <c r="P95" s="116"/>
      <c r="Q95" s="116"/>
      <c r="R95" s="116"/>
      <c r="S95" s="116"/>
      <c r="T95" s="116"/>
      <c r="U95" s="116"/>
      <c r="V95" s="116"/>
      <c r="W95" s="116"/>
      <c r="X95" s="116">
        <f>VLOOKUP($C95,'1 预算编制表单'!$C:$BJ,27,FALSE)</f>
        <v>11937.24</v>
      </c>
      <c r="Y95" s="116">
        <f>X95-Z95</f>
        <v>11937.24</v>
      </c>
      <c r="Z95" s="116">
        <f>Z96+Z102+Z108</f>
        <v>0</v>
      </c>
      <c r="AA95" s="116">
        <f>VLOOKUP($C95,'1 预算编制表单'!$C:$BJ,30,FALSE)</f>
        <v>11639.76</v>
      </c>
      <c r="AB95" s="116">
        <f>AA95-AC95</f>
        <v>11639.76</v>
      </c>
      <c r="AC95" s="116">
        <f>AC96+AC102+AC108</f>
        <v>0</v>
      </c>
      <c r="AD95" s="116">
        <f>VLOOKUP($C95,'1 预算编制表单'!$C:$BJ,33,FALSE)</f>
        <v>11639.76</v>
      </c>
      <c r="AE95" s="116">
        <f>AD95-AF95</f>
        <v>11639.76</v>
      </c>
      <c r="AF95" s="116">
        <f>AF96+AF102+AF108</f>
        <v>0</v>
      </c>
      <c r="AG95" s="116">
        <f>VLOOKUP($C95,'1 预算编制表单'!$C:$BJ,36,FALSE)</f>
        <v>11639.76</v>
      </c>
      <c r="AH95" s="116">
        <f>AG95-AI95</f>
        <v>11639.76</v>
      </c>
      <c r="AI95" s="116">
        <f>AI96+AI102+AI108</f>
        <v>0</v>
      </c>
      <c r="AJ95" s="116">
        <f>VLOOKUP($C95,'1 预算编制表单'!$C:$BJ,39,FALSE)</f>
        <v>11639.76</v>
      </c>
      <c r="AK95" s="116">
        <f>AJ95-AL95</f>
        <v>11639.76</v>
      </c>
      <c r="AL95" s="116">
        <f>AL96+AL102+AL108</f>
        <v>0</v>
      </c>
      <c r="AM95" s="116">
        <f>VLOOKUP($C95,'1 预算编制表单'!$C:$BJ,42,FALSE)</f>
        <v>11639.76</v>
      </c>
      <c r="AN95" s="116">
        <f>AM95-AO95</f>
        <v>11639.76</v>
      </c>
      <c r="AO95" s="116">
        <f>AO96+AO102+AO108</f>
        <v>0</v>
      </c>
      <c r="AP95" s="116">
        <f>VLOOKUP($C95,'1 预算编制表单'!$C:$BJ,45,FALSE)</f>
        <v>11639.76</v>
      </c>
      <c r="AQ95" s="116">
        <f>AP95-AR95</f>
        <v>11639.76</v>
      </c>
      <c r="AR95" s="116">
        <f>AR96+AR102+AR108</f>
        <v>0</v>
      </c>
      <c r="AS95" s="116">
        <f>VLOOKUP($C95,'1 预算编制表单'!$C:$BJ,48,FALSE)</f>
        <v>11639.76</v>
      </c>
      <c r="AT95" s="116">
        <f>AS95-AU95</f>
        <v>11639.76</v>
      </c>
      <c r="AU95" s="116">
        <f>AU96+AU102+AU108</f>
        <v>0</v>
      </c>
      <c r="AV95" s="116">
        <f>VLOOKUP($C95,'1 预算编制表单'!$C:$BJ,51,FALSE)</f>
        <v>11639.76</v>
      </c>
      <c r="AW95" s="116">
        <f>AV95-AX95</f>
        <v>11639.76</v>
      </c>
      <c r="AX95" s="116">
        <f>AX96+AX102+AX108</f>
        <v>0</v>
      </c>
      <c r="AY95" s="116">
        <f>VLOOKUP($C95,'1 预算编制表单'!$C:$BJ,54,FALSE)</f>
        <v>11639.76</v>
      </c>
      <c r="AZ95" s="116">
        <f>AY95-BA95</f>
        <v>11639.76</v>
      </c>
      <c r="BA95" s="116">
        <f>BA96+BA102+BA108</f>
        <v>0</v>
      </c>
      <c r="BB95" s="116">
        <f>VLOOKUP($C95,'1 预算编制表单'!$C:$BJ,57,FALSE)</f>
        <v>11639.76</v>
      </c>
      <c r="BC95" s="116">
        <f>BB95-BD95</f>
        <v>11639.76</v>
      </c>
      <c r="BD95" s="116">
        <f>BD96+BD102+BD108</f>
        <v>0</v>
      </c>
      <c r="BE95" s="116">
        <f>VLOOKUP($C95,'1 预算编制表单'!$C:$BJ,60,FALSE)</f>
        <v>31392.16</v>
      </c>
      <c r="BF95" s="116">
        <f>BE95-BG95</f>
        <v>31392.16</v>
      </c>
      <c r="BG95" s="116">
        <f>BG96+BG102+BG108</f>
        <v>0</v>
      </c>
      <c r="BH95" s="116">
        <f>VLOOKUP($C95,'1 预算编制表单'!$C:$BJ,27,FALSE)</f>
        <v>11937.24</v>
      </c>
      <c r="BI95" s="116">
        <f>BH95-BJ95</f>
        <v>11937.24</v>
      </c>
      <c r="BJ95" s="116">
        <f>BJ96+BJ102+BJ108</f>
        <v>0</v>
      </c>
      <c r="BK95" s="116">
        <f>VLOOKUP($C95,'1 预算编制表单'!$C:$BJ,30,FALSE)</f>
        <v>11639.76</v>
      </c>
      <c r="BL95" s="116">
        <f>BK95-BM95</f>
        <v>11639.76</v>
      </c>
      <c r="BM95" s="116">
        <f>BM96+BM102+BM108</f>
        <v>0</v>
      </c>
      <c r="BN95" s="116">
        <f>VLOOKUP($C95,'1 预算编制表单'!$C:$BJ,33,FALSE)</f>
        <v>11639.76</v>
      </c>
      <c r="BO95" s="116">
        <f>BN95-BP95</f>
        <v>11639.76</v>
      </c>
      <c r="BP95" s="116">
        <f>BP96+BP102+BP108</f>
        <v>0</v>
      </c>
      <c r="BQ95" s="116">
        <f>VLOOKUP($C95,'1 预算编制表单'!$C:$BJ,36,FALSE)</f>
        <v>11639.76</v>
      </c>
      <c r="BR95" s="116">
        <f>BQ95-BS95</f>
        <v>11639.76</v>
      </c>
      <c r="BS95" s="116">
        <f>BS96+BS102+BS108</f>
        <v>0</v>
      </c>
      <c r="BT95" s="116">
        <f>VLOOKUP($C95,'1 预算编制表单'!$C:$BJ,39,FALSE)</f>
        <v>11639.76</v>
      </c>
      <c r="BU95" s="116">
        <f>BT95-BV95</f>
        <v>11639.76</v>
      </c>
      <c r="BV95" s="116">
        <f>BV96+BV102+BV108</f>
        <v>0</v>
      </c>
      <c r="BW95" s="116">
        <f>VLOOKUP($C95,'1 预算编制表单'!$C:$BJ,42,FALSE)</f>
        <v>11639.76</v>
      </c>
      <c r="BX95" s="116">
        <f>BW95-BY95</f>
        <v>11639.76</v>
      </c>
      <c r="BY95" s="116">
        <f>BY96+BY102+BY108</f>
        <v>0</v>
      </c>
      <c r="BZ95" s="116">
        <f>VLOOKUP($C95,'1 预算编制表单'!$C:$BJ,45,FALSE)</f>
        <v>11639.76</v>
      </c>
      <c r="CA95" s="116">
        <f>BZ95-CB95</f>
        <v>11639.76</v>
      </c>
      <c r="CB95" s="116">
        <f>CB96+CB102+CB108</f>
        <v>0</v>
      </c>
      <c r="CC95" s="116">
        <f>VLOOKUP($C95,'1 预算编制表单'!$C:$BJ,48,FALSE)</f>
        <v>11639.76</v>
      </c>
      <c r="CD95" s="116">
        <f>CC95-CE95</f>
        <v>11639.76</v>
      </c>
      <c r="CE95" s="116">
        <f>CE96+CE102+CE108</f>
        <v>0</v>
      </c>
      <c r="CF95" s="116">
        <f>VLOOKUP($C95,'1 预算编制表单'!$C:$BJ,51,FALSE)</f>
        <v>11639.76</v>
      </c>
      <c r="CG95" s="116">
        <f>CF95-CH95</f>
        <v>11639.76</v>
      </c>
      <c r="CH95" s="116">
        <f>CH96+CH102+CH108</f>
        <v>0</v>
      </c>
      <c r="CI95" s="116">
        <f>VLOOKUP($C95,'1 预算编制表单'!$C:$BJ,54,FALSE)</f>
        <v>11639.76</v>
      </c>
      <c r="CJ95" s="116">
        <f>CI95-CK95</f>
        <v>11639.76</v>
      </c>
      <c r="CK95" s="116">
        <f>CK96+CK102+CK108</f>
        <v>0</v>
      </c>
      <c r="CL95" s="116">
        <f>VLOOKUP($C95,'1 预算编制表单'!$C:$BJ,57,FALSE)</f>
        <v>11639.76</v>
      </c>
      <c r="CM95" s="116">
        <f>CL95-CN95</f>
        <v>11639.76</v>
      </c>
      <c r="CN95" s="116">
        <f>CN96+CN102+CN108</f>
        <v>0</v>
      </c>
      <c r="CO95" s="116">
        <f>VLOOKUP($C95,'1 预算编制表单'!$C:$BJ,60,FALSE)</f>
        <v>31392.16</v>
      </c>
      <c r="CP95" s="116">
        <f>CO95-CQ95</f>
        <v>31392.16</v>
      </c>
      <c r="CQ95" s="116">
        <f>CQ96+CQ102+CQ108</f>
        <v>0</v>
      </c>
    </row>
    <row r="96" ht="24" hidden="1" customHeight="1" outlineLevel="3" collapsed="1" spans="1:95">
      <c r="A96" s="117"/>
      <c r="B96" s="118" t="s">
        <v>799</v>
      </c>
      <c r="C96" s="119" t="s">
        <v>121</v>
      </c>
      <c r="D96" s="117" t="s">
        <v>109</v>
      </c>
      <c r="E96" s="118"/>
      <c r="F96" s="118"/>
      <c r="G96" s="118"/>
      <c r="H96" s="120">
        <f>X96+AA96+AD96+AG96+AJ96+AM96+AP96+AS96+AV96+AY96+BB96+BE96</f>
        <v>159727</v>
      </c>
      <c r="I96" s="120">
        <f>Y96+AB96+AE96+AH96+AK96+AN96+AQ96+AT96+AW96+AZ96+BC96+BF96</f>
        <v>159727</v>
      </c>
      <c r="J96" s="120">
        <f t="shared" si="814"/>
        <v>0</v>
      </c>
      <c r="K96" s="120"/>
      <c r="L96" s="148"/>
      <c r="M96" s="148"/>
      <c r="N96" s="120"/>
      <c r="O96" s="120"/>
      <c r="P96" s="120"/>
      <c r="Q96" s="120"/>
      <c r="R96" s="120"/>
      <c r="S96" s="120"/>
      <c r="T96" s="120"/>
      <c r="U96" s="120"/>
      <c r="V96" s="120"/>
      <c r="W96" s="120"/>
      <c r="X96" s="120">
        <f>VLOOKUP($C96,'1 预算编制表单'!$C:$BJ,27,FALSE)</f>
        <v>11937.24</v>
      </c>
      <c r="Y96" s="120">
        <f>X96-Z96</f>
        <v>11937.24</v>
      </c>
      <c r="Z96" s="120">
        <f>SUM(Z97:Z101)</f>
        <v>0</v>
      </c>
      <c r="AA96" s="120">
        <f>VLOOKUP($C96,'1 预算编制表单'!$C:$BJ,30,FALSE)</f>
        <v>11639.76</v>
      </c>
      <c r="AB96" s="120">
        <f>AA96-AC96</f>
        <v>11639.76</v>
      </c>
      <c r="AC96" s="120">
        <f>SUM(AC97:AC101)</f>
        <v>0</v>
      </c>
      <c r="AD96" s="120">
        <f>VLOOKUP($C96,'1 预算编制表单'!$C:$BJ,33,FALSE)</f>
        <v>11639.76</v>
      </c>
      <c r="AE96" s="120">
        <f>AD96-AF96</f>
        <v>11639.76</v>
      </c>
      <c r="AF96" s="120">
        <f>SUM(AF97:AF101)</f>
        <v>0</v>
      </c>
      <c r="AG96" s="120">
        <f>VLOOKUP($C96,'1 预算编制表单'!$C:$BJ,36,FALSE)</f>
        <v>11639.76</v>
      </c>
      <c r="AH96" s="120">
        <f>AG96-AI96</f>
        <v>11639.76</v>
      </c>
      <c r="AI96" s="120">
        <f>SUM(AI97:AI101)</f>
        <v>0</v>
      </c>
      <c r="AJ96" s="120">
        <f>VLOOKUP($C96,'1 预算编制表单'!$C:$BJ,39,FALSE)</f>
        <v>11639.76</v>
      </c>
      <c r="AK96" s="120">
        <f>AJ96-AL96</f>
        <v>11639.76</v>
      </c>
      <c r="AL96" s="120">
        <f>SUM(AL97:AL101)</f>
        <v>0</v>
      </c>
      <c r="AM96" s="120">
        <f>VLOOKUP($C96,'1 预算编制表单'!$C:$BJ,42,FALSE)</f>
        <v>11639.76</v>
      </c>
      <c r="AN96" s="120">
        <f>AM96-AO96</f>
        <v>11639.76</v>
      </c>
      <c r="AO96" s="120">
        <f>SUM(AO97:AO101)</f>
        <v>0</v>
      </c>
      <c r="AP96" s="120">
        <f>VLOOKUP($C96,'1 预算编制表单'!$C:$BJ,45,FALSE)</f>
        <v>11639.76</v>
      </c>
      <c r="AQ96" s="120">
        <f>AP96-AR96</f>
        <v>11639.76</v>
      </c>
      <c r="AR96" s="120">
        <f>SUM(AR97:AR101)</f>
        <v>0</v>
      </c>
      <c r="AS96" s="120">
        <f>VLOOKUP($C96,'1 预算编制表单'!$C:$BJ,48,FALSE)</f>
        <v>11639.76</v>
      </c>
      <c r="AT96" s="120">
        <f>AS96-AU96</f>
        <v>11639.76</v>
      </c>
      <c r="AU96" s="120">
        <f>SUM(AU97:AU101)</f>
        <v>0</v>
      </c>
      <c r="AV96" s="120">
        <f>VLOOKUP($C96,'1 预算编制表单'!$C:$BJ,51,FALSE)</f>
        <v>11639.76</v>
      </c>
      <c r="AW96" s="120">
        <f>AV96-AX96</f>
        <v>11639.76</v>
      </c>
      <c r="AX96" s="120">
        <f>SUM(AX97:AX101)</f>
        <v>0</v>
      </c>
      <c r="AY96" s="120">
        <f>VLOOKUP($C96,'1 预算编制表单'!$C:$BJ,54,FALSE)</f>
        <v>11639.76</v>
      </c>
      <c r="AZ96" s="120">
        <f>AY96-BA96</f>
        <v>11639.76</v>
      </c>
      <c r="BA96" s="120">
        <f>SUM(BA97:BA101)</f>
        <v>0</v>
      </c>
      <c r="BB96" s="120">
        <f>VLOOKUP($C96,'1 预算编制表单'!$C:$BJ,57,FALSE)</f>
        <v>11639.76</v>
      </c>
      <c r="BC96" s="120">
        <f>BB96-BD96</f>
        <v>11639.76</v>
      </c>
      <c r="BD96" s="120">
        <f>SUM(BD97:BD101)</f>
        <v>0</v>
      </c>
      <c r="BE96" s="120">
        <f>VLOOKUP($C96,'1 预算编制表单'!$C:$BJ,60,FALSE)</f>
        <v>31392.16</v>
      </c>
      <c r="BF96" s="120">
        <f>BE96-BG96</f>
        <v>31392.16</v>
      </c>
      <c r="BG96" s="120">
        <f>SUM(BG97:BG101)</f>
        <v>0</v>
      </c>
      <c r="BH96" s="120">
        <f>VLOOKUP($C96,'1 预算编制表单'!$C:$BJ,27,FALSE)</f>
        <v>11937.24</v>
      </c>
      <c r="BI96" s="120">
        <f>BH96-BJ96</f>
        <v>11937.24</v>
      </c>
      <c r="BJ96" s="120">
        <f>SUM(BJ97:BJ101)</f>
        <v>0</v>
      </c>
      <c r="BK96" s="120">
        <f>VLOOKUP($C96,'1 预算编制表单'!$C:$BJ,30,FALSE)</f>
        <v>11639.76</v>
      </c>
      <c r="BL96" s="120">
        <f>BK96-BM96</f>
        <v>11639.76</v>
      </c>
      <c r="BM96" s="120">
        <f>SUM(BM97:BM101)</f>
        <v>0</v>
      </c>
      <c r="BN96" s="120">
        <f>VLOOKUP($C96,'1 预算编制表单'!$C:$BJ,33,FALSE)</f>
        <v>11639.76</v>
      </c>
      <c r="BO96" s="120">
        <f>BN96-BP96</f>
        <v>11639.76</v>
      </c>
      <c r="BP96" s="120">
        <f>SUM(BP97:BP101)</f>
        <v>0</v>
      </c>
      <c r="BQ96" s="120">
        <f>VLOOKUP($C96,'1 预算编制表单'!$C:$BJ,36,FALSE)</f>
        <v>11639.76</v>
      </c>
      <c r="BR96" s="120">
        <f>BQ96-BS96</f>
        <v>11639.76</v>
      </c>
      <c r="BS96" s="120">
        <f>SUM(BS97:BS101)</f>
        <v>0</v>
      </c>
      <c r="BT96" s="120">
        <f>VLOOKUP($C96,'1 预算编制表单'!$C:$BJ,39,FALSE)</f>
        <v>11639.76</v>
      </c>
      <c r="BU96" s="120">
        <f>BT96-BV96</f>
        <v>11639.76</v>
      </c>
      <c r="BV96" s="120">
        <f>SUM(BV97:BV101)</f>
        <v>0</v>
      </c>
      <c r="BW96" s="120">
        <f>VLOOKUP($C96,'1 预算编制表单'!$C:$BJ,42,FALSE)</f>
        <v>11639.76</v>
      </c>
      <c r="BX96" s="120">
        <f>BW96-BY96</f>
        <v>11639.76</v>
      </c>
      <c r="BY96" s="120">
        <f>SUM(BY97:BY101)</f>
        <v>0</v>
      </c>
      <c r="BZ96" s="120">
        <f>VLOOKUP($C96,'1 预算编制表单'!$C:$BJ,45,FALSE)</f>
        <v>11639.76</v>
      </c>
      <c r="CA96" s="120">
        <f>BZ96-CB96</f>
        <v>11639.76</v>
      </c>
      <c r="CB96" s="120">
        <f>SUM(CB97:CB101)</f>
        <v>0</v>
      </c>
      <c r="CC96" s="120">
        <f>VLOOKUP($C96,'1 预算编制表单'!$C:$BJ,48,FALSE)</f>
        <v>11639.76</v>
      </c>
      <c r="CD96" s="120">
        <f>CC96-CE96</f>
        <v>11639.76</v>
      </c>
      <c r="CE96" s="120">
        <f>SUM(CE97:CE101)</f>
        <v>0</v>
      </c>
      <c r="CF96" s="120">
        <f>VLOOKUP($C96,'1 预算编制表单'!$C:$BJ,51,FALSE)</f>
        <v>11639.76</v>
      </c>
      <c r="CG96" s="120">
        <f>CF96-CH96</f>
        <v>11639.76</v>
      </c>
      <c r="CH96" s="120">
        <f>SUM(CH97:CH101)</f>
        <v>0</v>
      </c>
      <c r="CI96" s="120">
        <f>VLOOKUP($C96,'1 预算编制表单'!$C:$BJ,54,FALSE)</f>
        <v>11639.76</v>
      </c>
      <c r="CJ96" s="120">
        <f>CI96-CK96</f>
        <v>11639.76</v>
      </c>
      <c r="CK96" s="120">
        <f>SUM(CK97:CK101)</f>
        <v>0</v>
      </c>
      <c r="CL96" s="120">
        <f>VLOOKUP($C96,'1 预算编制表单'!$C:$BJ,57,FALSE)</f>
        <v>11639.76</v>
      </c>
      <c r="CM96" s="120">
        <f>CL96-CN96</f>
        <v>11639.76</v>
      </c>
      <c r="CN96" s="120">
        <f>SUM(CN97:CN101)</f>
        <v>0</v>
      </c>
      <c r="CO96" s="120">
        <f>VLOOKUP($C96,'1 预算编制表单'!$C:$BJ,60,FALSE)</f>
        <v>31392.16</v>
      </c>
      <c r="CP96" s="120">
        <f>CO96-CQ96</f>
        <v>31392.16</v>
      </c>
      <c r="CQ96" s="120">
        <f>SUM(CQ97:CQ101)</f>
        <v>0</v>
      </c>
    </row>
    <row r="97" s="82" customFormat="1" ht="24" hidden="1"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hidden="1"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hidden="1"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hidden="1"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hidden="1"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hidden="1" customHeight="1" outlineLevel="3" collapsed="1"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hidden="1"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hidden="1"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hidden="1"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hidden="1"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hidden="1"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hidden="1" customHeight="1" outlineLevel="3" collapsed="1"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hidden="1"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hidden="1"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hidden="1"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hidden="1"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hidden="1"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hidden="1" customHeight="1" outlineLevel="2" collapsed="1" spans="1:95">
      <c r="A114" s="48"/>
      <c r="B114" s="114" t="s">
        <v>794</v>
      </c>
      <c r="C114" s="115" t="s">
        <v>1066</v>
      </c>
      <c r="D114" s="48" t="s">
        <v>1067</v>
      </c>
      <c r="E114" s="114"/>
      <c r="F114" s="114"/>
      <c r="G114" s="114"/>
      <c r="H114" s="116">
        <f>X114+AA114+AD114+AG114+AJ114+AM114+AP114+AS114+AV114+AY114+BB114+BE114</f>
        <v>56603.7735849056</v>
      </c>
      <c r="I114" s="116">
        <f>Y114+AB114+AE114+AH114+AK114+AN114+AQ114+AT114+AW114+AZ114+BC114+BF114</f>
        <v>21754.4585164125</v>
      </c>
      <c r="J114" s="116">
        <f t="shared" si="814"/>
        <v>34849.3150684931</v>
      </c>
      <c r="K114" s="116"/>
      <c r="L114" s="147"/>
      <c r="M114" s="147"/>
      <c r="N114" s="116"/>
      <c r="O114" s="116"/>
      <c r="P114" s="116"/>
      <c r="Q114" s="116"/>
      <c r="R114" s="116"/>
      <c r="S114" s="116"/>
      <c r="T114" s="116"/>
      <c r="U114" s="116"/>
      <c r="V114" s="116"/>
      <c r="W114" s="116"/>
      <c r="X114" s="116">
        <f>VLOOKUP($C114,'1 预算编制表单'!$C:$BJ,27,FALSE)</f>
        <v>4716.98113207547</v>
      </c>
      <c r="Y114" s="116">
        <f>X114-Z114</f>
        <v>-378.90927888343</v>
      </c>
      <c r="Z114" s="116">
        <f>Z115+Z121+Z127+Z133</f>
        <v>5095.8904109589</v>
      </c>
      <c r="AA114" s="116">
        <f>VLOOKUP($C114,'1 预算编制表单'!$C:$BJ,30,FALSE)</f>
        <v>4716.98113207547</v>
      </c>
      <c r="AB114" s="116">
        <f>AA114-AC114</f>
        <v>114.24140604807</v>
      </c>
      <c r="AC114" s="116">
        <f>AC115+AC121+AC127+AC133</f>
        <v>4602.7397260274</v>
      </c>
      <c r="AD114" s="116">
        <f>VLOOKUP($C114,'1 预算编制表单'!$C:$BJ,33,FALSE)</f>
        <v>4716.98113207547</v>
      </c>
      <c r="AE114" s="116">
        <f>AD114-AF114</f>
        <v>-378.90927888343</v>
      </c>
      <c r="AF114" s="116">
        <f>AF115+AF121+AF127+AF133</f>
        <v>5095.8904109589</v>
      </c>
      <c r="AG114" s="116">
        <f>VLOOKUP($C114,'1 预算编制表单'!$C:$BJ,36,FALSE)</f>
        <v>4716.98113207547</v>
      </c>
      <c r="AH114" s="116">
        <f>AG114-AI114</f>
        <v>-214.5257172396</v>
      </c>
      <c r="AI114" s="116">
        <f>AI115+AI121+AI127+AI133</f>
        <v>4931.50684931507</v>
      </c>
      <c r="AJ114" s="116">
        <f>VLOOKUP($C114,'1 预算编制表单'!$C:$BJ,39,FALSE)</f>
        <v>4716.98113207547</v>
      </c>
      <c r="AK114" s="116">
        <f>AJ114-AL114</f>
        <v>-378.90927888343</v>
      </c>
      <c r="AL114" s="116">
        <f>AL115+AL121+AL127+AL133</f>
        <v>5095.8904109589</v>
      </c>
      <c r="AM114" s="116">
        <f>VLOOKUP($C114,'1 预算编制表单'!$C:$BJ,42,FALSE)</f>
        <v>4716.98113207547</v>
      </c>
      <c r="AN114" s="116">
        <f>AM114-AO114</f>
        <v>-214.5257172396</v>
      </c>
      <c r="AO114" s="116">
        <f>AO115+AO121+AO127+AO133</f>
        <v>4931.50684931507</v>
      </c>
      <c r="AP114" s="116">
        <f>VLOOKUP($C114,'1 预算编制表单'!$C:$BJ,45,FALSE)</f>
        <v>4716.98113207547</v>
      </c>
      <c r="AQ114" s="116">
        <f>AP114-AR114</f>
        <v>-378.90927888343</v>
      </c>
      <c r="AR114" s="116">
        <f>AR115+AR121+AR127+AR133</f>
        <v>5095.8904109589</v>
      </c>
      <c r="AS114" s="116">
        <f>VLOOKUP($C114,'1 预算编制表单'!$C:$BJ,48,FALSE)</f>
        <v>4716.98113207547</v>
      </c>
      <c r="AT114" s="116">
        <f>AS114-AU114</f>
        <v>4716.98113207547</v>
      </c>
      <c r="AU114" s="116">
        <f>AU115+AU121+AU127+AU133</f>
        <v>0</v>
      </c>
      <c r="AV114" s="116">
        <f>VLOOKUP($C114,'1 预算编制表单'!$C:$BJ,51,FALSE)</f>
        <v>4716.98113207547</v>
      </c>
      <c r="AW114" s="116">
        <f>AV114-AX114</f>
        <v>4716.98113207547</v>
      </c>
      <c r="AX114" s="116">
        <f>AX115+AX121+AX127+AX133</f>
        <v>0</v>
      </c>
      <c r="AY114" s="116">
        <f>VLOOKUP($C114,'1 预算编制表单'!$C:$BJ,54,FALSE)</f>
        <v>4716.98113207547</v>
      </c>
      <c r="AZ114" s="116">
        <f>AY114-BA114</f>
        <v>4716.98113207547</v>
      </c>
      <c r="BA114" s="116">
        <f>BA115+BA121+BA127+BA133</f>
        <v>0</v>
      </c>
      <c r="BB114" s="116">
        <f>VLOOKUP($C114,'1 预算编制表单'!$C:$BJ,57,FALSE)</f>
        <v>4716.98113207547</v>
      </c>
      <c r="BC114" s="116">
        <f>BB114-BD114</f>
        <v>4716.98113207547</v>
      </c>
      <c r="BD114" s="116">
        <f>BD115+BD121+BD127+BD133</f>
        <v>0</v>
      </c>
      <c r="BE114" s="116">
        <f>VLOOKUP($C114,'1 预算编制表单'!$C:$BJ,60,FALSE)</f>
        <v>4716.98113207547</v>
      </c>
      <c r="BF114" s="116">
        <f>BE114-BG114</f>
        <v>4716.98113207547</v>
      </c>
      <c r="BG114" s="116">
        <f>BG115+BG121+BG127+BG133</f>
        <v>0</v>
      </c>
      <c r="BH114" s="116">
        <f>VLOOKUP($C114,'1 预算编制表单'!$C:$BJ,27,FALSE)</f>
        <v>4716.98113207547</v>
      </c>
      <c r="BI114" s="116">
        <f>BH114-BJ114</f>
        <v>4716.98113207547</v>
      </c>
      <c r="BJ114" s="116">
        <f>BJ115+BJ121+BJ127+BJ133</f>
        <v>0</v>
      </c>
      <c r="BK114" s="116">
        <f>VLOOKUP($C114,'1 预算编制表单'!$C:$BJ,30,FALSE)</f>
        <v>4716.98113207547</v>
      </c>
      <c r="BL114" s="116">
        <f>BK114-BM114</f>
        <v>4716.98113207547</v>
      </c>
      <c r="BM114" s="116">
        <f>BM115+BM121+BM127+BM133</f>
        <v>0</v>
      </c>
      <c r="BN114" s="116">
        <f>VLOOKUP($C114,'1 预算编制表单'!$C:$BJ,33,FALSE)</f>
        <v>4716.98113207547</v>
      </c>
      <c r="BO114" s="116">
        <f>BN114-BP114</f>
        <v>4716.98113207547</v>
      </c>
      <c r="BP114" s="116">
        <f>BP115+BP121+BP127+BP133</f>
        <v>0</v>
      </c>
      <c r="BQ114" s="116">
        <f>VLOOKUP($C114,'1 预算编制表单'!$C:$BJ,36,FALSE)</f>
        <v>4716.98113207547</v>
      </c>
      <c r="BR114" s="116">
        <f>BQ114-BS114</f>
        <v>4716.98113207547</v>
      </c>
      <c r="BS114" s="116">
        <f>BS115+BS121+BS127+BS133</f>
        <v>0</v>
      </c>
      <c r="BT114" s="116">
        <f>VLOOKUP($C114,'1 预算编制表单'!$C:$BJ,39,FALSE)</f>
        <v>4716.98113207547</v>
      </c>
      <c r="BU114" s="116">
        <f>BT114-BV114</f>
        <v>4716.98113207547</v>
      </c>
      <c r="BV114" s="116">
        <f>BV115+BV121+BV127+BV133</f>
        <v>0</v>
      </c>
      <c r="BW114" s="116">
        <f>VLOOKUP($C114,'1 预算编制表单'!$C:$BJ,42,FALSE)</f>
        <v>4716.98113207547</v>
      </c>
      <c r="BX114" s="116">
        <f>BW114-BY114</f>
        <v>4716.98113207547</v>
      </c>
      <c r="BY114" s="116">
        <f>BY115+BY121+BY127+BY133</f>
        <v>0</v>
      </c>
      <c r="BZ114" s="116">
        <f>VLOOKUP($C114,'1 预算编制表单'!$C:$BJ,45,FALSE)</f>
        <v>4716.98113207547</v>
      </c>
      <c r="CA114" s="116">
        <f>BZ114-CB114</f>
        <v>4716.98113207547</v>
      </c>
      <c r="CB114" s="116">
        <f>CB115+CB121+CB127+CB133</f>
        <v>0</v>
      </c>
      <c r="CC114" s="116">
        <f>VLOOKUP($C114,'1 预算编制表单'!$C:$BJ,48,FALSE)</f>
        <v>4716.98113207547</v>
      </c>
      <c r="CD114" s="116">
        <f>CC114-CE114</f>
        <v>4716.98113207547</v>
      </c>
      <c r="CE114" s="116">
        <f>CE115+CE121+CE127+CE133</f>
        <v>0</v>
      </c>
      <c r="CF114" s="116">
        <f>VLOOKUP($C114,'1 预算编制表单'!$C:$BJ,51,FALSE)</f>
        <v>4716.98113207547</v>
      </c>
      <c r="CG114" s="116">
        <f>CF114-CH114</f>
        <v>4716.98113207547</v>
      </c>
      <c r="CH114" s="116">
        <f>CH115+CH121+CH127+CH133</f>
        <v>0</v>
      </c>
      <c r="CI114" s="116">
        <f>VLOOKUP($C114,'1 预算编制表单'!$C:$BJ,54,FALSE)</f>
        <v>4716.98113207547</v>
      </c>
      <c r="CJ114" s="116">
        <f>CI114-CK114</f>
        <v>4716.98113207547</v>
      </c>
      <c r="CK114" s="116">
        <f>CK115+CK121+CK127+CK133</f>
        <v>0</v>
      </c>
      <c r="CL114" s="116">
        <f>VLOOKUP($C114,'1 预算编制表单'!$C:$BJ,57,FALSE)</f>
        <v>4716.98113207547</v>
      </c>
      <c r="CM114" s="116">
        <f>CL114-CN114</f>
        <v>4716.98113207547</v>
      </c>
      <c r="CN114" s="116">
        <f>CN115+CN121+CN127+CN133</f>
        <v>0</v>
      </c>
      <c r="CO114" s="116">
        <f>VLOOKUP($C114,'1 预算编制表单'!$C:$BJ,60,FALSE)</f>
        <v>4716.98113207547</v>
      </c>
      <c r="CP114" s="116">
        <f>CO114-CQ114</f>
        <v>4716.98113207547</v>
      </c>
      <c r="CQ114" s="116">
        <f>CQ115+CQ121+CQ127+CQ133</f>
        <v>0</v>
      </c>
    </row>
    <row r="115" ht="24" hidden="1" customHeight="1" outlineLevel="3" collapsed="1"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hidden="1"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hidden="1"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hidden="1"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hidden="1"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hidden="1"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hidden="1"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hidden="1" customHeight="1" outlineLevel="3" collapsed="1"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hidden="1"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hidden="1"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hidden="1"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hidden="1"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hidden="1" customHeight="1" outlineLevel="3" collapsed="1" spans="1:95">
      <c r="A127" s="117"/>
      <c r="B127" s="118" t="s">
        <v>799</v>
      </c>
      <c r="C127" s="119" t="s">
        <v>22</v>
      </c>
      <c r="D127" s="117" t="s">
        <v>23</v>
      </c>
      <c r="E127" s="118"/>
      <c r="F127" s="118"/>
      <c r="G127" s="118"/>
      <c r="H127" s="120">
        <f>X127+AA127+AD127+AG127+AJ127+AM127+AP127+AS127+AV127+AY127+BB127+BE127</f>
        <v>56603.7735849056</v>
      </c>
      <c r="I127" s="120">
        <f>Y127+AB127+AE127+AH127+AK127+AN127+AQ127+AT127+AW127+AZ127+BC127+BF127</f>
        <v>21754.4585164125</v>
      </c>
      <c r="J127" s="120">
        <f t="shared" si="814"/>
        <v>34849.3150684932</v>
      </c>
      <c r="K127" s="120"/>
      <c r="L127" s="148"/>
      <c r="M127" s="148"/>
      <c r="N127" s="120"/>
      <c r="O127" s="120"/>
      <c r="P127" s="120"/>
      <c r="Q127" s="120"/>
      <c r="R127" s="120"/>
      <c r="S127" s="120"/>
      <c r="T127" s="120"/>
      <c r="U127" s="120"/>
      <c r="V127" s="120"/>
      <c r="W127" s="120"/>
      <c r="X127" s="120">
        <f>VLOOKUP($C127,'1 预算编制表单'!$C:$BJ,27,FALSE)</f>
        <v>4716.98113207547</v>
      </c>
      <c r="Y127" s="120">
        <f>X127-Z127</f>
        <v>-378.909278883434</v>
      </c>
      <c r="Z127" s="120">
        <f>SUM(Z128:Z132)</f>
        <v>5095.8904109589</v>
      </c>
      <c r="AA127" s="120">
        <f>VLOOKUP($C127,'1 预算编制表单'!$C:$BJ,30,FALSE)</f>
        <v>4716.98113207547</v>
      </c>
      <c r="AB127" s="120">
        <f>AA127-AC127</f>
        <v>114.241406048072</v>
      </c>
      <c r="AC127" s="120">
        <f>SUM(AC128:AC132)</f>
        <v>4602.7397260274</v>
      </c>
      <c r="AD127" s="120">
        <f>VLOOKUP($C127,'1 预算编制表单'!$C:$BJ,33,FALSE)</f>
        <v>4716.98113207547</v>
      </c>
      <c r="AE127" s="120">
        <f>AD127-AF127</f>
        <v>-378.909278883434</v>
      </c>
      <c r="AF127" s="120">
        <f>SUM(AF128:AF132)</f>
        <v>5095.8904109589</v>
      </c>
      <c r="AG127" s="120">
        <f>VLOOKUP($C127,'1 预算编制表单'!$C:$BJ,36,FALSE)</f>
        <v>4716.98113207547</v>
      </c>
      <c r="AH127" s="120">
        <f>AG127-AI127</f>
        <v>-214.525717239599</v>
      </c>
      <c r="AI127" s="120">
        <f>SUM(AI128:AI132)</f>
        <v>4931.50684931507</v>
      </c>
      <c r="AJ127" s="120">
        <f>VLOOKUP($C127,'1 预算编制表单'!$C:$BJ,39,FALSE)</f>
        <v>4716.98113207547</v>
      </c>
      <c r="AK127" s="120">
        <f>AJ127-AL127</f>
        <v>-378.909278883434</v>
      </c>
      <c r="AL127" s="120">
        <f>SUM(AL128:AL132)</f>
        <v>5095.8904109589</v>
      </c>
      <c r="AM127" s="120">
        <f>VLOOKUP($C127,'1 预算编制表单'!$C:$BJ,42,FALSE)</f>
        <v>4716.98113207547</v>
      </c>
      <c r="AN127" s="120">
        <f>AM127-AO127</f>
        <v>-214.525717239599</v>
      </c>
      <c r="AO127" s="120">
        <f>SUM(AO128:AO132)</f>
        <v>4931.50684931507</v>
      </c>
      <c r="AP127" s="120">
        <f>VLOOKUP($C127,'1 预算编制表单'!$C:$BJ,45,FALSE)</f>
        <v>4716.98113207547</v>
      </c>
      <c r="AQ127" s="120">
        <f>AP127-AR127</f>
        <v>-378.909278883434</v>
      </c>
      <c r="AR127" s="120">
        <f>SUM(AR128:AR132)</f>
        <v>5095.8904109589</v>
      </c>
      <c r="AS127" s="120">
        <f>VLOOKUP($C127,'1 预算编制表单'!$C:$BJ,48,FALSE)</f>
        <v>4716.98113207547</v>
      </c>
      <c r="AT127" s="120">
        <f>AS127-AU127</f>
        <v>4716.98113207547</v>
      </c>
      <c r="AU127" s="120">
        <f>SUM(AU128:AU132)</f>
        <v>0</v>
      </c>
      <c r="AV127" s="120">
        <f>VLOOKUP($C127,'1 预算编制表单'!$C:$BJ,51,FALSE)</f>
        <v>4716.98113207547</v>
      </c>
      <c r="AW127" s="120">
        <f>AV127-AX127</f>
        <v>4716.98113207547</v>
      </c>
      <c r="AX127" s="120">
        <f>SUM(AX128:AX132)</f>
        <v>0</v>
      </c>
      <c r="AY127" s="120">
        <f>VLOOKUP($C127,'1 预算编制表单'!$C:$BJ,54,FALSE)</f>
        <v>4716.98113207547</v>
      </c>
      <c r="AZ127" s="120">
        <f>AY127-BA127</f>
        <v>4716.98113207547</v>
      </c>
      <c r="BA127" s="120">
        <f>SUM(BA128:BA132)</f>
        <v>0</v>
      </c>
      <c r="BB127" s="120">
        <f>VLOOKUP($C127,'1 预算编制表单'!$C:$BJ,57,FALSE)</f>
        <v>4716.98113207547</v>
      </c>
      <c r="BC127" s="120">
        <f>BB127-BD127</f>
        <v>4716.98113207547</v>
      </c>
      <c r="BD127" s="120">
        <f>SUM(BD128:BD132)</f>
        <v>0</v>
      </c>
      <c r="BE127" s="120">
        <f>VLOOKUP($C127,'1 预算编制表单'!$C:$BJ,60,FALSE)</f>
        <v>4716.98113207547</v>
      </c>
      <c r="BF127" s="120">
        <f>BE127-BG127</f>
        <v>4716.98113207547</v>
      </c>
      <c r="BG127" s="120">
        <f>SUM(BG128:BG132)</f>
        <v>0</v>
      </c>
      <c r="BH127" s="120">
        <f>VLOOKUP($C127,'1 预算编制表单'!$C:$BJ,27,FALSE)</f>
        <v>4716.98113207547</v>
      </c>
      <c r="BI127" s="120">
        <f>BH127-BJ127</f>
        <v>4716.98113207547</v>
      </c>
      <c r="BJ127" s="120">
        <f>SUM(BJ128:BJ132)</f>
        <v>0</v>
      </c>
      <c r="BK127" s="120">
        <f>VLOOKUP($C127,'1 预算编制表单'!$C:$BJ,30,FALSE)</f>
        <v>4716.98113207547</v>
      </c>
      <c r="BL127" s="120">
        <f>BK127-BM127</f>
        <v>4716.98113207547</v>
      </c>
      <c r="BM127" s="120">
        <f>SUM(BM128:BM132)</f>
        <v>0</v>
      </c>
      <c r="BN127" s="120">
        <f>VLOOKUP($C127,'1 预算编制表单'!$C:$BJ,33,FALSE)</f>
        <v>4716.98113207547</v>
      </c>
      <c r="BO127" s="120">
        <f>BN127-BP127</f>
        <v>4716.98113207547</v>
      </c>
      <c r="BP127" s="120">
        <f>SUM(BP128:BP132)</f>
        <v>0</v>
      </c>
      <c r="BQ127" s="120">
        <f>VLOOKUP($C127,'1 预算编制表单'!$C:$BJ,36,FALSE)</f>
        <v>4716.98113207547</v>
      </c>
      <c r="BR127" s="120">
        <f>BQ127-BS127</f>
        <v>4716.98113207547</v>
      </c>
      <c r="BS127" s="120">
        <f>SUM(BS128:BS132)</f>
        <v>0</v>
      </c>
      <c r="BT127" s="120">
        <f>VLOOKUP($C127,'1 预算编制表单'!$C:$BJ,39,FALSE)</f>
        <v>4716.98113207547</v>
      </c>
      <c r="BU127" s="120">
        <f>BT127-BV127</f>
        <v>4716.98113207547</v>
      </c>
      <c r="BV127" s="120">
        <f>SUM(BV128:BV132)</f>
        <v>0</v>
      </c>
      <c r="BW127" s="120">
        <f>VLOOKUP($C127,'1 预算编制表单'!$C:$BJ,42,FALSE)</f>
        <v>4716.98113207547</v>
      </c>
      <c r="BX127" s="120">
        <f>BW127-BY127</f>
        <v>4716.98113207547</v>
      </c>
      <c r="BY127" s="120">
        <f>SUM(BY128:BY132)</f>
        <v>0</v>
      </c>
      <c r="BZ127" s="120">
        <f>VLOOKUP($C127,'1 预算编制表单'!$C:$BJ,45,FALSE)</f>
        <v>4716.98113207547</v>
      </c>
      <c r="CA127" s="120">
        <f>BZ127-CB127</f>
        <v>4716.98113207547</v>
      </c>
      <c r="CB127" s="120">
        <f>SUM(CB128:CB132)</f>
        <v>0</v>
      </c>
      <c r="CC127" s="120">
        <f>VLOOKUP($C127,'1 预算编制表单'!$C:$BJ,48,FALSE)</f>
        <v>4716.98113207547</v>
      </c>
      <c r="CD127" s="120">
        <f>CC127-CE127</f>
        <v>4716.98113207547</v>
      </c>
      <c r="CE127" s="120">
        <f>SUM(CE128:CE132)</f>
        <v>0</v>
      </c>
      <c r="CF127" s="120">
        <f>VLOOKUP($C127,'1 预算编制表单'!$C:$BJ,51,FALSE)</f>
        <v>4716.98113207547</v>
      </c>
      <c r="CG127" s="120">
        <f>CF127-CH127</f>
        <v>4716.98113207547</v>
      </c>
      <c r="CH127" s="120">
        <f>SUM(CH128:CH132)</f>
        <v>0</v>
      </c>
      <c r="CI127" s="120">
        <f>VLOOKUP($C127,'1 预算编制表单'!$C:$BJ,54,FALSE)</f>
        <v>4716.98113207547</v>
      </c>
      <c r="CJ127" s="120">
        <f>CI127-CK127</f>
        <v>4716.98113207547</v>
      </c>
      <c r="CK127" s="120">
        <f>SUM(CK128:CK132)</f>
        <v>0</v>
      </c>
      <c r="CL127" s="120">
        <f>VLOOKUP($C127,'1 预算编制表单'!$C:$BJ,57,FALSE)</f>
        <v>4716.98113207547</v>
      </c>
      <c r="CM127" s="120">
        <f>CL127-CN127</f>
        <v>4716.98113207547</v>
      </c>
      <c r="CN127" s="120">
        <f>SUM(CN128:CN132)</f>
        <v>0</v>
      </c>
      <c r="CO127" s="120">
        <f>VLOOKUP($C127,'1 预算编制表单'!$C:$BJ,60,FALSE)</f>
        <v>4716.98113207547</v>
      </c>
      <c r="CP127" s="120">
        <f>CO127-CQ127</f>
        <v>4716.98113207547</v>
      </c>
      <c r="CQ127" s="120">
        <f>SUM(CQ128:CQ132)</f>
        <v>0</v>
      </c>
    </row>
    <row r="128" s="82" customFormat="1" ht="24" hidden="1" customHeight="1" outlineLevel="4" spans="1:95">
      <c r="A128" s="121"/>
      <c r="B128" s="122"/>
      <c r="C128" s="123"/>
      <c r="D128" s="121"/>
      <c r="E128" s="122"/>
      <c r="F128" s="122"/>
      <c r="G128" s="122"/>
      <c r="H128" s="124"/>
      <c r="I128" s="124"/>
      <c r="J128" s="124">
        <f t="shared" si="814"/>
        <v>34849.3150684932</v>
      </c>
      <c r="K128" s="124">
        <v>1</v>
      </c>
      <c r="L128" s="149" t="s">
        <v>2824</v>
      </c>
      <c r="M128" s="150" t="str">
        <f>IFERROR(VLOOKUP($L128,'2-2 引出数据_合同数据仓库'!$B$2:$BP$10000,3,FALSE),0)</f>
        <v>银湖实验小学2024-2025年绿化养护外包服务合同</v>
      </c>
      <c r="N128" s="124"/>
      <c r="O128" s="150">
        <f>IFERROR(VLOOKUP((LEFT(VLOOKUP($L128,'2-2 引出数据_合同数据仓库'!$B$2:$BP$10000,64,FALSE),15)&amp;(RIGHT(VLOOKUP($L128,'2-2 引出数据_合同数据仓库'!$B$2:$BP$10000,64,FALSE),4)+1)),'2-2 引出数据_合同数据仓库'!$B$2:$BP$10000,3,FALSE),0)</f>
        <v>0</v>
      </c>
      <c r="P128" s="124"/>
      <c r="Q128" s="124" t="str">
        <f>IFERROR(VLOOKUP($L128,'2-2 引出数据_合同数据仓库'!$B$2:$BP$10000,28,FALSE),0)</f>
        <v>2024-07-31</v>
      </c>
      <c r="R128" s="124" t="str">
        <f>IFERROR(VLOOKUP($L128,'2-2 引出数据_合同数据仓库'!$B$2:$BP$10000,29,FALSE),0)</f>
        <v>2024-08-01</v>
      </c>
      <c r="S128" s="124" t="str">
        <f>IFERROR(VLOOKUP($L128,'2-2 引出数据_合同数据仓库'!$B$2:$BP$10000,4,FALSE),0)</f>
        <v>2025-07-31</v>
      </c>
      <c r="T128" s="124"/>
      <c r="U128" s="124">
        <f>IFERROR(VLOOKUP($L128,'2-2 引出数据_合同数据仓库'!$B$2:$BP$10000,15,FALSE),0)</f>
        <v>60000</v>
      </c>
      <c r="V128" s="124">
        <f t="shared" ref="V128:V131" si="1498">U128/(S128-R128+1)*365</f>
        <v>60000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5095.8904109589</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4602.7397260274</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5095.8904109589</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4931.50684931507</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5095.8904109589</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4931.50684931507</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5095.8904109589</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hidden="1"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hidden="1"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hidden="1"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hidden="1"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hidden="1" customHeight="1" outlineLevel="3" collapsed="1"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hidden="1"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hidden="1"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hidden="1"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hidden="1"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hidden="1"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hidden="1" customHeight="1" outlineLevel="2" collapsed="1"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hidden="1" customHeight="1" outlineLevel="3" collapsed="1"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hidden="1"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hidden="1"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hidden="1"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hidden="1"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hidden="1"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hidden="1" customHeight="1" outlineLevel="3" collapsed="1"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hidden="1"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hidden="1"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hidden="1"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hidden="1"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hidden="1"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hidden="1" customHeight="1" outlineLevel="3" collapsed="1"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hidden="1"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hidden="1"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hidden="1"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hidden="1"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hidden="1"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hidden="1" customHeight="1" outlineLevel="2" collapsed="1" spans="1:95">
      <c r="A158" s="48"/>
      <c r="B158" s="114" t="s">
        <v>794</v>
      </c>
      <c r="C158" s="115" t="s">
        <v>1120</v>
      </c>
      <c r="D158" s="48" t="s">
        <v>1121</v>
      </c>
      <c r="E158" s="114"/>
      <c r="F158" s="114"/>
      <c r="G158" s="114"/>
      <c r="H158" s="116">
        <f>X158+AA158+AD158+AG158+AJ158+AM158+AP158+AS158+AV158+AY158+BB158+BE158</f>
        <v>540444.212075471</v>
      </c>
      <c r="I158" s="116">
        <f>Y158+AB158+AE158+AH158+AK158+AN158+AQ158+AT158+AW158+AZ158+BC158+BF158</f>
        <v>540444.212075471</v>
      </c>
      <c r="J158" s="116">
        <f t="shared" si="1570"/>
        <v>0</v>
      </c>
      <c r="K158" s="116"/>
      <c r="L158" s="147"/>
      <c r="M158" s="147"/>
      <c r="N158" s="116"/>
      <c r="O158" s="116"/>
      <c r="P158" s="116"/>
      <c r="Q158" s="116"/>
      <c r="R158" s="116"/>
      <c r="S158" s="116"/>
      <c r="T158" s="116"/>
      <c r="U158" s="116"/>
      <c r="V158" s="116"/>
      <c r="W158" s="116"/>
      <c r="X158" s="116">
        <f>VLOOKUP($C158,'1 预算编制表单'!$C:$BJ,27,FALSE)</f>
        <v>46162.6076729559</v>
      </c>
      <c r="Y158" s="116">
        <f>X158-Z158</f>
        <v>46162.6076729559</v>
      </c>
      <c r="Z158" s="116">
        <f>Z159+Z165+Z171</f>
        <v>0</v>
      </c>
      <c r="AA158" s="116">
        <f>VLOOKUP($C158,'1 预算编制表单'!$C:$BJ,30,FALSE)</f>
        <v>44377.7276729559</v>
      </c>
      <c r="AB158" s="116">
        <f>AA158-AC158</f>
        <v>44377.7276729559</v>
      </c>
      <c r="AC158" s="116">
        <f>AC159+AC165+AC171</f>
        <v>0</v>
      </c>
      <c r="AD158" s="116">
        <f>VLOOKUP($C158,'1 预算编制表单'!$C:$BJ,33,FALSE)</f>
        <v>44377.7276729559</v>
      </c>
      <c r="AE158" s="116">
        <f>AD158-AF158</f>
        <v>44377.7276729559</v>
      </c>
      <c r="AF158" s="116">
        <f>AF159+AF165+AF171</f>
        <v>0</v>
      </c>
      <c r="AG158" s="116">
        <f>VLOOKUP($C158,'1 预算编制表单'!$C:$BJ,36,FALSE)</f>
        <v>44377.7276729559</v>
      </c>
      <c r="AH158" s="116">
        <f>AG158-AI158</f>
        <v>44377.7276729559</v>
      </c>
      <c r="AI158" s="116">
        <f>AI159+AI165+AI171</f>
        <v>0</v>
      </c>
      <c r="AJ158" s="116">
        <f>VLOOKUP($C158,'1 预算编制表单'!$C:$BJ,39,FALSE)</f>
        <v>44377.7276729559</v>
      </c>
      <c r="AK158" s="116">
        <f>AJ158-AL158</f>
        <v>44377.7276729559</v>
      </c>
      <c r="AL158" s="116">
        <f>AL159+AL165+AL171</f>
        <v>0</v>
      </c>
      <c r="AM158" s="116">
        <f>VLOOKUP($C158,'1 预算编制表单'!$C:$BJ,42,FALSE)</f>
        <v>44377.7276729559</v>
      </c>
      <c r="AN158" s="116">
        <f>AM158-AO158</f>
        <v>44377.7276729559</v>
      </c>
      <c r="AO158" s="116">
        <f>AO159+AO165+AO171</f>
        <v>0</v>
      </c>
      <c r="AP158" s="116">
        <f>VLOOKUP($C158,'1 预算编制表单'!$C:$BJ,45,FALSE)</f>
        <v>44377.7276729559</v>
      </c>
      <c r="AQ158" s="116">
        <f>AP158-AR158</f>
        <v>44377.7276729559</v>
      </c>
      <c r="AR158" s="116">
        <f>AR159+AR165+AR171</f>
        <v>0</v>
      </c>
      <c r="AS158" s="116">
        <f>VLOOKUP($C158,'1 预算编制表单'!$C:$BJ,48,FALSE)</f>
        <v>44377.7276729559</v>
      </c>
      <c r="AT158" s="116">
        <f>AS158-AU158</f>
        <v>44377.7276729559</v>
      </c>
      <c r="AU158" s="116">
        <f>AU159+AU165+AU171</f>
        <v>0</v>
      </c>
      <c r="AV158" s="116">
        <f>VLOOKUP($C158,'1 预算编制表单'!$C:$BJ,51,FALSE)</f>
        <v>44377.7276729559</v>
      </c>
      <c r="AW158" s="116">
        <f>AV158-AX158</f>
        <v>44377.7276729559</v>
      </c>
      <c r="AX158" s="116">
        <f>AX159+AX165+AX171</f>
        <v>0</v>
      </c>
      <c r="AY158" s="116">
        <f>VLOOKUP($C158,'1 预算编制表单'!$C:$BJ,54,FALSE)</f>
        <v>44377.7276729559</v>
      </c>
      <c r="AZ158" s="116">
        <f>AY158-BA158</f>
        <v>44377.7276729559</v>
      </c>
      <c r="BA158" s="116">
        <f>BA159+BA165+BA171</f>
        <v>0</v>
      </c>
      <c r="BB158" s="116">
        <f>VLOOKUP($C158,'1 预算编制表单'!$C:$BJ,57,FALSE)</f>
        <v>44377.7276729559</v>
      </c>
      <c r="BC158" s="116">
        <f>BB158-BD158</f>
        <v>44377.7276729559</v>
      </c>
      <c r="BD158" s="116">
        <f>BD159+BD165+BD171</f>
        <v>0</v>
      </c>
      <c r="BE158" s="116">
        <f>VLOOKUP($C158,'1 预算编制表单'!$C:$BJ,60,FALSE)</f>
        <v>50504.3276729559</v>
      </c>
      <c r="BF158" s="116">
        <f>BE158-BG158</f>
        <v>50504.3276729559</v>
      </c>
      <c r="BG158" s="116">
        <f>BG159+BG165+BG171</f>
        <v>0</v>
      </c>
      <c r="BH158" s="116">
        <f>VLOOKUP($C158,'1 预算编制表单'!$C:$BJ,27,FALSE)</f>
        <v>46162.6076729559</v>
      </c>
      <c r="BI158" s="116">
        <f>BH158-BJ158</f>
        <v>46162.6076729559</v>
      </c>
      <c r="BJ158" s="116">
        <f>BJ159+BJ165+BJ171</f>
        <v>0</v>
      </c>
      <c r="BK158" s="116">
        <f>VLOOKUP($C158,'1 预算编制表单'!$C:$BJ,30,FALSE)</f>
        <v>44377.7276729559</v>
      </c>
      <c r="BL158" s="116">
        <f>BK158-BM158</f>
        <v>44377.7276729559</v>
      </c>
      <c r="BM158" s="116">
        <f>BM159+BM165+BM171</f>
        <v>0</v>
      </c>
      <c r="BN158" s="116">
        <f>VLOOKUP($C158,'1 预算编制表单'!$C:$BJ,33,FALSE)</f>
        <v>44377.7276729559</v>
      </c>
      <c r="BO158" s="116">
        <f>BN158-BP158</f>
        <v>44377.7276729559</v>
      </c>
      <c r="BP158" s="116">
        <f>BP159+BP165+BP171</f>
        <v>0</v>
      </c>
      <c r="BQ158" s="116">
        <f>VLOOKUP($C158,'1 预算编制表单'!$C:$BJ,36,FALSE)</f>
        <v>44377.7276729559</v>
      </c>
      <c r="BR158" s="116">
        <f>BQ158-BS158</f>
        <v>44377.7276729559</v>
      </c>
      <c r="BS158" s="116">
        <f>BS159+BS165+BS171</f>
        <v>0</v>
      </c>
      <c r="BT158" s="116">
        <f>VLOOKUP($C158,'1 预算编制表单'!$C:$BJ,39,FALSE)</f>
        <v>44377.7276729559</v>
      </c>
      <c r="BU158" s="116">
        <f>BT158-BV158</f>
        <v>44377.7276729559</v>
      </c>
      <c r="BV158" s="116">
        <f>BV159+BV165+BV171</f>
        <v>0</v>
      </c>
      <c r="BW158" s="116">
        <f>VLOOKUP($C158,'1 预算编制表单'!$C:$BJ,42,FALSE)</f>
        <v>44377.7276729559</v>
      </c>
      <c r="BX158" s="116">
        <f>BW158-BY158</f>
        <v>44377.7276729559</v>
      </c>
      <c r="BY158" s="116">
        <f>BY159+BY165+BY171</f>
        <v>0</v>
      </c>
      <c r="BZ158" s="116">
        <f>VLOOKUP($C158,'1 预算编制表单'!$C:$BJ,45,FALSE)</f>
        <v>44377.7276729559</v>
      </c>
      <c r="CA158" s="116">
        <f>BZ158-CB158</f>
        <v>44377.7276729559</v>
      </c>
      <c r="CB158" s="116">
        <f>CB159+CB165+CB171</f>
        <v>0</v>
      </c>
      <c r="CC158" s="116">
        <f>VLOOKUP($C158,'1 预算编制表单'!$C:$BJ,48,FALSE)</f>
        <v>44377.7276729559</v>
      </c>
      <c r="CD158" s="116">
        <f>CC158-CE158</f>
        <v>44377.7276729559</v>
      </c>
      <c r="CE158" s="116">
        <f>CE159+CE165+CE171</f>
        <v>0</v>
      </c>
      <c r="CF158" s="116">
        <f>VLOOKUP($C158,'1 预算编制表单'!$C:$BJ,51,FALSE)</f>
        <v>44377.7276729559</v>
      </c>
      <c r="CG158" s="116">
        <f>CF158-CH158</f>
        <v>44377.7276729559</v>
      </c>
      <c r="CH158" s="116">
        <f>CH159+CH165+CH171</f>
        <v>0</v>
      </c>
      <c r="CI158" s="116">
        <f>VLOOKUP($C158,'1 预算编制表单'!$C:$BJ,54,FALSE)</f>
        <v>44377.7276729559</v>
      </c>
      <c r="CJ158" s="116">
        <f>CI158-CK158</f>
        <v>44377.7276729559</v>
      </c>
      <c r="CK158" s="116">
        <f>CK159+CK165+CK171</f>
        <v>0</v>
      </c>
      <c r="CL158" s="116">
        <f>VLOOKUP($C158,'1 预算编制表单'!$C:$BJ,57,FALSE)</f>
        <v>44377.7276729559</v>
      </c>
      <c r="CM158" s="116">
        <f>CL158-CN158</f>
        <v>44377.7276729559</v>
      </c>
      <c r="CN158" s="116">
        <f>CN159+CN165+CN171</f>
        <v>0</v>
      </c>
      <c r="CO158" s="116">
        <f>VLOOKUP($C158,'1 预算编制表单'!$C:$BJ,60,FALSE)</f>
        <v>50504.3276729559</v>
      </c>
      <c r="CP158" s="116">
        <f>CO158-CQ158</f>
        <v>50504.3276729559</v>
      </c>
      <c r="CQ158" s="116">
        <f>CQ159+CQ165+CQ171</f>
        <v>0</v>
      </c>
    </row>
    <row r="159" ht="24" hidden="1" customHeight="1" outlineLevel="3" collapsed="1" spans="1:95">
      <c r="A159" s="117"/>
      <c r="B159" s="118" t="s">
        <v>799</v>
      </c>
      <c r="C159" s="119" t="s">
        <v>130</v>
      </c>
      <c r="D159" s="117" t="s">
        <v>109</v>
      </c>
      <c r="E159" s="118"/>
      <c r="F159" s="118"/>
      <c r="G159" s="118"/>
      <c r="H159" s="120">
        <f>X159+AA159+AD159+AG159+AJ159+AM159+AP159+AS159+AV159+AY159+BB159+BE159</f>
        <v>495463.08</v>
      </c>
      <c r="I159" s="120">
        <f>Y159+AB159+AE159+AH159+AK159+AN159+AQ159+AT159+AW159+AZ159+BC159+BF159</f>
        <v>495463.08</v>
      </c>
      <c r="J159" s="120">
        <f t="shared" si="1570"/>
        <v>0</v>
      </c>
      <c r="K159" s="120"/>
      <c r="L159" s="148"/>
      <c r="M159" s="148"/>
      <c r="N159" s="120"/>
      <c r="O159" s="120"/>
      <c r="P159" s="120"/>
      <c r="Q159" s="120"/>
      <c r="R159" s="120"/>
      <c r="S159" s="120"/>
      <c r="T159" s="120"/>
      <c r="U159" s="120"/>
      <c r="V159" s="120"/>
      <c r="W159" s="120"/>
      <c r="X159" s="120">
        <f>VLOOKUP($C159,'1 预算编制表单'!$C:$BJ,27,FALSE)</f>
        <v>42414.18</v>
      </c>
      <c r="Y159" s="120">
        <f>X159-Z159</f>
        <v>42414.18</v>
      </c>
      <c r="Z159" s="120">
        <f>SUM(Z160:Z164)</f>
        <v>0</v>
      </c>
      <c r="AA159" s="120">
        <f>VLOOKUP($C159,'1 预算编制表单'!$C:$BJ,30,FALSE)</f>
        <v>40629.3</v>
      </c>
      <c r="AB159" s="120">
        <f>AA159-AC159</f>
        <v>40629.3</v>
      </c>
      <c r="AC159" s="120">
        <f>SUM(AC160:AC164)</f>
        <v>0</v>
      </c>
      <c r="AD159" s="120">
        <f>VLOOKUP($C159,'1 预算编制表单'!$C:$BJ,33,FALSE)</f>
        <v>40629.3</v>
      </c>
      <c r="AE159" s="120">
        <f>AD159-AF159</f>
        <v>40629.3</v>
      </c>
      <c r="AF159" s="120">
        <f>SUM(AF160:AF164)</f>
        <v>0</v>
      </c>
      <c r="AG159" s="120">
        <f>VLOOKUP($C159,'1 预算编制表单'!$C:$BJ,36,FALSE)</f>
        <v>40629.3</v>
      </c>
      <c r="AH159" s="120">
        <f>AG159-AI159</f>
        <v>40629.3</v>
      </c>
      <c r="AI159" s="120">
        <f>SUM(AI160:AI164)</f>
        <v>0</v>
      </c>
      <c r="AJ159" s="120">
        <f>VLOOKUP($C159,'1 预算编制表单'!$C:$BJ,39,FALSE)</f>
        <v>40629.3</v>
      </c>
      <c r="AK159" s="120">
        <f>AJ159-AL159</f>
        <v>40629.3</v>
      </c>
      <c r="AL159" s="120">
        <f>SUM(AL160:AL164)</f>
        <v>0</v>
      </c>
      <c r="AM159" s="120">
        <f>VLOOKUP($C159,'1 预算编制表单'!$C:$BJ,42,FALSE)</f>
        <v>40629.3</v>
      </c>
      <c r="AN159" s="120">
        <f>AM159-AO159</f>
        <v>40629.3</v>
      </c>
      <c r="AO159" s="120">
        <f>SUM(AO160:AO164)</f>
        <v>0</v>
      </c>
      <c r="AP159" s="120">
        <f>VLOOKUP($C159,'1 预算编制表单'!$C:$BJ,45,FALSE)</f>
        <v>40629.3</v>
      </c>
      <c r="AQ159" s="120">
        <f>AP159-AR159</f>
        <v>40629.3</v>
      </c>
      <c r="AR159" s="120">
        <f>SUM(AR160:AR164)</f>
        <v>0</v>
      </c>
      <c r="AS159" s="120">
        <f>VLOOKUP($C159,'1 预算编制表单'!$C:$BJ,48,FALSE)</f>
        <v>40629.3</v>
      </c>
      <c r="AT159" s="120">
        <f>AS159-AU159</f>
        <v>40629.3</v>
      </c>
      <c r="AU159" s="120">
        <f>SUM(AU160:AU164)</f>
        <v>0</v>
      </c>
      <c r="AV159" s="120">
        <f>VLOOKUP($C159,'1 预算编制表单'!$C:$BJ,51,FALSE)</f>
        <v>40629.3</v>
      </c>
      <c r="AW159" s="120">
        <f>AV159-AX159</f>
        <v>40629.3</v>
      </c>
      <c r="AX159" s="120">
        <f>SUM(AX160:AX164)</f>
        <v>0</v>
      </c>
      <c r="AY159" s="120">
        <f>VLOOKUP($C159,'1 预算编制表单'!$C:$BJ,54,FALSE)</f>
        <v>40629.3</v>
      </c>
      <c r="AZ159" s="120">
        <f>AY159-BA159</f>
        <v>40629.3</v>
      </c>
      <c r="BA159" s="120">
        <f>SUM(BA160:BA164)</f>
        <v>0</v>
      </c>
      <c r="BB159" s="120">
        <f>VLOOKUP($C159,'1 预算编制表单'!$C:$BJ,57,FALSE)</f>
        <v>40629.3</v>
      </c>
      <c r="BC159" s="120">
        <f>BB159-BD159</f>
        <v>40629.3</v>
      </c>
      <c r="BD159" s="120">
        <f>SUM(BD160:BD164)</f>
        <v>0</v>
      </c>
      <c r="BE159" s="120">
        <f>VLOOKUP($C159,'1 预算编制表单'!$C:$BJ,60,FALSE)</f>
        <v>46755.9</v>
      </c>
      <c r="BF159" s="120">
        <f>BE159-BG159</f>
        <v>46755.9</v>
      </c>
      <c r="BG159" s="120">
        <f>SUM(BG160:BG164)</f>
        <v>0</v>
      </c>
      <c r="BH159" s="120">
        <f>VLOOKUP($C159,'1 预算编制表单'!$C:$BJ,27,FALSE)</f>
        <v>42414.18</v>
      </c>
      <c r="BI159" s="120">
        <f>BH159-BJ159</f>
        <v>42414.18</v>
      </c>
      <c r="BJ159" s="120">
        <f>SUM(BJ160:BJ164)</f>
        <v>0</v>
      </c>
      <c r="BK159" s="120">
        <f>VLOOKUP($C159,'1 预算编制表单'!$C:$BJ,30,FALSE)</f>
        <v>40629.3</v>
      </c>
      <c r="BL159" s="120">
        <f>BK159-BM159</f>
        <v>40629.3</v>
      </c>
      <c r="BM159" s="120">
        <f>SUM(BM160:BM164)</f>
        <v>0</v>
      </c>
      <c r="BN159" s="120">
        <f>VLOOKUP($C159,'1 预算编制表单'!$C:$BJ,33,FALSE)</f>
        <v>40629.3</v>
      </c>
      <c r="BO159" s="120">
        <f>BN159-BP159</f>
        <v>40629.3</v>
      </c>
      <c r="BP159" s="120">
        <f>SUM(BP160:BP164)</f>
        <v>0</v>
      </c>
      <c r="BQ159" s="120">
        <f>VLOOKUP($C159,'1 预算编制表单'!$C:$BJ,36,FALSE)</f>
        <v>40629.3</v>
      </c>
      <c r="BR159" s="120">
        <f>BQ159-BS159</f>
        <v>40629.3</v>
      </c>
      <c r="BS159" s="120">
        <f>SUM(BS160:BS164)</f>
        <v>0</v>
      </c>
      <c r="BT159" s="120">
        <f>VLOOKUP($C159,'1 预算编制表单'!$C:$BJ,39,FALSE)</f>
        <v>40629.3</v>
      </c>
      <c r="BU159" s="120">
        <f>BT159-BV159</f>
        <v>40629.3</v>
      </c>
      <c r="BV159" s="120">
        <f>SUM(BV160:BV164)</f>
        <v>0</v>
      </c>
      <c r="BW159" s="120">
        <f>VLOOKUP($C159,'1 预算编制表单'!$C:$BJ,42,FALSE)</f>
        <v>40629.3</v>
      </c>
      <c r="BX159" s="120">
        <f>BW159-BY159</f>
        <v>40629.3</v>
      </c>
      <c r="BY159" s="120">
        <f>SUM(BY160:BY164)</f>
        <v>0</v>
      </c>
      <c r="BZ159" s="120">
        <f>VLOOKUP($C159,'1 预算编制表单'!$C:$BJ,45,FALSE)</f>
        <v>40629.3</v>
      </c>
      <c r="CA159" s="120">
        <f>BZ159-CB159</f>
        <v>40629.3</v>
      </c>
      <c r="CB159" s="120">
        <f>SUM(CB160:CB164)</f>
        <v>0</v>
      </c>
      <c r="CC159" s="120">
        <f>VLOOKUP($C159,'1 预算编制表单'!$C:$BJ,48,FALSE)</f>
        <v>40629.3</v>
      </c>
      <c r="CD159" s="120">
        <f>CC159-CE159</f>
        <v>40629.3</v>
      </c>
      <c r="CE159" s="120">
        <f>SUM(CE160:CE164)</f>
        <v>0</v>
      </c>
      <c r="CF159" s="120">
        <f>VLOOKUP($C159,'1 预算编制表单'!$C:$BJ,51,FALSE)</f>
        <v>40629.3</v>
      </c>
      <c r="CG159" s="120">
        <f>CF159-CH159</f>
        <v>40629.3</v>
      </c>
      <c r="CH159" s="120">
        <f>SUM(CH160:CH164)</f>
        <v>0</v>
      </c>
      <c r="CI159" s="120">
        <f>VLOOKUP($C159,'1 预算编制表单'!$C:$BJ,54,FALSE)</f>
        <v>40629.3</v>
      </c>
      <c r="CJ159" s="120">
        <f>CI159-CK159</f>
        <v>40629.3</v>
      </c>
      <c r="CK159" s="120">
        <f>SUM(CK160:CK164)</f>
        <v>0</v>
      </c>
      <c r="CL159" s="120">
        <f>VLOOKUP($C159,'1 预算编制表单'!$C:$BJ,57,FALSE)</f>
        <v>40629.3</v>
      </c>
      <c r="CM159" s="120">
        <f>CL159-CN159</f>
        <v>40629.3</v>
      </c>
      <c r="CN159" s="120">
        <f>SUM(CN160:CN164)</f>
        <v>0</v>
      </c>
      <c r="CO159" s="120">
        <f>VLOOKUP($C159,'1 预算编制表单'!$C:$BJ,60,FALSE)</f>
        <v>46755.9</v>
      </c>
      <c r="CP159" s="120">
        <f>CO159-CQ159</f>
        <v>46755.9</v>
      </c>
      <c r="CQ159" s="120">
        <f>SUM(CQ160:CQ164)</f>
        <v>0</v>
      </c>
    </row>
    <row r="160" s="82" customFormat="1" ht="24" hidden="1"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hidden="1"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hidden="1"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hidden="1"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hidden="1"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hidden="1" customHeight="1" outlineLevel="3" collapsed="1"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hidden="1" customHeight="1" outlineLevel="4" spans="1:95">
      <c r="A166" s="121"/>
      <c r="B166" s="122"/>
      <c r="C166" s="123" t="s">
        <v>1133</v>
      </c>
      <c r="D166" s="121" t="s">
        <v>2825</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hidden="1"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hidden="1"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hidden="1"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hidden="1"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hidden="1" customHeight="1" outlineLevel="3" collapsed="1" spans="1:95">
      <c r="A171" s="117"/>
      <c r="B171" s="118" t="s">
        <v>799</v>
      </c>
      <c r="C171" s="119" t="s">
        <v>1139</v>
      </c>
      <c r="D171" s="117" t="s">
        <v>19</v>
      </c>
      <c r="E171" s="118"/>
      <c r="F171" s="118"/>
      <c r="G171" s="118"/>
      <c r="H171" s="120">
        <f>X171+AA171+AD171+AG171+AJ171+AM171+AP171+AS171+AV171+AY171+BB171+BE171</f>
        <v>44981.1320754713</v>
      </c>
      <c r="I171" s="120">
        <f>Y171+AB171+AE171+AH171+AK171+AN171+AQ171+AT171+AW171+AZ171+BC171+BF171</f>
        <v>44981.1320754713</v>
      </c>
      <c r="J171" s="120">
        <f t="shared" si="1570"/>
        <v>0</v>
      </c>
      <c r="K171" s="120"/>
      <c r="L171" s="148"/>
      <c r="M171" s="148"/>
      <c r="N171" s="120"/>
      <c r="O171" s="120"/>
      <c r="P171" s="120"/>
      <c r="Q171" s="120"/>
      <c r="R171" s="120"/>
      <c r="S171" s="120"/>
      <c r="T171" s="120"/>
      <c r="U171" s="120"/>
      <c r="V171" s="120"/>
      <c r="W171" s="120"/>
      <c r="X171" s="120">
        <f>VLOOKUP($C171,'1 预算编制表单'!$C:$BJ,27,FALSE)</f>
        <v>3748.42767295594</v>
      </c>
      <c r="Y171" s="120">
        <f>X171-Z171</f>
        <v>3748.42767295594</v>
      </c>
      <c r="Z171" s="120">
        <f>SUM(Z172:Z176)</f>
        <v>0</v>
      </c>
      <c r="AA171" s="120">
        <f>VLOOKUP($C171,'1 预算编制表单'!$C:$BJ,30,FALSE)</f>
        <v>3748.42767295594</v>
      </c>
      <c r="AB171" s="120">
        <f>AA171-AC171</f>
        <v>3748.42767295594</v>
      </c>
      <c r="AC171" s="120">
        <f>SUM(AC172:AC176)</f>
        <v>0</v>
      </c>
      <c r="AD171" s="120">
        <f>VLOOKUP($C171,'1 预算编制表单'!$C:$BJ,33,FALSE)</f>
        <v>3748.42767295594</v>
      </c>
      <c r="AE171" s="120">
        <f>AD171-AF171</f>
        <v>3748.42767295594</v>
      </c>
      <c r="AF171" s="120">
        <f>SUM(AF172:AF176)</f>
        <v>0</v>
      </c>
      <c r="AG171" s="120">
        <f>VLOOKUP($C171,'1 预算编制表单'!$C:$BJ,36,FALSE)</f>
        <v>3748.42767295594</v>
      </c>
      <c r="AH171" s="120">
        <f>AG171-AI171</f>
        <v>3748.42767295594</v>
      </c>
      <c r="AI171" s="120">
        <f>SUM(AI172:AI176)</f>
        <v>0</v>
      </c>
      <c r="AJ171" s="120">
        <f>VLOOKUP($C171,'1 预算编制表单'!$C:$BJ,39,FALSE)</f>
        <v>3748.42767295594</v>
      </c>
      <c r="AK171" s="120">
        <f>AJ171-AL171</f>
        <v>3748.42767295594</v>
      </c>
      <c r="AL171" s="120">
        <f>SUM(AL172:AL176)</f>
        <v>0</v>
      </c>
      <c r="AM171" s="120">
        <f>VLOOKUP($C171,'1 预算编制表单'!$C:$BJ,42,FALSE)</f>
        <v>3748.42767295594</v>
      </c>
      <c r="AN171" s="120">
        <f>AM171-AO171</f>
        <v>3748.42767295594</v>
      </c>
      <c r="AO171" s="120">
        <f>SUM(AO172:AO176)</f>
        <v>0</v>
      </c>
      <c r="AP171" s="120">
        <f>VLOOKUP($C171,'1 预算编制表单'!$C:$BJ,45,FALSE)</f>
        <v>3748.42767295594</v>
      </c>
      <c r="AQ171" s="120">
        <f>AP171-AR171</f>
        <v>3748.42767295594</v>
      </c>
      <c r="AR171" s="120">
        <f>SUM(AR172:AR176)</f>
        <v>0</v>
      </c>
      <c r="AS171" s="120">
        <f>VLOOKUP($C171,'1 预算编制表单'!$C:$BJ,48,FALSE)</f>
        <v>3748.42767295594</v>
      </c>
      <c r="AT171" s="120">
        <f>AS171-AU171</f>
        <v>3748.42767295594</v>
      </c>
      <c r="AU171" s="120">
        <f>SUM(AU172:AU176)</f>
        <v>0</v>
      </c>
      <c r="AV171" s="120">
        <f>VLOOKUP($C171,'1 预算编制表单'!$C:$BJ,51,FALSE)</f>
        <v>3748.42767295594</v>
      </c>
      <c r="AW171" s="120">
        <f>AV171-AX171</f>
        <v>3748.42767295594</v>
      </c>
      <c r="AX171" s="120">
        <f>SUM(AX172:AX176)</f>
        <v>0</v>
      </c>
      <c r="AY171" s="120">
        <f>VLOOKUP($C171,'1 预算编制表单'!$C:$BJ,54,FALSE)</f>
        <v>3748.42767295594</v>
      </c>
      <c r="AZ171" s="120">
        <f>AY171-BA171</f>
        <v>3748.42767295594</v>
      </c>
      <c r="BA171" s="120">
        <f>SUM(BA172:BA176)</f>
        <v>0</v>
      </c>
      <c r="BB171" s="120">
        <f>VLOOKUP($C171,'1 预算编制表单'!$C:$BJ,57,FALSE)</f>
        <v>3748.42767295594</v>
      </c>
      <c r="BC171" s="120">
        <f>BB171-BD171</f>
        <v>3748.42767295594</v>
      </c>
      <c r="BD171" s="120">
        <f>SUM(BD172:BD176)</f>
        <v>0</v>
      </c>
      <c r="BE171" s="120">
        <f>VLOOKUP($C171,'1 预算编制表单'!$C:$BJ,60,FALSE)</f>
        <v>3748.42767295594</v>
      </c>
      <c r="BF171" s="120">
        <f>BE171-BG171</f>
        <v>3748.42767295594</v>
      </c>
      <c r="BG171" s="120">
        <f>SUM(BG172:BG176)</f>
        <v>0</v>
      </c>
      <c r="BH171" s="120">
        <f>VLOOKUP($C171,'1 预算编制表单'!$C:$BJ,27,FALSE)</f>
        <v>3748.42767295594</v>
      </c>
      <c r="BI171" s="120">
        <f>BH171-BJ171</f>
        <v>3748.42767295594</v>
      </c>
      <c r="BJ171" s="120">
        <f>SUM(BJ172:BJ176)</f>
        <v>0</v>
      </c>
      <c r="BK171" s="120">
        <f>VLOOKUP($C171,'1 预算编制表单'!$C:$BJ,30,FALSE)</f>
        <v>3748.42767295594</v>
      </c>
      <c r="BL171" s="120">
        <f>BK171-BM171</f>
        <v>3748.42767295594</v>
      </c>
      <c r="BM171" s="120">
        <f>SUM(BM172:BM176)</f>
        <v>0</v>
      </c>
      <c r="BN171" s="120">
        <f>VLOOKUP($C171,'1 预算编制表单'!$C:$BJ,33,FALSE)</f>
        <v>3748.42767295594</v>
      </c>
      <c r="BO171" s="120">
        <f>BN171-BP171</f>
        <v>3748.42767295594</v>
      </c>
      <c r="BP171" s="120">
        <f>SUM(BP172:BP176)</f>
        <v>0</v>
      </c>
      <c r="BQ171" s="120">
        <f>VLOOKUP($C171,'1 预算编制表单'!$C:$BJ,36,FALSE)</f>
        <v>3748.42767295594</v>
      </c>
      <c r="BR171" s="120">
        <f>BQ171-BS171</f>
        <v>3748.42767295594</v>
      </c>
      <c r="BS171" s="120">
        <f>SUM(BS172:BS176)</f>
        <v>0</v>
      </c>
      <c r="BT171" s="120">
        <f>VLOOKUP($C171,'1 预算编制表单'!$C:$BJ,39,FALSE)</f>
        <v>3748.42767295594</v>
      </c>
      <c r="BU171" s="120">
        <f>BT171-BV171</f>
        <v>3748.42767295594</v>
      </c>
      <c r="BV171" s="120">
        <f>SUM(BV172:BV176)</f>
        <v>0</v>
      </c>
      <c r="BW171" s="120">
        <f>VLOOKUP($C171,'1 预算编制表单'!$C:$BJ,42,FALSE)</f>
        <v>3748.42767295594</v>
      </c>
      <c r="BX171" s="120">
        <f>BW171-BY171</f>
        <v>3748.42767295594</v>
      </c>
      <c r="BY171" s="120">
        <f>SUM(BY172:BY176)</f>
        <v>0</v>
      </c>
      <c r="BZ171" s="120">
        <f>VLOOKUP($C171,'1 预算编制表单'!$C:$BJ,45,FALSE)</f>
        <v>3748.42767295594</v>
      </c>
      <c r="CA171" s="120">
        <f>BZ171-CB171</f>
        <v>3748.42767295594</v>
      </c>
      <c r="CB171" s="120">
        <f>SUM(CB172:CB176)</f>
        <v>0</v>
      </c>
      <c r="CC171" s="120">
        <f>VLOOKUP($C171,'1 预算编制表单'!$C:$BJ,48,FALSE)</f>
        <v>3748.42767295594</v>
      </c>
      <c r="CD171" s="120">
        <f>CC171-CE171</f>
        <v>3748.42767295594</v>
      </c>
      <c r="CE171" s="120">
        <f>SUM(CE172:CE176)</f>
        <v>0</v>
      </c>
      <c r="CF171" s="120">
        <f>VLOOKUP($C171,'1 预算编制表单'!$C:$BJ,51,FALSE)</f>
        <v>3748.42767295594</v>
      </c>
      <c r="CG171" s="120">
        <f>CF171-CH171</f>
        <v>3748.42767295594</v>
      </c>
      <c r="CH171" s="120">
        <f>SUM(CH172:CH176)</f>
        <v>0</v>
      </c>
      <c r="CI171" s="120">
        <f>VLOOKUP($C171,'1 预算编制表单'!$C:$BJ,54,FALSE)</f>
        <v>3748.42767295594</v>
      </c>
      <c r="CJ171" s="120">
        <f>CI171-CK171</f>
        <v>3748.42767295594</v>
      </c>
      <c r="CK171" s="120">
        <f>SUM(CK172:CK176)</f>
        <v>0</v>
      </c>
      <c r="CL171" s="120">
        <f>VLOOKUP($C171,'1 预算编制表单'!$C:$BJ,57,FALSE)</f>
        <v>3748.42767295594</v>
      </c>
      <c r="CM171" s="120">
        <f>CL171-CN171</f>
        <v>3748.42767295594</v>
      </c>
      <c r="CN171" s="120">
        <f>SUM(CN172:CN176)</f>
        <v>0</v>
      </c>
      <c r="CO171" s="120">
        <f>VLOOKUP($C171,'1 预算编制表单'!$C:$BJ,60,FALSE)</f>
        <v>3748.42767295594</v>
      </c>
      <c r="CP171" s="120">
        <f>CO171-CQ171</f>
        <v>3748.42767295594</v>
      </c>
      <c r="CQ171" s="120">
        <f>SUM(CQ172:CQ176)</f>
        <v>0</v>
      </c>
    </row>
    <row r="172" s="82" customFormat="1" ht="24" hidden="1"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hidden="1"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hidden="1"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hidden="1"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hidden="1"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hidden="1" customHeight="1" outlineLevel="1" collapsed="1" spans="1:95">
      <c r="A177" s="29"/>
      <c r="B177" s="111" t="s">
        <v>794</v>
      </c>
      <c r="C177" s="112" t="s">
        <v>220</v>
      </c>
      <c r="D177" s="29" t="s">
        <v>221</v>
      </c>
      <c r="E177" s="111"/>
      <c r="F177" s="111"/>
      <c r="G177" s="111"/>
      <c r="H177" s="113">
        <f t="shared" ref="H177:I179" si="2110">X177+AA177+AD177+AG177+AJ177+AM177+AP177+AS177+AV177+AY177+BB177+BE177</f>
        <v>0</v>
      </c>
      <c r="I177" s="113">
        <f t="shared" si="2110"/>
        <v>0</v>
      </c>
      <c r="J177" s="113">
        <f t="shared" si="1570"/>
        <v>0</v>
      </c>
      <c r="K177" s="113"/>
      <c r="L177" s="146"/>
      <c r="M177" s="146"/>
      <c r="N177" s="113"/>
      <c r="O177" s="146"/>
      <c r="P177" s="113"/>
      <c r="Q177" s="113"/>
      <c r="R177" s="113"/>
      <c r="S177" s="113"/>
      <c r="T177" s="113"/>
      <c r="U177" s="113"/>
      <c r="V177" s="113"/>
      <c r="W177" s="113"/>
      <c r="X177" s="113">
        <f>VLOOKUP($C177,'1 预算编制表单'!$C:$BJ,27,FALSE)</f>
        <v>0</v>
      </c>
      <c r="Y177" s="113">
        <f>X177-Z177</f>
        <v>0</v>
      </c>
      <c r="Z177" s="113">
        <f>Z178+Z203+Z209+Z252+Z265+Z278+Z339+Z397+Z403+Z422</f>
        <v>0</v>
      </c>
      <c r="AA177" s="113">
        <f>VLOOKUP($C177,'1 预算编制表单'!$C:$BJ,30,FALSE)</f>
        <v>0</v>
      </c>
      <c r="AB177" s="113">
        <f>AA177-AC177</f>
        <v>0</v>
      </c>
      <c r="AC177" s="113">
        <f>AC178+AC203+AC209+AC252+AC265+AC278+AC339+AC397+AC403+AC422</f>
        <v>0</v>
      </c>
      <c r="AD177" s="113">
        <f>VLOOKUP($C177,'1 预算编制表单'!$C:$BJ,33,FALSE)</f>
        <v>0</v>
      </c>
      <c r="AE177" s="113">
        <f>AD177-AF177</f>
        <v>0</v>
      </c>
      <c r="AF177" s="113">
        <f>AF178+AF203+AF209+AF252+AF265+AF278+AF339+AF397+AF403+AF422</f>
        <v>0</v>
      </c>
      <c r="AG177" s="113">
        <f>VLOOKUP($C177,'1 预算编制表单'!$C:$BJ,36,FALSE)</f>
        <v>0</v>
      </c>
      <c r="AH177" s="113">
        <f>AG177-AI177</f>
        <v>0</v>
      </c>
      <c r="AI177" s="113">
        <f>AI178+AI203+AI209+AI252+AI265+AI278+AI339+AI397+AI403+AI422</f>
        <v>0</v>
      </c>
      <c r="AJ177" s="113">
        <f>VLOOKUP($C177,'1 预算编制表单'!$C:$BJ,39,FALSE)</f>
        <v>0</v>
      </c>
      <c r="AK177" s="113">
        <f>AJ177-AL177</f>
        <v>0</v>
      </c>
      <c r="AL177" s="113">
        <f>AL178+AL203+AL209+AL252+AL265+AL278+AL339+AL397+AL403+AL422</f>
        <v>0</v>
      </c>
      <c r="AM177" s="113">
        <f>VLOOKUP($C177,'1 预算编制表单'!$C:$BJ,42,FALSE)</f>
        <v>0</v>
      </c>
      <c r="AN177" s="113">
        <f>AM177-AO177</f>
        <v>0</v>
      </c>
      <c r="AO177" s="113">
        <f>AO178+AO203+AO209+AO252+AO265+AO278+AO339+AO397+AO403+AO422</f>
        <v>0</v>
      </c>
      <c r="AP177" s="113">
        <f>VLOOKUP($C177,'1 预算编制表单'!$C:$BJ,45,FALSE)</f>
        <v>0</v>
      </c>
      <c r="AQ177" s="113">
        <f>AP177-AR177</f>
        <v>0</v>
      </c>
      <c r="AR177" s="113">
        <f>AR178+AR203+AR209+AR252+AR265+AR278+AR339+AR397+AR403+AR422</f>
        <v>0</v>
      </c>
      <c r="AS177" s="113">
        <f>VLOOKUP($C177,'1 预算编制表单'!$C:$BJ,48,FALSE)</f>
        <v>0</v>
      </c>
      <c r="AT177" s="113">
        <f>AS177-AU177</f>
        <v>0</v>
      </c>
      <c r="AU177" s="113">
        <f>AU178+AU203+AU209+AU252+AU265+AU278+AU339+AU397+AU403+AU422</f>
        <v>0</v>
      </c>
      <c r="AV177" s="113">
        <f>VLOOKUP($C177,'1 预算编制表单'!$C:$BJ,51,FALSE)</f>
        <v>0</v>
      </c>
      <c r="AW177" s="113">
        <f>AV177-AX177</f>
        <v>0</v>
      </c>
      <c r="AX177" s="113">
        <f>AX178+AX203+AX209+AX252+AX265+AX278+AX339+AX397+AX403+AX422</f>
        <v>0</v>
      </c>
      <c r="AY177" s="113">
        <f>VLOOKUP($C177,'1 预算编制表单'!$C:$BJ,54,FALSE)</f>
        <v>0</v>
      </c>
      <c r="AZ177" s="113">
        <f>AY177-BA177</f>
        <v>0</v>
      </c>
      <c r="BA177" s="113">
        <f>BA178+BA203+BA209+BA252+BA265+BA278+BA339+BA397+BA403+BA422</f>
        <v>0</v>
      </c>
      <c r="BB177" s="113">
        <f>VLOOKUP($C177,'1 预算编制表单'!$C:$BJ,57,FALSE)</f>
        <v>0</v>
      </c>
      <c r="BC177" s="113">
        <f>BB177-BD177</f>
        <v>0</v>
      </c>
      <c r="BD177" s="113">
        <f>BD178+BD203+BD209+BD252+BD265+BD278+BD339+BD397+BD403+BD422</f>
        <v>0</v>
      </c>
      <c r="BE177" s="113">
        <f>VLOOKUP($C177,'1 预算编制表单'!$C:$BJ,60,FALSE)</f>
        <v>0</v>
      </c>
      <c r="BF177" s="113">
        <f>BE177-BG177</f>
        <v>0</v>
      </c>
      <c r="BG177" s="113">
        <f>BG178+BG203+BG209+BG252+BG265+BG278+BG339+BG397+BG403+BG422</f>
        <v>0</v>
      </c>
      <c r="BH177" s="113">
        <f>VLOOKUP($C177,'1 预算编制表单'!$C:$BJ,27,FALSE)</f>
        <v>0</v>
      </c>
      <c r="BI177" s="113">
        <f t="shared" ref="BI177:BI179" si="2111">BH177-BJ177</f>
        <v>0</v>
      </c>
      <c r="BJ177" s="113">
        <f>BJ178+BJ203+BJ209+BJ252+BJ265+BJ278+BJ339+BJ397+BJ403+BJ422</f>
        <v>0</v>
      </c>
      <c r="BK177" s="113">
        <f>VLOOKUP($C177,'1 预算编制表单'!$C:$BJ,30,FALSE)</f>
        <v>0</v>
      </c>
      <c r="BL177" s="113">
        <f t="shared" ref="BL177:BL179" si="2112">BK177-BM177</f>
        <v>0</v>
      </c>
      <c r="BM177" s="113">
        <f>BM178+BM203+BM209+BM252+BM265+BM278+BM339+BM397+BM403+BM422</f>
        <v>0</v>
      </c>
      <c r="BN177" s="113">
        <f>VLOOKUP($C177,'1 预算编制表单'!$C:$BJ,33,FALSE)</f>
        <v>0</v>
      </c>
      <c r="BO177" s="113">
        <f t="shared" ref="BO177:BO179" si="2113">BN177-BP177</f>
        <v>0</v>
      </c>
      <c r="BP177" s="113">
        <f>BP178+BP203+BP209+BP252+BP265+BP278+BP339+BP397+BP403+BP422</f>
        <v>0</v>
      </c>
      <c r="BQ177" s="113">
        <f>VLOOKUP($C177,'1 预算编制表单'!$C:$BJ,36,FALSE)</f>
        <v>0</v>
      </c>
      <c r="BR177" s="113">
        <f t="shared" ref="BR177:BR179" si="2114">BQ177-BS177</f>
        <v>0</v>
      </c>
      <c r="BS177" s="113">
        <f>BS178+BS203+BS209+BS252+BS265+BS278+BS339+BS397+BS403+BS422</f>
        <v>0</v>
      </c>
      <c r="BT177" s="113">
        <f>VLOOKUP($C177,'1 预算编制表单'!$C:$BJ,39,FALSE)</f>
        <v>0</v>
      </c>
      <c r="BU177" s="113">
        <f t="shared" ref="BU177:BU179" si="2115">BT177-BV177</f>
        <v>0</v>
      </c>
      <c r="BV177" s="113">
        <f>BV178+BV203+BV209+BV252+BV265+BV278+BV339+BV397+BV403+BV422</f>
        <v>0</v>
      </c>
      <c r="BW177" s="113">
        <f>VLOOKUP($C177,'1 预算编制表单'!$C:$BJ,42,FALSE)</f>
        <v>0</v>
      </c>
      <c r="BX177" s="113">
        <f t="shared" ref="BX177:BX179" si="2116">BW177-BY177</f>
        <v>0</v>
      </c>
      <c r="BY177" s="113">
        <f>BY178+BY203+BY209+BY252+BY265+BY278+BY339+BY397+BY403+BY422</f>
        <v>0</v>
      </c>
      <c r="BZ177" s="113">
        <f>VLOOKUP($C177,'1 预算编制表单'!$C:$BJ,45,FALSE)</f>
        <v>0</v>
      </c>
      <c r="CA177" s="113">
        <f t="shared" ref="CA177:CA179" si="2117">BZ177-CB177</f>
        <v>0</v>
      </c>
      <c r="CB177" s="113">
        <f>CB178+CB203+CB209+CB252+CB265+CB278+CB339+CB397+CB403+CB422</f>
        <v>0</v>
      </c>
      <c r="CC177" s="113">
        <f>VLOOKUP($C177,'1 预算编制表单'!$C:$BJ,48,FALSE)</f>
        <v>0</v>
      </c>
      <c r="CD177" s="113">
        <f t="shared" ref="CD177:CD179" si="2118">CC177-CE177</f>
        <v>0</v>
      </c>
      <c r="CE177" s="113">
        <f>CE178+CE203+CE209+CE252+CE265+CE278+CE339+CE397+CE403+CE422</f>
        <v>0</v>
      </c>
      <c r="CF177" s="113">
        <f>VLOOKUP($C177,'1 预算编制表单'!$C:$BJ,51,FALSE)</f>
        <v>0</v>
      </c>
      <c r="CG177" s="113">
        <f t="shared" ref="CG177:CG179" si="2119">CF177-CH177</f>
        <v>0</v>
      </c>
      <c r="CH177" s="113">
        <f>CH178+CH203+CH209+CH252+CH265+CH278+CH339+CH397+CH403+CH422</f>
        <v>0</v>
      </c>
      <c r="CI177" s="113">
        <f>VLOOKUP($C177,'1 预算编制表单'!$C:$BJ,54,FALSE)</f>
        <v>0</v>
      </c>
      <c r="CJ177" s="113">
        <f t="shared" ref="CJ177:CJ179" si="2120">CI177-CK177</f>
        <v>0</v>
      </c>
      <c r="CK177" s="113">
        <f>CK178+CK203+CK209+CK252+CK265+CK278+CK339+CK397+CK403+CK422</f>
        <v>0</v>
      </c>
      <c r="CL177" s="113">
        <f>VLOOKUP($C177,'1 预算编制表单'!$C:$BJ,57,FALSE)</f>
        <v>0</v>
      </c>
      <c r="CM177" s="113">
        <f t="shared" ref="CM177:CM179" si="2121">CL177-CN177</f>
        <v>0</v>
      </c>
      <c r="CN177" s="113">
        <f>CN178+CN203+CN209+CN252+CN265+CN278+CN339+CN397+CN403+CN422</f>
        <v>0</v>
      </c>
      <c r="CO177" s="113">
        <f>VLOOKUP($C177,'1 预算编制表单'!$C:$BJ,60,FALSE)</f>
        <v>0</v>
      </c>
      <c r="CP177" s="113">
        <f t="shared" ref="CP177:CP179" si="2122">CO177-CQ177</f>
        <v>0</v>
      </c>
      <c r="CQ177" s="113">
        <f>CQ178+CQ203+CQ209+CQ252+CQ265+CQ278+CQ339+CQ397+CQ403+CQ422</f>
        <v>0</v>
      </c>
    </row>
    <row r="178" ht="24" hidden="1" customHeight="1" outlineLevel="2" collapsed="1" spans="1:95">
      <c r="A178" s="48"/>
      <c r="B178" s="114" t="s">
        <v>794</v>
      </c>
      <c r="C178" s="115" t="s">
        <v>32</v>
      </c>
      <c r="D178" s="48" t="s">
        <v>33</v>
      </c>
      <c r="E178" s="114" t="s">
        <v>1146</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hidden="1" customHeight="1" outlineLevel="3" collapsed="1" spans="1:95">
      <c r="A179" s="117"/>
      <c r="B179" s="118" t="s">
        <v>799</v>
      </c>
      <c r="C179" s="119" t="s">
        <v>1147</v>
      </c>
      <c r="D179" s="117" t="s">
        <v>2826</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hidden="1"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hidden="1"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hidden="1"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hidden="1"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hidden="1"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hidden="1" customHeight="1" outlineLevel="3" collapsed="1" spans="1:95">
      <c r="A185" s="117"/>
      <c r="B185" s="118" t="s">
        <v>799</v>
      </c>
      <c r="C185" s="119" t="s">
        <v>1152</v>
      </c>
      <c r="D185" s="117" t="s">
        <v>2827</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hidden="1"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引出数据_合同数据仓库'!$B$2:$BP$10000,3,FALSE),0)</f>
        <v>0</v>
      </c>
      <c r="N186" s="124"/>
      <c r="O186" s="150">
        <f>IFERROR(VLOOKUP((LEFT(VLOOKUP($L186,'2-2 引出数据_合同数据仓库'!$B$2:$BP$10000,64,FALSE),15)&amp;(RIGHT(VLOOKUP($L186,'2-2 引出数据_合同数据仓库'!$B$2:$BP$10000,64,FALSE),4)+1)),'2-2 引出数据_合同数据仓库'!$B$2:$BP$10000,3,FALSE),0)</f>
        <v>0</v>
      </c>
      <c r="P186" s="124"/>
      <c r="Q186" s="124">
        <f>IFERROR(VLOOKUP($L186,'2-2 引出数据_合同数据仓库'!$B$2:$BP$10000,28,FALSE),0)</f>
        <v>0</v>
      </c>
      <c r="R186" s="124">
        <f>IFERROR(VLOOKUP($L186,'2-2 引出数据_合同数据仓库'!$B$2:$BP$10000,29,FALSE),0)</f>
        <v>0</v>
      </c>
      <c r="S186" s="124">
        <f>IFERROR(VLOOKUP($L186,'2-2 引出数据_合同数据仓库'!$B$2:$BP$10000,4,FALSE),0)</f>
        <v>0</v>
      </c>
      <c r="T186" s="124"/>
      <c r="U186" s="124">
        <f>IFERROR(VLOOKUP($L186,'2-2 引出数据_合同数据仓库'!$B$2:$BP$10000,15,FALSE),0)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hidden="1"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hidden="1"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hidden="1"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hidden="1"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hidden="1" customHeight="1" outlineLevel="3" collapsed="1" spans="1:95">
      <c r="A191" s="117"/>
      <c r="B191" s="118" t="s">
        <v>799</v>
      </c>
      <c r="C191" s="119" t="s">
        <v>1154</v>
      </c>
      <c r="D191" s="117" t="s">
        <v>2432</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hidden="1"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hidden="1"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hidden="1"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hidden="1"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hidden="1"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hidden="1" customHeight="1" outlineLevel="3" collapsed="1"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hidden="1"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hidden="1"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hidden="1"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hidden="1"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hidden="1"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hidden="1" customHeight="1" outlineLevel="2" collapsed="1"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hidden="1"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hidden="1"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hidden="1"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hidden="1" customHeight="1" outlineLevel="3" collapsed="1"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hidden="1"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hidden="1" customHeight="1" outlineLevel="2" collapsed="1"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hidden="1" customHeight="1" outlineLevel="3" collapsed="1"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hidden="1"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hidden="1"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hidden="1"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hidden="1"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hidden="1"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hidden="1" customHeight="1" outlineLevel="3" collapsed="1"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hidden="1"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hidden="1"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hidden="1"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hidden="1"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hidden="1"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hidden="1" customHeight="1" outlineLevel="3" collapsed="1"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hidden="1"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hidden="1"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hidden="1"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hidden="1"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hidden="1"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hidden="1" customHeight="1" outlineLevel="3" collapsed="1"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hidden="1"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hidden="1"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hidden="1"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hidden="1"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hidden="1"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hidden="1" customHeight="1" outlineLevel="3" collapsed="1"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hidden="1"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hidden="1"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hidden="1"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hidden="1"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hidden="1"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hidden="1" customHeight="1" outlineLevel="3" collapsed="1"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hidden="1"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hidden="1"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hidden="1"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hidden="1"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hidden="1"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hidden="1" customHeight="1" outlineLevel="3" collapsed="1"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hidden="1"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hidden="1"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hidden="1"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hidden="1"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hidden="1"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hidden="1" customHeight="1" outlineLevel="2" collapsed="1"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hidden="1" customHeight="1" outlineLevel="3" collapsed="1"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hidden="1"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hidden="1"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hidden="1"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hidden="1"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hidden="1"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hidden="1" customHeight="1" outlineLevel="3" collapsed="1"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hidden="1"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hidden="1"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hidden="1"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hidden="1"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hidden="1"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hidden="1" customHeight="1" outlineLevel="2" collapsed="1"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hidden="1" customHeight="1" outlineLevel="3" collapsed="1"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hidden="1"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hidden="1"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hidden="1"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hidden="1"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hidden="1"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hidden="1" customHeight="1" outlineLevel="3" collapsed="1"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hidden="1"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hidden="1"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hidden="1"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hidden="1"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hidden="1"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hidden="1" customHeight="1" outlineLevel="2" collapsed="1"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hidden="1" customHeight="1" outlineLevel="3" collapsed="1"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hidden="1"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hidden="1"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hidden="1"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hidden="1"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hidden="1"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hidden="1" customHeight="1" outlineLevel="3" collapsed="1"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hidden="1"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hidden="1"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hidden="1"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hidden="1"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hidden="1"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hidden="1" customHeight="1" outlineLevel="3" collapsed="1"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hidden="1"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hidden="1"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hidden="1"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hidden="1"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hidden="1"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hidden="1" customHeight="1" outlineLevel="3" collapsed="1"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hidden="1"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hidden="1"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hidden="1"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hidden="1"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hidden="1"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hidden="1" customHeight="1" outlineLevel="3" collapsed="1"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hidden="1"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hidden="1"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hidden="1"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hidden="1"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hidden="1"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hidden="1" customHeight="1" outlineLevel="3" collapsed="1"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hidden="1"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hidden="1"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hidden="1"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hidden="1"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hidden="1"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hidden="1" customHeight="1" outlineLevel="3" collapsed="1"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hidden="1"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hidden="1"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hidden="1"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hidden="1"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hidden="1"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hidden="1" customHeight="1" outlineLevel="3" collapsed="1"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hidden="1"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hidden="1"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hidden="1"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hidden="1"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hidden="1"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hidden="1" customHeight="1" outlineLevel="3" collapsed="1"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hidden="1"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hidden="1"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hidden="1"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hidden="1"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hidden="1"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hidden="1" customHeight="1" outlineLevel="3" collapsed="1"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hidden="1"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hidden="1"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hidden="1"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hidden="1"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hidden="1"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hidden="1" customHeight="1" outlineLevel="2" collapsed="1" spans="1:95">
      <c r="A339" s="48"/>
      <c r="B339" s="114" t="s">
        <v>794</v>
      </c>
      <c r="C339" s="115" t="s">
        <v>1287</v>
      </c>
      <c r="D339" s="48" t="s">
        <v>1288</v>
      </c>
      <c r="E339" s="114" t="s">
        <v>1289</v>
      </c>
      <c r="F339" s="114"/>
      <c r="G339" s="114" t="s">
        <v>943</v>
      </c>
      <c r="H339" s="116">
        <f>X339+AA339+AD339+AG339+AJ339+AM339+AP339+AS339+AV339+AY339+BB339+BE339</f>
        <v>0</v>
      </c>
      <c r="I339" s="116">
        <f>Y339+AB339+AE339+AH339+AK339+AN339+AQ339+AT339+AW339+AZ339+BC339+BF339</f>
        <v>0</v>
      </c>
      <c r="J339" s="116">
        <f t="shared" si="3853"/>
        <v>0</v>
      </c>
      <c r="K339" s="116"/>
      <c r="L339" s="147"/>
      <c r="M339" s="147"/>
      <c r="N339" s="116"/>
      <c r="O339" s="116"/>
      <c r="P339" s="116"/>
      <c r="Q339" s="116"/>
      <c r="R339" s="116"/>
      <c r="S339" s="116"/>
      <c r="T339" s="116"/>
      <c r="U339" s="116"/>
      <c r="V339" s="116"/>
      <c r="W339" s="116"/>
      <c r="X339" s="116">
        <f>VLOOKUP($C339,'1 预算编制表单'!$C:$BJ,27,FALSE)</f>
        <v>0</v>
      </c>
      <c r="Y339" s="116">
        <f>X339-Z339</f>
        <v>0</v>
      </c>
      <c r="Z339" s="116">
        <f>Z340+Z346+Z355+Z361+Z367+Z373+Z379+Z385+Z391</f>
        <v>0</v>
      </c>
      <c r="AA339" s="116">
        <f>VLOOKUP($C339,'1 预算编制表单'!$C:$BJ,30,FALSE)</f>
        <v>0</v>
      </c>
      <c r="AB339" s="116">
        <f>AA339-AC339</f>
        <v>0</v>
      </c>
      <c r="AC339" s="116">
        <f>AC340+AC346+AC355+AC361+AC367+AC373+AC379+AC385+AC391</f>
        <v>0</v>
      </c>
      <c r="AD339" s="116">
        <f>VLOOKUP($C339,'1 预算编制表单'!$C:$BJ,33,FALSE)</f>
        <v>0</v>
      </c>
      <c r="AE339" s="116">
        <f>AD339-AF339</f>
        <v>0</v>
      </c>
      <c r="AF339" s="116">
        <f>AF340+AF346+AF355+AF361+AF367+AF373+AF379+AF385+AF391</f>
        <v>0</v>
      </c>
      <c r="AG339" s="116">
        <f>VLOOKUP($C339,'1 预算编制表单'!$C:$BJ,36,FALSE)</f>
        <v>0</v>
      </c>
      <c r="AH339" s="116">
        <f>AG339-AI339</f>
        <v>0</v>
      </c>
      <c r="AI339" s="116">
        <f>AI340+AI346+AI355+AI361+AI367+AI373+AI379+AI385+AI391</f>
        <v>0</v>
      </c>
      <c r="AJ339" s="116">
        <f>VLOOKUP($C339,'1 预算编制表单'!$C:$BJ,39,FALSE)</f>
        <v>0</v>
      </c>
      <c r="AK339" s="116">
        <f>AJ339-AL339</f>
        <v>0</v>
      </c>
      <c r="AL339" s="116">
        <f>AL340+AL346+AL355+AL361+AL367+AL373+AL379+AL385+AL391</f>
        <v>0</v>
      </c>
      <c r="AM339" s="116">
        <f>VLOOKUP($C339,'1 预算编制表单'!$C:$BJ,42,FALSE)</f>
        <v>0</v>
      </c>
      <c r="AN339" s="116">
        <f>AM339-AO339</f>
        <v>0</v>
      </c>
      <c r="AO339" s="116">
        <f>AO340+AO346+AO355+AO361+AO367+AO373+AO379+AO385+AO391</f>
        <v>0</v>
      </c>
      <c r="AP339" s="116">
        <f>VLOOKUP($C339,'1 预算编制表单'!$C:$BJ,45,FALSE)</f>
        <v>0</v>
      </c>
      <c r="AQ339" s="116">
        <f>AP339-AR339</f>
        <v>0</v>
      </c>
      <c r="AR339" s="116">
        <f>AR340+AR346+AR355+AR361+AR367+AR373+AR379+AR385+AR391</f>
        <v>0</v>
      </c>
      <c r="AS339" s="116">
        <f>VLOOKUP($C339,'1 预算编制表单'!$C:$BJ,48,FALSE)</f>
        <v>0</v>
      </c>
      <c r="AT339" s="116">
        <f>AS339-AU339</f>
        <v>0</v>
      </c>
      <c r="AU339" s="116">
        <f>AU340+AU346+AU355+AU361+AU367+AU373+AU379+AU385+AU391</f>
        <v>0</v>
      </c>
      <c r="AV339" s="116">
        <f>VLOOKUP($C339,'1 预算编制表单'!$C:$BJ,51,FALSE)</f>
        <v>0</v>
      </c>
      <c r="AW339" s="116">
        <f>AV339-AX339</f>
        <v>0</v>
      </c>
      <c r="AX339" s="116">
        <f>AX340+AX346+AX355+AX361+AX367+AX373+AX379+AX385+AX391</f>
        <v>0</v>
      </c>
      <c r="AY339" s="116">
        <f>VLOOKUP($C339,'1 预算编制表单'!$C:$BJ,54,FALSE)</f>
        <v>0</v>
      </c>
      <c r="AZ339" s="116">
        <f>AY339-BA339</f>
        <v>0</v>
      </c>
      <c r="BA339" s="116">
        <f>BA340+BA346+BA355+BA361+BA367+BA373+BA379+BA385+BA391</f>
        <v>0</v>
      </c>
      <c r="BB339" s="116">
        <f>VLOOKUP($C339,'1 预算编制表单'!$C:$BJ,57,FALSE)</f>
        <v>0</v>
      </c>
      <c r="BC339" s="116">
        <f>BB339-BD339</f>
        <v>0</v>
      </c>
      <c r="BD339" s="116">
        <f>BD340+BD346+BD355+BD361+BD367+BD373+BD379+BD385+BD391</f>
        <v>0</v>
      </c>
      <c r="BE339" s="116">
        <f>VLOOKUP($C339,'1 预算编制表单'!$C:$BJ,60,FALSE)</f>
        <v>0</v>
      </c>
      <c r="BF339" s="116">
        <f>BE339-BG339</f>
        <v>0</v>
      </c>
      <c r="BG339" s="116">
        <f>BG340+BG346+BG355+BG361+BG367+BG373+BG379+BG385+BG391</f>
        <v>0</v>
      </c>
      <c r="BH339" s="116">
        <f>VLOOKUP($C339,'1 预算编制表单'!$C:$BJ,27,FALSE)</f>
        <v>0</v>
      </c>
      <c r="BI339" s="116">
        <f>BH339-BJ339</f>
        <v>0</v>
      </c>
      <c r="BJ339" s="116">
        <f>BJ340+BJ346+BJ355+BJ361+BJ367+BJ373+BJ379+BJ385+BJ391</f>
        <v>0</v>
      </c>
      <c r="BK339" s="116">
        <f>VLOOKUP($C339,'1 预算编制表单'!$C:$BJ,30,FALSE)</f>
        <v>0</v>
      </c>
      <c r="BL339" s="116">
        <f>BK339-BM339</f>
        <v>0</v>
      </c>
      <c r="BM339" s="116">
        <f>BM340+BM346+BM355+BM361+BM367+BM373+BM379+BM385+BM391</f>
        <v>0</v>
      </c>
      <c r="BN339" s="116">
        <f>VLOOKUP($C339,'1 预算编制表单'!$C:$BJ,33,FALSE)</f>
        <v>0</v>
      </c>
      <c r="BO339" s="116">
        <f>BN339-BP339</f>
        <v>0</v>
      </c>
      <c r="BP339" s="116">
        <f>BP340+BP346+BP355+BP361+BP367+BP373+BP379+BP385+BP391</f>
        <v>0</v>
      </c>
      <c r="BQ339" s="116">
        <f>VLOOKUP($C339,'1 预算编制表单'!$C:$BJ,36,FALSE)</f>
        <v>0</v>
      </c>
      <c r="BR339" s="116">
        <f>BQ339-BS339</f>
        <v>0</v>
      </c>
      <c r="BS339" s="116">
        <f>BS340+BS346+BS355+BS361+BS367+BS373+BS379+BS385+BS391</f>
        <v>0</v>
      </c>
      <c r="BT339" s="116">
        <f>VLOOKUP($C339,'1 预算编制表单'!$C:$BJ,39,FALSE)</f>
        <v>0</v>
      </c>
      <c r="BU339" s="116">
        <f>BT339-BV339</f>
        <v>0</v>
      </c>
      <c r="BV339" s="116">
        <f>BV340+BV346+BV355+BV361+BV367+BV373+BV379+BV385+BV391</f>
        <v>0</v>
      </c>
      <c r="BW339" s="116">
        <f>VLOOKUP($C339,'1 预算编制表单'!$C:$BJ,42,FALSE)</f>
        <v>0</v>
      </c>
      <c r="BX339" s="116">
        <f>BW339-BY339</f>
        <v>0</v>
      </c>
      <c r="BY339" s="116">
        <f>BY340+BY346+BY355+BY361+BY367+BY373+BY379+BY385+BY391</f>
        <v>0</v>
      </c>
      <c r="BZ339" s="116">
        <f>VLOOKUP($C339,'1 预算编制表单'!$C:$BJ,45,FALSE)</f>
        <v>0</v>
      </c>
      <c r="CA339" s="116">
        <f>BZ339-CB339</f>
        <v>0</v>
      </c>
      <c r="CB339" s="116">
        <f>CB340+CB346+CB355+CB361+CB367+CB373+CB379+CB385+CB391</f>
        <v>0</v>
      </c>
      <c r="CC339" s="116">
        <f>VLOOKUP($C339,'1 预算编制表单'!$C:$BJ,48,FALSE)</f>
        <v>0</v>
      </c>
      <c r="CD339" s="116">
        <f>CC339-CE339</f>
        <v>0</v>
      </c>
      <c r="CE339" s="116">
        <f>CE340+CE346+CE355+CE361+CE367+CE373+CE379+CE385+CE391</f>
        <v>0</v>
      </c>
      <c r="CF339" s="116">
        <f>VLOOKUP($C339,'1 预算编制表单'!$C:$BJ,51,FALSE)</f>
        <v>0</v>
      </c>
      <c r="CG339" s="116">
        <f>CF339-CH339</f>
        <v>0</v>
      </c>
      <c r="CH339" s="116">
        <f>CH340+CH346+CH355+CH361+CH367+CH373+CH379+CH385+CH391</f>
        <v>0</v>
      </c>
      <c r="CI339" s="116">
        <f>VLOOKUP($C339,'1 预算编制表单'!$C:$BJ,54,FALSE)</f>
        <v>0</v>
      </c>
      <c r="CJ339" s="116">
        <f>CI339-CK339</f>
        <v>0</v>
      </c>
      <c r="CK339" s="116">
        <f>CK340+CK346+CK355+CK361+CK367+CK373+CK379+CK385+CK391</f>
        <v>0</v>
      </c>
      <c r="CL339" s="116">
        <f>VLOOKUP($C339,'1 预算编制表单'!$C:$BJ,57,FALSE)</f>
        <v>0</v>
      </c>
      <c r="CM339" s="116">
        <f>CL339-CN339</f>
        <v>0</v>
      </c>
      <c r="CN339" s="116">
        <f>CN340+CN346+CN355+CN361+CN367+CN373+CN379+CN385+CN391</f>
        <v>0</v>
      </c>
      <c r="CO339" s="116">
        <f>VLOOKUP($C339,'1 预算编制表单'!$C:$BJ,60,FALSE)</f>
        <v>0</v>
      </c>
      <c r="CP339" s="116">
        <f>CO339-CQ339</f>
        <v>0</v>
      </c>
      <c r="CQ339" s="116">
        <f>CQ340+CQ346+CQ355+CQ361+CQ367+CQ373+CQ379+CQ385+CQ391</f>
        <v>0</v>
      </c>
    </row>
    <row r="340" ht="24" hidden="1" customHeight="1" outlineLevel="3" collapsed="1" spans="1:95">
      <c r="A340" s="117"/>
      <c r="B340" s="118" t="s">
        <v>799</v>
      </c>
      <c r="C340" s="119" t="s">
        <v>28</v>
      </c>
      <c r="D340" s="117" t="s">
        <v>29</v>
      </c>
      <c r="E340" s="118" t="s">
        <v>1290</v>
      </c>
      <c r="F340" s="118"/>
      <c r="G340" s="118" t="s">
        <v>943</v>
      </c>
      <c r="H340" s="120">
        <f>X340+AA340+AD340+AG340+AJ340+AM340+AP340+AS340+AV340+AY340+BB340+BE340</f>
        <v>0</v>
      </c>
      <c r="I340" s="120">
        <f>Y340+AB340+AE340+AH340+AK340+AN340+AQ340+AT340+AW340+AZ340+BC340+BF340</f>
        <v>0</v>
      </c>
      <c r="J340" s="120">
        <f t="shared" si="3853"/>
        <v>0</v>
      </c>
      <c r="K340" s="120"/>
      <c r="L340" s="148"/>
      <c r="M340" s="148"/>
      <c r="N340" s="120"/>
      <c r="O340" s="120"/>
      <c r="P340" s="120"/>
      <c r="Q340" s="120"/>
      <c r="R340" s="120"/>
      <c r="S340" s="120"/>
      <c r="T340" s="120"/>
      <c r="U340" s="120"/>
      <c r="V340" s="120"/>
      <c r="W340" s="120"/>
      <c r="X340" s="120">
        <f>VLOOKUP($C340,'1 预算编制表单'!$C:$BJ,27,FALSE)</f>
        <v>0</v>
      </c>
      <c r="Y340" s="120">
        <f>X340-Z340</f>
        <v>0</v>
      </c>
      <c r="Z340" s="120">
        <f>SUM(Z341:Z345)</f>
        <v>0</v>
      </c>
      <c r="AA340" s="120">
        <f>VLOOKUP($C340,'1 预算编制表单'!$C:$BJ,30,FALSE)</f>
        <v>0</v>
      </c>
      <c r="AB340" s="120">
        <f>AA340-AC340</f>
        <v>0</v>
      </c>
      <c r="AC340" s="120">
        <f>SUM(AC341:AC345)</f>
        <v>0</v>
      </c>
      <c r="AD340" s="120">
        <f>VLOOKUP($C340,'1 预算编制表单'!$C:$BJ,33,FALSE)</f>
        <v>0</v>
      </c>
      <c r="AE340" s="120">
        <f>AD340-AF340</f>
        <v>0</v>
      </c>
      <c r="AF340" s="120">
        <f>SUM(AF341:AF345)</f>
        <v>0</v>
      </c>
      <c r="AG340" s="120">
        <f>VLOOKUP($C340,'1 预算编制表单'!$C:$BJ,36,FALSE)</f>
        <v>0</v>
      </c>
      <c r="AH340" s="120">
        <f>AG340-AI340</f>
        <v>0</v>
      </c>
      <c r="AI340" s="120">
        <f>SUM(AI341:AI345)</f>
        <v>0</v>
      </c>
      <c r="AJ340" s="120">
        <f>VLOOKUP($C340,'1 预算编制表单'!$C:$BJ,39,FALSE)</f>
        <v>0</v>
      </c>
      <c r="AK340" s="120">
        <f>AJ340-AL340</f>
        <v>0</v>
      </c>
      <c r="AL340" s="120">
        <f>SUM(AL341:AL345)</f>
        <v>0</v>
      </c>
      <c r="AM340" s="120">
        <f>VLOOKUP($C340,'1 预算编制表单'!$C:$BJ,42,FALSE)</f>
        <v>0</v>
      </c>
      <c r="AN340" s="120">
        <f>AM340-AO340</f>
        <v>0</v>
      </c>
      <c r="AO340" s="120">
        <f>SUM(AO341:AO345)</f>
        <v>0</v>
      </c>
      <c r="AP340" s="120">
        <f>VLOOKUP($C340,'1 预算编制表单'!$C:$BJ,45,FALSE)</f>
        <v>0</v>
      </c>
      <c r="AQ340" s="120">
        <f>AP340-AR340</f>
        <v>0</v>
      </c>
      <c r="AR340" s="120">
        <f>SUM(AR341:AR345)</f>
        <v>0</v>
      </c>
      <c r="AS340" s="120">
        <f>VLOOKUP($C340,'1 预算编制表单'!$C:$BJ,48,FALSE)</f>
        <v>0</v>
      </c>
      <c r="AT340" s="120">
        <f>AS340-AU340</f>
        <v>0</v>
      </c>
      <c r="AU340" s="120">
        <f>SUM(AU341:AU345)</f>
        <v>0</v>
      </c>
      <c r="AV340" s="120">
        <f>VLOOKUP($C340,'1 预算编制表单'!$C:$BJ,51,FALSE)</f>
        <v>0</v>
      </c>
      <c r="AW340" s="120">
        <f>AV340-AX340</f>
        <v>0</v>
      </c>
      <c r="AX340" s="120">
        <f>SUM(AX341:AX345)</f>
        <v>0</v>
      </c>
      <c r="AY340" s="120">
        <f>VLOOKUP($C340,'1 预算编制表单'!$C:$BJ,54,FALSE)</f>
        <v>0</v>
      </c>
      <c r="AZ340" s="120">
        <f>AY340-BA340</f>
        <v>0</v>
      </c>
      <c r="BA340" s="120">
        <f>SUM(BA341:BA345)</f>
        <v>0</v>
      </c>
      <c r="BB340" s="120">
        <f>VLOOKUP($C340,'1 预算编制表单'!$C:$BJ,57,FALSE)</f>
        <v>0</v>
      </c>
      <c r="BC340" s="120">
        <f>BB340-BD340</f>
        <v>0</v>
      </c>
      <c r="BD340" s="120">
        <f>SUM(BD341:BD345)</f>
        <v>0</v>
      </c>
      <c r="BE340" s="120">
        <f>VLOOKUP($C340,'1 预算编制表单'!$C:$BJ,60,FALSE)</f>
        <v>0</v>
      </c>
      <c r="BF340" s="120">
        <f>BE340-BG340</f>
        <v>0</v>
      </c>
      <c r="BG340" s="120">
        <f>SUM(BG341:BG345)</f>
        <v>0</v>
      </c>
      <c r="BH340" s="120">
        <f>VLOOKUP($C340,'1 预算编制表单'!$C:$BJ,27,FALSE)</f>
        <v>0</v>
      </c>
      <c r="BI340" s="120">
        <f>BH340-BJ340</f>
        <v>0</v>
      </c>
      <c r="BJ340" s="120">
        <f>SUM(BJ341:BJ345)</f>
        <v>0</v>
      </c>
      <c r="BK340" s="120">
        <f>VLOOKUP($C340,'1 预算编制表单'!$C:$BJ,30,FALSE)</f>
        <v>0</v>
      </c>
      <c r="BL340" s="120">
        <f>BK340-BM340</f>
        <v>0</v>
      </c>
      <c r="BM340" s="120">
        <f>SUM(BM341:BM345)</f>
        <v>0</v>
      </c>
      <c r="BN340" s="120">
        <f>VLOOKUP($C340,'1 预算编制表单'!$C:$BJ,33,FALSE)</f>
        <v>0</v>
      </c>
      <c r="BO340" s="120">
        <f>BN340-BP340</f>
        <v>0</v>
      </c>
      <c r="BP340" s="120">
        <f>SUM(BP341:BP345)</f>
        <v>0</v>
      </c>
      <c r="BQ340" s="120">
        <f>VLOOKUP($C340,'1 预算编制表单'!$C:$BJ,36,FALSE)</f>
        <v>0</v>
      </c>
      <c r="BR340" s="120">
        <f>BQ340-BS340</f>
        <v>0</v>
      </c>
      <c r="BS340" s="120">
        <f>SUM(BS341:BS345)</f>
        <v>0</v>
      </c>
      <c r="BT340" s="120">
        <f>VLOOKUP($C340,'1 预算编制表单'!$C:$BJ,39,FALSE)</f>
        <v>0</v>
      </c>
      <c r="BU340" s="120">
        <f>BT340-BV340</f>
        <v>0</v>
      </c>
      <c r="BV340" s="120">
        <f>SUM(BV341:BV345)</f>
        <v>0</v>
      </c>
      <c r="BW340" s="120">
        <f>VLOOKUP($C340,'1 预算编制表单'!$C:$BJ,42,FALSE)</f>
        <v>0</v>
      </c>
      <c r="BX340" s="120">
        <f>BW340-BY340</f>
        <v>0</v>
      </c>
      <c r="BY340" s="120">
        <f>SUM(BY341:BY345)</f>
        <v>0</v>
      </c>
      <c r="BZ340" s="120">
        <f>VLOOKUP($C340,'1 预算编制表单'!$C:$BJ,45,FALSE)</f>
        <v>0</v>
      </c>
      <c r="CA340" s="120">
        <f>BZ340-CB340</f>
        <v>0</v>
      </c>
      <c r="CB340" s="120">
        <f>SUM(CB341:CB345)</f>
        <v>0</v>
      </c>
      <c r="CC340" s="120">
        <f>VLOOKUP($C340,'1 预算编制表单'!$C:$BJ,48,FALSE)</f>
        <v>0</v>
      </c>
      <c r="CD340" s="120">
        <f>CC340-CE340</f>
        <v>0</v>
      </c>
      <c r="CE340" s="120">
        <f>SUM(CE341:CE345)</f>
        <v>0</v>
      </c>
      <c r="CF340" s="120">
        <f>VLOOKUP($C340,'1 预算编制表单'!$C:$BJ,51,FALSE)</f>
        <v>0</v>
      </c>
      <c r="CG340" s="120">
        <f>CF340-CH340</f>
        <v>0</v>
      </c>
      <c r="CH340" s="120">
        <f>SUM(CH341:CH345)</f>
        <v>0</v>
      </c>
      <c r="CI340" s="120">
        <f>VLOOKUP($C340,'1 预算编制表单'!$C:$BJ,54,FALSE)</f>
        <v>0</v>
      </c>
      <c r="CJ340" s="120">
        <f>CI340-CK340</f>
        <v>0</v>
      </c>
      <c r="CK340" s="120">
        <f>SUM(CK341:CK345)</f>
        <v>0</v>
      </c>
      <c r="CL340" s="120">
        <f>VLOOKUP($C340,'1 预算编制表单'!$C:$BJ,57,FALSE)</f>
        <v>0</v>
      </c>
      <c r="CM340" s="120">
        <f>CL340-CN340</f>
        <v>0</v>
      </c>
      <c r="CN340" s="120">
        <f>SUM(CN341:CN345)</f>
        <v>0</v>
      </c>
      <c r="CO340" s="120">
        <f>VLOOKUP($C340,'1 预算编制表单'!$C:$BJ,60,FALSE)</f>
        <v>0</v>
      </c>
      <c r="CP340" s="120">
        <f>CO340-CQ340</f>
        <v>0</v>
      </c>
      <c r="CQ340" s="120">
        <f>SUM(CQ341:CQ345)</f>
        <v>0</v>
      </c>
    </row>
    <row r="341" s="82" customFormat="1" ht="24" hidden="1" customHeight="1" outlineLevel="4" spans="1:95">
      <c r="A341" s="121"/>
      <c r="B341" s="122"/>
      <c r="C341" s="123"/>
      <c r="D341" s="121"/>
      <c r="E341" s="122"/>
      <c r="F341" s="122"/>
      <c r="G341" s="122"/>
      <c r="H341" s="124"/>
      <c r="I341" s="124"/>
      <c r="J341" s="124">
        <f t="shared" si="3853"/>
        <v>0</v>
      </c>
      <c r="K341" s="124">
        <v>1</v>
      </c>
      <c r="L341" s="149"/>
      <c r="M341" s="150">
        <f>IFERROR(VLOOKUP($L341,'2-2 引出数据_合同数据仓库'!$B$2:$BP$10000,3,FALSE),0)</f>
        <v>0</v>
      </c>
      <c r="N341" s="124"/>
      <c r="O341" s="150">
        <f>IFERROR(VLOOKUP((LEFT(VLOOKUP($L341,'2-2 引出数据_合同数据仓库'!$B$2:$BP$10000,64,FALSE),15)&amp;(RIGHT(VLOOKUP($L341,'2-2 引出数据_合同数据仓库'!$B$2:$BP$10000,64,FALSE),4)+1)),'2-2 引出数据_合同数据仓库'!$B$2:$BP$10000,3,FALSE),0)</f>
        <v>0</v>
      </c>
      <c r="P341" s="124"/>
      <c r="Q341" s="124">
        <f>IFERROR(VLOOKUP($L341,'2-2 引出数据_合同数据仓库'!$B$2:$BP$10000,28,FALSE),0)</f>
        <v>0</v>
      </c>
      <c r="R341" s="124">
        <f>IFERROR(VLOOKUP($L341,'2-2 引出数据_合同数据仓库'!$B$2:$BP$10000,29,FALSE),0)</f>
        <v>0</v>
      </c>
      <c r="S341" s="124">
        <f>IFERROR(VLOOKUP($L341,'2-2 引出数据_合同数据仓库'!$B$2:$BP$10000,4,FALSE),0)</f>
        <v>0</v>
      </c>
      <c r="T341" s="124"/>
      <c r="U341" s="124">
        <f>IFERROR(VLOOKUP($L341,'2-2 引出数据_合同数据仓库'!$B$2:$BP$10000,15,FALSE),0)</f>
        <v>0</v>
      </c>
      <c r="V341" s="124">
        <f t="shared" ref="V341:V344" si="3998">U341/(S341-R341+1)*365</f>
        <v>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hidden="1"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hidden="1"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hidden="1"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hidden="1"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hidden="1" customHeight="1" outlineLevel="3" collapsed="1" spans="1:95">
      <c r="A346" s="117"/>
      <c r="B346" s="118" t="s">
        <v>799</v>
      </c>
      <c r="C346" s="119" t="s">
        <v>1293</v>
      </c>
      <c r="D346" s="117" t="s">
        <v>1294</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hidden="1" customHeight="1" outlineLevel="4" spans="1:95">
      <c r="A347" s="121"/>
      <c r="B347" s="122"/>
      <c r="C347" s="123" t="s">
        <v>56</v>
      </c>
      <c r="D347" s="121" t="s">
        <v>2828</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hidden="1"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引出数据_合同数据仓库'!$B$2:$BP$10000,3,FALSE),0)</f>
        <v>0</v>
      </c>
      <c r="N348" s="124"/>
      <c r="O348" s="150">
        <f>IFERROR(VLOOKUP((LEFT(VLOOKUP($L348,'2-2 引出数据_合同数据仓库'!$B$2:$BP$10000,64,FALSE),15)&amp;(RIGHT(VLOOKUP($L348,'2-2 引出数据_合同数据仓库'!$B$2:$BP$10000,64,FALSE),4)+1)),'2-2 引出数据_合同数据仓库'!$B$2:$BP$10000,3,FALSE),0)</f>
        <v>0</v>
      </c>
      <c r="P348" s="124"/>
      <c r="Q348" s="124">
        <f>IFERROR(VLOOKUP($L348,'2-2 引出数据_合同数据仓库'!$B$2:$BP$10000,28,FALSE),0)</f>
        <v>0</v>
      </c>
      <c r="R348" s="124">
        <f>IFERROR(VLOOKUP($L348,'2-2 引出数据_合同数据仓库'!$B$2:$BP$10000,29,FALSE),0)</f>
        <v>0</v>
      </c>
      <c r="S348" s="124">
        <f>IFERROR(VLOOKUP($L348,'2-2 引出数据_合同数据仓库'!$B$2:$BP$10000,4,FALSE),0)</f>
        <v>0</v>
      </c>
      <c r="T348" s="124"/>
      <c r="U348" s="124">
        <f>IFERROR(VLOOKUP($L348,'2-2 引出数据_合同数据仓库'!$B$2:$BP$10000,15,FALSE),0)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hidden="1"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hidden="1"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hidden="1"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hidden="1"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hidden="1"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hidden="1"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hidden="1" customHeight="1" outlineLevel="3" collapsed="1"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hidden="1"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hidden="1"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hidden="1"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hidden="1"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hidden="1"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hidden="1" customHeight="1" outlineLevel="3" collapsed="1"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hidden="1"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hidden="1"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hidden="1"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hidden="1"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hidden="1"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hidden="1" customHeight="1" outlineLevel="3" collapsed="1"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hidden="1"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hidden="1"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hidden="1"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hidden="1"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hidden="1"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hidden="1" customHeight="1" outlineLevel="3" collapsed="1"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hidden="1" customHeight="1" outlineLevel="4" spans="1:95">
      <c r="A374" s="121"/>
      <c r="B374" s="122"/>
      <c r="C374" s="123"/>
      <c r="D374" s="121"/>
      <c r="E374" s="122"/>
      <c r="F374" s="122"/>
      <c r="G374" s="122"/>
      <c r="H374" s="124"/>
      <c r="I374" s="124"/>
      <c r="J374" s="124">
        <f t="shared" si="3853"/>
        <v>0</v>
      </c>
      <c r="K374" s="124">
        <v>1</v>
      </c>
      <c r="L374" s="149"/>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hidden="1"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hidden="1"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hidden="1"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hidden="1"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hidden="1" customHeight="1" outlineLevel="3" collapsed="1"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hidden="1"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hidden="1"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hidden="1"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hidden="1"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hidden="1"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hidden="1" customHeight="1" outlineLevel="3" collapsed="1"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hidden="1"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hidden="1"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hidden="1"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hidden="1"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hidden="1"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hidden="1" customHeight="1" outlineLevel="3" collapsed="1"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hidden="1"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hidden="1"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hidden="1"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hidden="1"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hidden="1"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hidden="1" customHeight="1" outlineLevel="2" collapsed="1" spans="1:95">
      <c r="A397" s="48"/>
      <c r="B397" s="114" t="s">
        <v>799</v>
      </c>
      <c r="C397" s="115" t="s">
        <v>1371</v>
      </c>
      <c r="D397" s="48" t="s">
        <v>1372</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hidden="1" customHeight="1" outlineLevel="3" spans="1:95">
      <c r="A398" s="121"/>
      <c r="B398" s="122"/>
      <c r="C398" s="123" t="s">
        <v>1373</v>
      </c>
      <c r="D398" s="121" t="s">
        <v>2829</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hidden="1"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hidden="1"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hidden="1" customHeight="1" outlineLevel="3" collapsed="1"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hidden="1"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hidden="1" customHeight="1" outlineLevel="2" collapsed="1"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hidden="1" customHeight="1" outlineLevel="3" collapsed="1"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hidden="1" customHeight="1" outlineLevel="4" spans="1:95">
      <c r="A405" s="121"/>
      <c r="B405" s="122"/>
      <c r="C405" s="123" t="s">
        <v>1413</v>
      </c>
      <c r="D405" s="121" t="s">
        <v>2830</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hidden="1"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hidden="1"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hidden="1"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hidden="1"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hidden="1" customHeight="1" outlineLevel="3" collapsed="1"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hidden="1" customHeight="1" outlineLevel="4" spans="1:95">
      <c r="A411" s="121"/>
      <c r="B411" s="122"/>
      <c r="C411" s="123" t="s">
        <v>2831</v>
      </c>
      <c r="D411" s="121" t="s">
        <v>2832</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hidden="1"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hidden="1"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hidden="1"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hidden="1"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hidden="1" customHeight="1" outlineLevel="3" collapsed="1"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hidden="1"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hidden="1"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hidden="1"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hidden="1"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hidden="1"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hidden="1" customHeight="1" outlineLevel="2" collapsed="1"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hidden="1"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hidden="1"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hidden="1"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hidden="1" customHeight="1" outlineLevel="3" collapsed="1"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hidden="1"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hidden="1" customHeight="1" outlineLevel="1" collapsed="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hidden="1" customHeight="1" outlineLevel="2" collapsed="1"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hidden="1" customHeight="1" outlineLevel="3" spans="1:95">
      <c r="A430" s="121"/>
      <c r="B430" s="122"/>
      <c r="C430" s="123" t="s">
        <v>1427</v>
      </c>
      <c r="D430" s="121" t="s">
        <v>2833</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hidden="1"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hidden="1"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hidden="1"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hidden="1" customHeight="1" outlineLevel="3" collapsed="1" spans="1:95">
      <c r="A434" s="121"/>
      <c r="B434" s="122"/>
      <c r="C434" s="123"/>
      <c r="D434" s="121"/>
      <c r="E434" s="122"/>
      <c r="F434" s="122"/>
      <c r="G434" s="122"/>
      <c r="H434" s="124"/>
      <c r="I434" s="124"/>
      <c r="J434" s="124">
        <f t="shared" si="4646"/>
        <v>0</v>
      </c>
      <c r="K434" s="124">
        <f>K432+1</f>
        <v>3</v>
      </c>
      <c r="L434" s="149"/>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hidden="1"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hidden="1" customHeight="1" outlineLevel="2" collapsed="1"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hidden="1"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hidden="1"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hidden="1"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hidden="1" customHeight="1" outlineLevel="3" collapsed="1"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hidden="1"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hidden="1" customHeight="1" outlineLevel="2" collapsed="1"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hidden="1"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hidden="1"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hidden="1"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hidden="1" customHeight="1" outlineLevel="3" collapsed="1"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hidden="1"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hidden="1" customHeight="1" outlineLevel="2" collapsed="1"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hidden="1"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hidden="1"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hidden="1"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hidden="1" customHeight="1" outlineLevel="3" collapsed="1"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hidden="1"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hidden="1" customHeight="1" outlineLevel="2" collapsed="1"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hidden="1"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hidden="1"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hidden="1"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hidden="1" customHeight="1" outlineLevel="3" collapsed="1"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hidden="1"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hidden="1" customHeight="1" outlineLevel="2" collapsed="1"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hidden="1"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hidden="1"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hidden="1"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hidden="1" customHeight="1" outlineLevel="3" collapsed="1"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hidden="1"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hidden="1" customHeight="1" outlineLevel="2" collapsed="1"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hidden="1"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hidden="1"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hidden="1"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hidden="1" customHeight="1" outlineLevel="3" collapsed="1"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hidden="1"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hidden="1" customHeight="1" outlineLevel="2" collapsed="1"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hidden="1"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hidden="1"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hidden="1"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hidden="1" customHeight="1" outlineLevel="3" collapsed="1"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hidden="1"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hidden="1" customHeight="1" outlineLevel="2" collapsed="1"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hidden="1" customHeight="1" outlineLevel="3" spans="1:95">
      <c r="A479" s="121"/>
      <c r="B479" s="122"/>
      <c r="C479" s="123" t="s">
        <v>1580</v>
      </c>
      <c r="D479" s="121" t="s">
        <v>2834</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hidden="1"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hidden="1"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hidden="1" customHeight="1" outlineLevel="3" collapsed="1"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hidden="1"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hidden="1" customHeight="1" outlineLevel="2" collapsed="1"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hidden="1"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hidden="1"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hidden="1"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hidden="1" customHeight="1" outlineLevel="3" collapsed="1"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hidden="1"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hidden="1" customHeight="1" outlineLevel="2" collapsed="1"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hidden="1"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hidden="1"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hidden="1"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hidden="1" customHeight="1" outlineLevel="3" collapsed="1"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hidden="1"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hidden="1" customHeight="1" outlineLevel="2" collapsed="1"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hidden="1"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hidden="1"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hidden="1"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hidden="1" customHeight="1" outlineLevel="3" collapsed="1"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hidden="1"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hidden="1" customHeight="1" outlineLevel="2" collapsed="1"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hidden="1"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hidden="1"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hidden="1"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hidden="1" customHeight="1" outlineLevel="3" collapsed="1"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hidden="1"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collapsed="1" spans="1:95">
      <c r="A508" s="107"/>
      <c r="B508" s="108" t="s">
        <v>794</v>
      </c>
      <c r="C508" s="109">
        <v>1.2</v>
      </c>
      <c r="D508" s="107" t="s">
        <v>9</v>
      </c>
      <c r="E508" s="108"/>
      <c r="F508" s="108"/>
      <c r="G508" s="108"/>
      <c r="H508" s="166">
        <f t="shared" ref="H508:H537" si="5979">X508+AA508+AD508+AG508+AJ508+AM508+AP508+AS508+AV508+AY508+BB508+BE508</f>
        <v>0</v>
      </c>
      <c r="I508" s="166">
        <f t="shared" ref="I508:I537" si="5980">Y508+AB508+AE508+AH508+AK508+AN508+AQ508+AT508+AW508+AZ508+BC508+BF508</f>
        <v>0</v>
      </c>
      <c r="J508" s="166">
        <f t="shared" si="5367"/>
        <v>0</v>
      </c>
      <c r="K508" s="166"/>
      <c r="L508" s="167"/>
      <c r="M508" s="167"/>
      <c r="N508" s="166"/>
      <c r="O508" s="167"/>
      <c r="P508" s="166"/>
      <c r="Q508" s="166"/>
      <c r="R508" s="166"/>
      <c r="S508" s="166"/>
      <c r="T508" s="166"/>
      <c r="U508" s="166"/>
      <c r="V508" s="166"/>
      <c r="W508" s="166"/>
      <c r="X508" s="166">
        <f>VLOOKUP($C508,'1 预算编制表单'!$C:$BJ,27,FALSE)</f>
        <v>0</v>
      </c>
      <c r="Y508" s="166">
        <f>Y509+Y516+Y520+Y524+Y527+Y531</f>
        <v>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0</v>
      </c>
      <c r="BI508" s="166">
        <f>BI509+BI516+BI520+BI524+BI527+BI531</f>
        <v>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hidden="1" customHeight="1" outlineLevel="1" collapsed="1" spans="1:95">
      <c r="A509" s="29"/>
      <c r="B509" s="111" t="s">
        <v>794</v>
      </c>
      <c r="C509" s="112" t="s">
        <v>1626</v>
      </c>
      <c r="D509" s="29" t="s">
        <v>1627</v>
      </c>
      <c r="E509" s="111"/>
      <c r="F509" s="111"/>
      <c r="G509" s="111"/>
      <c r="H509" s="113">
        <f t="shared" si="5979"/>
        <v>0</v>
      </c>
      <c r="I509" s="113">
        <f t="shared" si="5980"/>
        <v>0</v>
      </c>
      <c r="J509" s="113">
        <f t="shared" si="5367"/>
        <v>0</v>
      </c>
      <c r="K509" s="113"/>
      <c r="L509" s="146"/>
      <c r="M509" s="146"/>
      <c r="N509" s="113"/>
      <c r="O509" s="146"/>
      <c r="P509" s="113"/>
      <c r="Q509" s="113"/>
      <c r="R509" s="113"/>
      <c r="S509" s="113"/>
      <c r="T509" s="113"/>
      <c r="U509" s="113"/>
      <c r="V509" s="113"/>
      <c r="W509" s="113"/>
      <c r="X509" s="113">
        <f>VLOOKUP($C509,'1 预算编制表单'!$C:$BJ,27,FALSE)</f>
        <v>0</v>
      </c>
      <c r="Y509" s="113">
        <f t="shared" ref="Y509:Y513" si="5981">X509-Z509</f>
        <v>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0</v>
      </c>
      <c r="BI509" s="113">
        <f t="shared" ref="BI509:BI535" si="5993">BH509-BJ509</f>
        <v>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hidden="1" customHeight="1" outlineLevel="2" spans="1:95">
      <c r="A510" s="48"/>
      <c r="B510" s="114" t="s">
        <v>794</v>
      </c>
      <c r="C510" s="115" t="s">
        <v>1628</v>
      </c>
      <c r="D510" s="48" t="s">
        <v>1629</v>
      </c>
      <c r="E510" s="114"/>
      <c r="F510" s="114"/>
      <c r="G510" s="114"/>
      <c r="H510" s="116">
        <f t="shared" si="5979"/>
        <v>0</v>
      </c>
      <c r="I510" s="116">
        <f t="shared" si="5980"/>
        <v>0</v>
      </c>
      <c r="J510" s="116">
        <f t="shared" si="5367"/>
        <v>0</v>
      </c>
      <c r="K510" s="116"/>
      <c r="L510" s="147"/>
      <c r="M510" s="147"/>
      <c r="N510" s="116"/>
      <c r="O510" s="147"/>
      <c r="P510" s="116"/>
      <c r="Q510" s="116"/>
      <c r="R510" s="116"/>
      <c r="S510" s="116"/>
      <c r="T510" s="116"/>
      <c r="U510" s="116"/>
      <c r="V510" s="116"/>
      <c r="W510" s="116"/>
      <c r="X510" s="116">
        <f>VLOOKUP($C510,'1 预算编制表单'!$C:$BJ,27,FALSE)</f>
        <v>0</v>
      </c>
      <c r="Y510" s="116">
        <f t="shared" si="5981"/>
        <v>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0</v>
      </c>
      <c r="BI510" s="116">
        <f t="shared" si="5993"/>
        <v>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hidden="1"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hidden="1"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hidden="1" customHeight="1" outlineLevel="2" spans="1:95">
      <c r="A513" s="48"/>
      <c r="B513" s="114" t="s">
        <v>794</v>
      </c>
      <c r="C513" s="115" t="s">
        <v>1726</v>
      </c>
      <c r="D513" s="48" t="s">
        <v>2835</v>
      </c>
      <c r="E513" s="114"/>
      <c r="F513" s="114"/>
      <c r="G513" s="114" t="s">
        <v>943</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hidden="1"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hidden="1" customHeight="1" outlineLevel="2" spans="1:95">
      <c r="A515" s="48"/>
      <c r="B515" s="114"/>
      <c r="C515" s="115"/>
      <c r="D515" s="48" t="s">
        <v>2836</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hidden="1" customHeight="1" outlineLevel="1" collapsed="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hidden="1"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hidden="1"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hidden="1"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hidden="1" customHeight="1" outlineLevel="1" collapsed="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hidden="1"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hidden="1"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hidden="1"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hidden="1" customHeight="1" outlineLevel="1" collapsed="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hidden="1"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hidden="1"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hidden="1" customHeight="1" outlineLevel="1" collapsed="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hidden="1"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hidden="1"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hidden="1"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hidden="1" customHeight="1" outlineLevel="1" collapsed="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hidden="1"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hidden="1"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hidden="1"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hidden="1"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collapsed="1" spans="1:95">
      <c r="A536" s="107"/>
      <c r="B536" s="108" t="s">
        <v>794</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hidden="1" customHeight="1" outlineLevel="1" collapsed="1" spans="1:95">
      <c r="A537" s="29"/>
      <c r="B537" s="111" t="s">
        <v>799</v>
      </c>
      <c r="C537" s="112" t="s">
        <v>2161</v>
      </c>
      <c r="D537" s="29" t="s">
        <v>2162</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hidden="1"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hidden="1"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hidden="1"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hidden="1" customHeight="1" outlineLevel="2" collapsed="1"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hidden="1"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hidden="1" customHeight="1" outlineLevel="1" collapsed="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hidden="1"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hidden="1"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hidden="1"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hidden="1" customHeight="1" outlineLevel="2" collapsed="1"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hidden="1"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hidden="1" customHeight="1" outlineLevel="1" collapsed="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hidden="1"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hidden="1"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hidden="1"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hidden="1" customHeight="1" outlineLevel="2" collapsed="1"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hidden="1"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hidden="1" customHeight="1" outlineLevel="1" collapsed="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hidden="1"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hidden="1"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hidden="1"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hidden="1" customHeight="1" outlineLevel="2" collapsed="1"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hidden="1"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hidden="1" customHeight="1" outlineLevel="1" collapsed="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hidden="1"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hidden="1"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hidden="1"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hidden="1" customHeight="1" outlineLevel="2" collapsed="1"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hidden="1"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hidden="1" customHeight="1" outlineLevel="1" collapsed="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hidden="1"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hidden="1"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hidden="1"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hidden="1" customHeight="1" outlineLevel="2" collapsed="1"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hidden="1"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hidden="1" customHeight="1" outlineLevel="1" collapsed="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hidden="1"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hidden="1"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hidden="1"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hidden="1" customHeight="1" outlineLevel="2" collapsed="1"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hidden="1"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hidden="1" customHeight="1" outlineLevel="1" collapsed="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hidden="1"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hidden="1"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hidden="1"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hidden="1" customHeight="1" outlineLevel="2" collapsed="1"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hidden="1"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hidden="1" customHeight="1" outlineLevel="1" collapsed="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hidden="1"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hidden="1"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hidden="1"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hidden="1" customHeight="1" outlineLevel="2" collapsed="1"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hidden="1"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hidden="1" customHeight="1" outlineLevel="1" collapsed="1" spans="1:95">
      <c r="A591" s="29"/>
      <c r="B591" s="111" t="s">
        <v>799</v>
      </c>
      <c r="C591" s="112" t="s">
        <v>2300</v>
      </c>
      <c r="D591" s="29" t="s">
        <v>2301</v>
      </c>
      <c r="E591" s="29"/>
      <c r="F591" s="29"/>
      <c r="G591" s="111" t="s">
        <v>1851</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hidden="1"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hidden="1"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hidden="1"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hidden="1" customHeight="1" outlineLevel="2" collapsed="1"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hidden="1"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collapsed="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hidden="1"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hidden="1"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hidden="1"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hidden="1"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hidden="1"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collapsed="1" spans="1:95">
      <c r="A603" s="107"/>
      <c r="B603" s="108" t="s">
        <v>794</v>
      </c>
      <c r="C603" s="109">
        <v>1.5</v>
      </c>
      <c r="D603" s="107" t="s">
        <v>216</v>
      </c>
      <c r="E603" s="107"/>
      <c r="F603" s="107"/>
      <c r="G603" s="108"/>
      <c r="H603" s="166">
        <f t="shared" si="6666"/>
        <v>0</v>
      </c>
      <c r="I603" s="166">
        <f t="shared" si="6667"/>
        <v>0</v>
      </c>
      <c r="J603" s="166">
        <f t="shared" si="6664"/>
        <v>0</v>
      </c>
      <c r="K603" s="166"/>
      <c r="L603" s="167"/>
      <c r="M603" s="167"/>
      <c r="N603" s="166"/>
      <c r="O603" s="167"/>
      <c r="P603" s="166"/>
      <c r="Q603" s="166"/>
      <c r="R603" s="166"/>
      <c r="S603" s="166"/>
      <c r="T603" s="166"/>
      <c r="U603" s="166"/>
      <c r="V603" s="166"/>
      <c r="W603" s="166"/>
      <c r="X603" s="166">
        <f>VLOOKUP($C603,'1 预算编制表单'!$C:$BJ,27,FALSE)</f>
        <v>0</v>
      </c>
      <c r="Y603" s="166">
        <f t="shared" ref="Y603:BG603" si="6771">Y604+Y605+Y608+Y609+Y611+Y612+Y613+Y614+Y615</f>
        <v>0</v>
      </c>
      <c r="Z603" s="166">
        <f t="shared" si="6771"/>
        <v>0</v>
      </c>
      <c r="AA603" s="166">
        <f>VLOOKUP($C603,'1 预算编制表单'!$C:$BJ,30,FALSE)</f>
        <v>0</v>
      </c>
      <c r="AB603" s="166">
        <f t="shared" si="6771"/>
        <v>0</v>
      </c>
      <c r="AC603" s="166">
        <f t="shared" si="6771"/>
        <v>0</v>
      </c>
      <c r="AD603" s="166">
        <f>VLOOKUP($C603,'1 预算编制表单'!$C:$BJ,33,FALSE)</f>
        <v>0</v>
      </c>
      <c r="AE603" s="166">
        <f t="shared" si="6771"/>
        <v>0</v>
      </c>
      <c r="AF603" s="166">
        <f t="shared" si="6771"/>
        <v>0</v>
      </c>
      <c r="AG603" s="166">
        <f>VLOOKUP($C603,'1 预算编制表单'!$C:$BJ,36,FALSE)</f>
        <v>0</v>
      </c>
      <c r="AH603" s="166">
        <f t="shared" si="6771"/>
        <v>0</v>
      </c>
      <c r="AI603" s="166">
        <f t="shared" si="6771"/>
        <v>0</v>
      </c>
      <c r="AJ603" s="166">
        <f>VLOOKUP($C603,'1 预算编制表单'!$C:$BJ,39,FALSE)</f>
        <v>0</v>
      </c>
      <c r="AK603" s="166">
        <f t="shared" si="6771"/>
        <v>0</v>
      </c>
      <c r="AL603" s="166">
        <f t="shared" si="6771"/>
        <v>0</v>
      </c>
      <c r="AM603" s="166">
        <f>VLOOKUP($C603,'1 预算编制表单'!$C:$BJ,42,FALSE)</f>
        <v>0</v>
      </c>
      <c r="AN603" s="166">
        <f t="shared" si="6771"/>
        <v>0</v>
      </c>
      <c r="AO603" s="166">
        <f t="shared" si="6771"/>
        <v>0</v>
      </c>
      <c r="AP603" s="166">
        <f>VLOOKUP($C603,'1 预算编制表单'!$C:$BJ,45,FALSE)</f>
        <v>0</v>
      </c>
      <c r="AQ603" s="166">
        <f t="shared" si="6771"/>
        <v>0</v>
      </c>
      <c r="AR603" s="166">
        <f t="shared" si="6771"/>
        <v>0</v>
      </c>
      <c r="AS603" s="166">
        <f>VLOOKUP($C603,'1 预算编制表单'!$C:$BJ,48,FALSE)</f>
        <v>0</v>
      </c>
      <c r="AT603" s="166">
        <f t="shared" si="6771"/>
        <v>0</v>
      </c>
      <c r="AU603" s="166">
        <f t="shared" si="6771"/>
        <v>0</v>
      </c>
      <c r="AV603" s="166">
        <f>VLOOKUP($C603,'1 预算编制表单'!$C:$BJ,51,FALSE)</f>
        <v>0</v>
      </c>
      <c r="AW603" s="166">
        <f t="shared" si="6771"/>
        <v>0</v>
      </c>
      <c r="AX603" s="166">
        <f t="shared" si="6771"/>
        <v>0</v>
      </c>
      <c r="AY603" s="166">
        <f>VLOOKUP($C603,'1 预算编制表单'!$C:$BJ,54,FALSE)</f>
        <v>0</v>
      </c>
      <c r="AZ603" s="166">
        <f t="shared" si="6771"/>
        <v>0</v>
      </c>
      <c r="BA603" s="166">
        <f t="shared" si="6771"/>
        <v>0</v>
      </c>
      <c r="BB603" s="166">
        <f>VLOOKUP($C603,'1 预算编制表单'!$C:$BJ,57,FALSE)</f>
        <v>0</v>
      </c>
      <c r="BC603" s="166">
        <f t="shared" si="6771"/>
        <v>0</v>
      </c>
      <c r="BD603" s="166">
        <f t="shared" si="6771"/>
        <v>0</v>
      </c>
      <c r="BE603" s="166">
        <f>VLOOKUP($C603,'1 预算编制表单'!$C:$BJ,60,FALSE)</f>
        <v>0</v>
      </c>
      <c r="BF603" s="166">
        <f t="shared" si="6771"/>
        <v>0</v>
      </c>
      <c r="BG603" s="166">
        <f t="shared" si="6771"/>
        <v>0</v>
      </c>
      <c r="BH603" s="166">
        <f>VLOOKUP($C603,'1 预算编制表单'!$C:$BJ,27,FALSE)</f>
        <v>0</v>
      </c>
      <c r="BI603" s="166">
        <f t="shared" ref="BI603:BM603" si="6772">BI604+BI605+BI608+BI609+BI611+BI612+BI613+BI614+BI615</f>
        <v>0</v>
      </c>
      <c r="BJ603" s="166">
        <f t="shared" si="6772"/>
        <v>0</v>
      </c>
      <c r="BK603" s="166">
        <f>VLOOKUP($C603,'1 预算编制表单'!$C:$BJ,30,FALSE)</f>
        <v>0</v>
      </c>
      <c r="BL603" s="166">
        <f t="shared" si="6772"/>
        <v>0</v>
      </c>
      <c r="BM603" s="166">
        <f t="shared" si="6772"/>
        <v>0</v>
      </c>
      <c r="BN603" s="166">
        <f>VLOOKUP($C603,'1 预算编制表单'!$C:$BJ,33,FALSE)</f>
        <v>0</v>
      </c>
      <c r="BO603" s="166">
        <f t="shared" ref="BO603:BS603" si="6773">BO604+BO605+BO608+BO609+BO611+BO612+BO613+BO614+BO615</f>
        <v>0</v>
      </c>
      <c r="BP603" s="166">
        <f t="shared" si="6773"/>
        <v>0</v>
      </c>
      <c r="BQ603" s="166">
        <f>VLOOKUP($C603,'1 预算编制表单'!$C:$BJ,36,FALSE)</f>
        <v>0</v>
      </c>
      <c r="BR603" s="166">
        <f t="shared" si="6773"/>
        <v>0</v>
      </c>
      <c r="BS603" s="166">
        <f t="shared" si="6773"/>
        <v>0</v>
      </c>
      <c r="BT603" s="166">
        <f>VLOOKUP($C603,'1 预算编制表单'!$C:$BJ,39,FALSE)</f>
        <v>0</v>
      </c>
      <c r="BU603" s="166">
        <f t="shared" ref="BU603:BY603" si="6774">BU604+BU605+BU608+BU609+BU611+BU612+BU613+BU614+BU615</f>
        <v>0</v>
      </c>
      <c r="BV603" s="166">
        <f t="shared" si="6774"/>
        <v>0</v>
      </c>
      <c r="BW603" s="166">
        <f>VLOOKUP($C603,'1 预算编制表单'!$C:$BJ,42,FALSE)</f>
        <v>0</v>
      </c>
      <c r="BX603" s="166">
        <f t="shared" si="6774"/>
        <v>0</v>
      </c>
      <c r="BY603" s="166">
        <f t="shared" si="6774"/>
        <v>0</v>
      </c>
      <c r="BZ603" s="166">
        <f>VLOOKUP($C603,'1 预算编制表单'!$C:$BJ,45,FALSE)</f>
        <v>0</v>
      </c>
      <c r="CA603" s="166">
        <f t="shared" ref="CA603:CE603" si="6775">CA604+CA605+CA608+CA609+CA611+CA612+CA613+CA614+CA615</f>
        <v>0</v>
      </c>
      <c r="CB603" s="166">
        <f t="shared" si="6775"/>
        <v>0</v>
      </c>
      <c r="CC603" s="166">
        <f>VLOOKUP($C603,'1 预算编制表单'!$C:$BJ,48,FALSE)</f>
        <v>0</v>
      </c>
      <c r="CD603" s="166">
        <f t="shared" si="6775"/>
        <v>0</v>
      </c>
      <c r="CE603" s="166">
        <f t="shared" si="6775"/>
        <v>0</v>
      </c>
      <c r="CF603" s="166">
        <f>VLOOKUP($C603,'1 预算编制表单'!$C:$BJ,51,FALSE)</f>
        <v>0</v>
      </c>
      <c r="CG603" s="166">
        <f t="shared" ref="CG603:CK603" si="6776">CG604+CG605+CG608+CG609+CG611+CG612+CG613+CG614+CG615</f>
        <v>0</v>
      </c>
      <c r="CH603" s="166">
        <f t="shared" si="6776"/>
        <v>0</v>
      </c>
      <c r="CI603" s="166">
        <f>VLOOKUP($C603,'1 预算编制表单'!$C:$BJ,54,FALSE)</f>
        <v>0</v>
      </c>
      <c r="CJ603" s="166">
        <f t="shared" si="6776"/>
        <v>0</v>
      </c>
      <c r="CK603" s="166">
        <f t="shared" si="6776"/>
        <v>0</v>
      </c>
      <c r="CL603" s="166">
        <f>VLOOKUP($C603,'1 预算编制表单'!$C:$BJ,57,FALSE)</f>
        <v>0</v>
      </c>
      <c r="CM603" s="166">
        <f t="shared" ref="CM603:CQ603" si="6777">CM604+CM605+CM608+CM609+CM611+CM612+CM613+CM614+CM615</f>
        <v>0</v>
      </c>
      <c r="CN603" s="166">
        <f t="shared" si="6777"/>
        <v>0</v>
      </c>
      <c r="CO603" s="166">
        <f>VLOOKUP($C603,'1 预算编制表单'!$C:$BJ,60,FALSE)</f>
        <v>0</v>
      </c>
      <c r="CP603" s="166">
        <f t="shared" si="6777"/>
        <v>0</v>
      </c>
      <c r="CQ603" s="166">
        <f t="shared" si="6777"/>
        <v>0</v>
      </c>
    </row>
    <row r="604" ht="24" hidden="1"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hidden="1" customHeight="1" outlineLevel="1" collapsed="1" spans="1:95">
      <c r="A605" s="29"/>
      <c r="B605" s="111" t="s">
        <v>794</v>
      </c>
      <c r="C605" s="112" t="s">
        <v>137</v>
      </c>
      <c r="D605" s="29" t="s">
        <v>2837</v>
      </c>
      <c r="E605" s="111" t="s">
        <v>2317</v>
      </c>
      <c r="F605" s="111"/>
      <c r="G605" s="111" t="s">
        <v>1851</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hidden="1" customHeight="1" outlineLevel="2" spans="1:95">
      <c r="A606" s="130"/>
      <c r="B606" s="131"/>
      <c r="C606" s="132" t="s">
        <v>2838</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hidden="1" customHeight="1" outlineLevel="2" spans="1:95">
      <c r="A607" s="130"/>
      <c r="B607" s="131"/>
      <c r="C607" s="132" t="s">
        <v>2839</v>
      </c>
      <c r="D607" s="130" t="s">
        <v>2840</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hidden="1"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hidden="1" customHeight="1" outlineLevel="1" collapsed="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hidden="1" customHeight="1" outlineLevel="2" spans="1:95">
      <c r="A610" s="130"/>
      <c r="B610" s="131"/>
      <c r="C610" s="132" t="s">
        <v>2841</v>
      </c>
      <c r="D610" s="130" t="s">
        <v>2842</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hidden="1"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hidden="1"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hidden="1"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hidden="1" customHeight="1" outlineLevel="1" spans="1:95">
      <c r="A614" s="29"/>
      <c r="B614" s="111" t="s">
        <v>794</v>
      </c>
      <c r="C614" s="112" t="s">
        <v>157</v>
      </c>
      <c r="D614" s="29" t="s">
        <v>158</v>
      </c>
      <c r="E614" s="111" t="s">
        <v>2322</v>
      </c>
      <c r="F614" s="111"/>
      <c r="G614" s="111" t="s">
        <v>1851</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hidden="1"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collapsed="1" spans="1:95">
      <c r="A616" s="107"/>
      <c r="B616" s="108" t="s">
        <v>794</v>
      </c>
      <c r="C616" s="109">
        <v>1.6</v>
      </c>
      <c r="D616" s="107" t="s">
        <v>217</v>
      </c>
      <c r="E616" s="107"/>
      <c r="F616" s="107" t="s">
        <v>2324</v>
      </c>
      <c r="G616" s="108"/>
      <c r="H616" s="166">
        <f t="shared" si="6779"/>
        <v>0</v>
      </c>
      <c r="I616" s="166">
        <f t="shared" si="6780"/>
        <v>0</v>
      </c>
      <c r="J616" s="166">
        <f t="shared" si="6781"/>
        <v>0</v>
      </c>
      <c r="K616" s="166"/>
      <c r="L616" s="167"/>
      <c r="M616" s="167"/>
      <c r="N616" s="166"/>
      <c r="O616" s="167"/>
      <c r="P616" s="166"/>
      <c r="Q616" s="166"/>
      <c r="R616" s="166"/>
      <c r="S616" s="166"/>
      <c r="T616" s="166"/>
      <c r="U616" s="166"/>
      <c r="V616" s="166"/>
      <c r="W616" s="166"/>
      <c r="X616" s="166">
        <f>VLOOKUP($C616,'1 预算编制表单'!$C:$BJ,27,FALSE)</f>
        <v>0</v>
      </c>
      <c r="Y616" s="166">
        <f t="shared" ref="Y616:AC616" si="6782">Y617+Y618+Y619+Y620+Y621</f>
        <v>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0</v>
      </c>
      <c r="BI616" s="166">
        <f t="shared" ref="BI616:BM616" si="6788">BI617+BI618+BI619+BI620+BI621</f>
        <v>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hidden="1"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hidden="1" customHeight="1" outlineLevel="1" spans="1:95">
      <c r="A618" s="29"/>
      <c r="B618" s="111" t="s">
        <v>794</v>
      </c>
      <c r="C618" s="112" t="s">
        <v>2379</v>
      </c>
      <c r="D618" s="29" t="s">
        <v>2380</v>
      </c>
      <c r="E618" s="111" t="s">
        <v>2381</v>
      </c>
      <c r="F618" s="111" t="s">
        <v>1625</v>
      </c>
      <c r="G618" s="111" t="s">
        <v>943</v>
      </c>
      <c r="H618" s="113">
        <f t="shared" si="6779"/>
        <v>0</v>
      </c>
      <c r="I618" s="113">
        <f t="shared" si="6780"/>
        <v>0</v>
      </c>
      <c r="J618" s="113">
        <f t="shared" si="6781"/>
        <v>0</v>
      </c>
      <c r="K618" s="113"/>
      <c r="L618" s="146"/>
      <c r="M618" s="146"/>
      <c r="N618" s="113"/>
      <c r="O618" s="146"/>
      <c r="P618" s="113"/>
      <c r="Q618" s="113"/>
      <c r="R618" s="113"/>
      <c r="S618" s="113"/>
      <c r="T618" s="113"/>
      <c r="U618" s="113"/>
      <c r="V618" s="113"/>
      <c r="W618" s="113"/>
      <c r="X618" s="113">
        <f>VLOOKUP($C618,'1 预算编制表单'!$C:$BJ,27,FALSE)</f>
        <v>0</v>
      </c>
      <c r="Y618" s="113">
        <f t="shared" ref="Y618:Y621" si="6806">X618-Z618</f>
        <v>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0</v>
      </c>
      <c r="BI618" s="113">
        <f t="shared" si="6794"/>
        <v>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hidden="1"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hidden="1"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hidden="1"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4"/>
  <cols>
    <col min="1" max="16384" width="9" style="79"/>
  </cols>
  <sheetData>
    <row r="1" ht="32.45" customHeight="1"/>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4"/>
  <sheetViews>
    <sheetView zoomScale="70" zoomScaleNormal="70" workbookViewId="0">
      <selection activeCell="B7" sqref="B7"/>
    </sheetView>
  </sheetViews>
  <sheetFormatPr defaultColWidth="9" defaultRowHeight="14"/>
  <cols>
    <col min="1" max="1" width="50" style="68" customWidth="1"/>
    <col min="2" max="4" width="21" style="68" customWidth="1"/>
    <col min="5" max="5" width="25" style="69" customWidth="1"/>
    <col min="6" max="6" width="21" style="68" customWidth="1"/>
    <col min="7" max="12" width="25" style="68" customWidth="1"/>
    <col min="13" max="13" width="21" style="68" customWidth="1"/>
    <col min="14" max="14" width="16" style="70" customWidth="1"/>
    <col min="15" max="15" width="20" style="71" customWidth="1"/>
    <col min="16" max="16" width="24" style="71" customWidth="1"/>
    <col min="17" max="17" width="26" style="68" customWidth="1"/>
    <col min="18" max="18" width="24" style="71" customWidth="1"/>
    <col min="19" max="19" width="16" style="72" customWidth="1"/>
    <col min="20" max="20" width="20" style="68" customWidth="1"/>
    <col min="21" max="21" width="18" style="73" customWidth="1"/>
    <col min="22" max="25" width="21" style="68" customWidth="1"/>
    <col min="26" max="26" width="18" style="68" customWidth="1"/>
    <col min="27" max="28" width="22" style="68" customWidth="1"/>
    <col min="29" max="30" width="24" style="69" customWidth="1"/>
    <col min="31" max="32" width="23" style="68" customWidth="1"/>
    <col min="33" max="33" width="16" style="68" customWidth="1"/>
    <col min="34" max="35" width="25" style="68" customWidth="1"/>
    <col min="36" max="36" width="22" style="70" customWidth="1"/>
    <col min="37" max="38" width="25" style="68" customWidth="1"/>
    <col min="39" max="40" width="23" style="68" customWidth="1"/>
    <col min="41" max="44" width="20" style="68" customWidth="1"/>
    <col min="45" max="45" width="26" style="68" customWidth="1"/>
    <col min="46" max="47" width="25" style="68" customWidth="1"/>
    <col min="48" max="48" width="28" style="68" customWidth="1"/>
    <col min="49" max="49" width="24" style="68" customWidth="1"/>
    <col min="50" max="50" width="28" style="68" customWidth="1"/>
    <col min="51" max="51" width="24" style="68" customWidth="1"/>
    <col min="52" max="53" width="20" style="68" customWidth="1"/>
    <col min="54" max="54" width="32" style="68" customWidth="1"/>
    <col min="55" max="55" width="16" style="68" customWidth="1"/>
    <col min="56" max="57" width="23" style="68" customWidth="1"/>
    <col min="58" max="60" width="20" style="74" customWidth="1"/>
    <col min="61" max="62" width="23" style="68" customWidth="1"/>
    <col min="63" max="63" width="18" style="68" customWidth="1"/>
    <col min="64" max="64" width="20" style="68" customWidth="1"/>
    <col min="65" max="65" width="16" style="68" customWidth="1"/>
    <col min="66" max="67" width="23" style="68" customWidth="1"/>
    <col min="68" max="68" width="22" style="68" customWidth="1"/>
    <col min="69" max="16384" width="9" style="68"/>
  </cols>
  <sheetData>
    <row r="1" s="68" customFormat="1" spans="1:65">
      <c r="A1" s="68" t="s">
        <v>2843</v>
      </c>
      <c r="E1" s="69"/>
      <c r="N1" s="70"/>
      <c r="O1" s="71"/>
      <c r="P1" s="71"/>
      <c r="R1" s="71"/>
      <c r="S1" s="72"/>
      <c r="U1" s="73"/>
      <c r="AC1" s="69"/>
      <c r="AD1" s="69"/>
      <c r="AJ1" s="70"/>
      <c r="BF1" s="74"/>
      <c r="BG1" s="74"/>
      <c r="BH1" s="74"/>
      <c r="BM1" s="68" t="s">
        <v>2844</v>
      </c>
    </row>
    <row r="2" s="68" customFormat="1" ht="45" hidden="1" customHeight="1" spans="1:60">
      <c r="A2" s="75" t="s">
        <v>2845</v>
      </c>
      <c r="E2" s="69"/>
      <c r="N2" s="70"/>
      <c r="O2" s="71"/>
      <c r="P2" s="71"/>
      <c r="R2" s="71"/>
      <c r="S2" s="72"/>
      <c r="U2" s="73"/>
      <c r="AC2" s="69"/>
      <c r="AD2" s="69"/>
      <c r="AJ2" s="70"/>
      <c r="BF2" s="74"/>
      <c r="BG2" s="74"/>
      <c r="BH2" s="74"/>
    </row>
    <row r="3" s="68" customFormat="1" hidden="1" spans="1:68">
      <c r="A3" s="68" t="s">
        <v>2846</v>
      </c>
      <c r="B3" s="68" t="s">
        <v>2847</v>
      </c>
      <c r="C3" s="68" t="s">
        <v>2848</v>
      </c>
      <c r="D3" s="68" t="s">
        <v>2849</v>
      </c>
      <c r="E3" s="68" t="s">
        <v>2850</v>
      </c>
      <c r="F3" s="68" t="s">
        <v>2851</v>
      </c>
      <c r="G3" s="68" t="s">
        <v>2852</v>
      </c>
      <c r="H3" s="68" t="s">
        <v>2853</v>
      </c>
      <c r="I3" s="68" t="s">
        <v>2854</v>
      </c>
      <c r="J3" s="68" t="s">
        <v>2855</v>
      </c>
      <c r="K3" s="68" t="s">
        <v>2856</v>
      </c>
      <c r="L3" s="68" t="s">
        <v>2857</v>
      </c>
      <c r="M3" s="68" t="s">
        <v>2858</v>
      </c>
      <c r="N3" s="68" t="s">
        <v>2859</v>
      </c>
      <c r="O3" s="68" t="s">
        <v>2860</v>
      </c>
      <c r="P3" s="68" t="s">
        <v>2861</v>
      </c>
      <c r="Q3" s="68" t="s">
        <v>2862</v>
      </c>
      <c r="R3" s="68" t="s">
        <v>2863</v>
      </c>
      <c r="S3" s="68" t="s">
        <v>2864</v>
      </c>
      <c r="T3" s="68" t="s">
        <v>2865</v>
      </c>
      <c r="U3" s="68" t="s">
        <v>2866</v>
      </c>
      <c r="V3" s="68" t="s">
        <v>2867</v>
      </c>
      <c r="W3" s="68" t="s">
        <v>2868</v>
      </c>
      <c r="X3" s="68" t="s">
        <v>2869</v>
      </c>
      <c r="Y3" s="68" t="s">
        <v>2870</v>
      </c>
      <c r="Z3" s="68" t="s">
        <v>2871</v>
      </c>
      <c r="AA3" s="68" t="s">
        <v>2872</v>
      </c>
      <c r="AB3" s="68" t="s">
        <v>2873</v>
      </c>
      <c r="AC3" s="68" t="s">
        <v>2874</v>
      </c>
      <c r="AD3" s="68" t="s">
        <v>2875</v>
      </c>
      <c r="AE3" s="68" t="s">
        <v>2876</v>
      </c>
      <c r="AF3" s="68" t="s">
        <v>2877</v>
      </c>
      <c r="AG3" s="68" t="s">
        <v>2878</v>
      </c>
      <c r="AH3" s="68" t="s">
        <v>2879</v>
      </c>
      <c r="AI3" s="68" t="s">
        <v>2880</v>
      </c>
      <c r="AJ3" s="68" t="s">
        <v>2881</v>
      </c>
      <c r="AK3" s="68" t="s">
        <v>2882</v>
      </c>
      <c r="AL3" s="68" t="s">
        <v>2883</v>
      </c>
      <c r="AM3" s="68" t="s">
        <v>2884</v>
      </c>
      <c r="AN3" s="68" t="s">
        <v>2885</v>
      </c>
      <c r="AO3" s="68" t="s">
        <v>2886</v>
      </c>
      <c r="AP3" s="68" t="s">
        <v>2887</v>
      </c>
      <c r="AQ3" s="68" t="s">
        <v>2888</v>
      </c>
      <c r="AR3" s="68" t="s">
        <v>2889</v>
      </c>
      <c r="AS3" s="68" t="s">
        <v>2890</v>
      </c>
      <c r="AT3" s="68" t="s">
        <v>2891</v>
      </c>
      <c r="AU3" s="68" t="s">
        <v>2892</v>
      </c>
      <c r="AV3" s="68" t="s">
        <v>2893</v>
      </c>
      <c r="AW3" s="68" t="s">
        <v>2894</v>
      </c>
      <c r="AX3" s="68" t="s">
        <v>2895</v>
      </c>
      <c r="AY3" s="68" t="s">
        <v>2896</v>
      </c>
      <c r="AZ3" s="68" t="s">
        <v>2897</v>
      </c>
      <c r="BA3" s="68" t="s">
        <v>2898</v>
      </c>
      <c r="BB3" s="68" t="s">
        <v>2899</v>
      </c>
      <c r="BC3" s="68" t="s">
        <v>2900</v>
      </c>
      <c r="BD3" s="68" t="s">
        <v>2901</v>
      </c>
      <c r="BE3" s="68" t="s">
        <v>2902</v>
      </c>
      <c r="BF3" s="68" t="s">
        <v>2903</v>
      </c>
      <c r="BG3" s="68" t="s">
        <v>2904</v>
      </c>
      <c r="BH3" s="68" t="s">
        <v>2905</v>
      </c>
      <c r="BI3" s="68" t="s">
        <v>2906</v>
      </c>
      <c r="BJ3" s="68" t="s">
        <v>2907</v>
      </c>
      <c r="BK3" s="68" t="s">
        <v>2908</v>
      </c>
      <c r="BL3" s="68" t="s">
        <v>2909</v>
      </c>
      <c r="BM3" s="68" t="s">
        <v>2910</v>
      </c>
      <c r="BN3" s="68" t="s">
        <v>2911</v>
      </c>
      <c r="BO3" s="68" t="s">
        <v>2912</v>
      </c>
      <c r="BP3" s="68" t="s">
        <v>2913</v>
      </c>
    </row>
    <row r="4" s="68" customFormat="1" ht="14.5" hidden="1" spans="1:68">
      <c r="A4" s="76" t="s">
        <v>2914</v>
      </c>
      <c r="B4" s="77" t="s">
        <v>2915</v>
      </c>
      <c r="C4" s="77" t="s">
        <v>2916</v>
      </c>
      <c r="D4" s="77" t="s">
        <v>2917</v>
      </c>
      <c r="E4" s="77" t="s">
        <v>2918</v>
      </c>
      <c r="F4" s="77" t="s">
        <v>2919</v>
      </c>
      <c r="G4" s="77" t="s">
        <v>2920</v>
      </c>
      <c r="H4" s="76" t="s">
        <v>2921</v>
      </c>
      <c r="I4" s="76" t="s">
        <v>2922</v>
      </c>
      <c r="J4" s="76" t="s">
        <v>2923</v>
      </c>
      <c r="K4" s="76" t="s">
        <v>2924</v>
      </c>
      <c r="L4" s="76" t="s">
        <v>2925</v>
      </c>
      <c r="M4" s="76" t="s">
        <v>2926</v>
      </c>
      <c r="N4" s="76" t="s">
        <v>2927</v>
      </c>
      <c r="O4" s="76" t="s">
        <v>2928</v>
      </c>
      <c r="P4" s="76" t="s">
        <v>2929</v>
      </c>
      <c r="Q4" s="76" t="s">
        <v>2930</v>
      </c>
      <c r="R4" s="76" t="s">
        <v>2931</v>
      </c>
      <c r="S4" s="76" t="s">
        <v>2932</v>
      </c>
      <c r="T4" s="76" t="s">
        <v>2933</v>
      </c>
      <c r="U4" s="76" t="s">
        <v>2934</v>
      </c>
      <c r="V4" s="76" t="s">
        <v>2935</v>
      </c>
      <c r="W4" s="76" t="s">
        <v>2936</v>
      </c>
      <c r="X4" s="76" t="s">
        <v>2937</v>
      </c>
      <c r="Y4" s="76" t="s">
        <v>2938</v>
      </c>
      <c r="Z4" s="76" t="s">
        <v>2939</v>
      </c>
      <c r="AA4" s="76" t="s">
        <v>2940</v>
      </c>
      <c r="AB4" s="76" t="s">
        <v>2941</v>
      </c>
      <c r="AC4" s="76" t="s">
        <v>2811</v>
      </c>
      <c r="AD4" s="76" t="s">
        <v>2942</v>
      </c>
      <c r="AE4" s="76" t="s">
        <v>2943</v>
      </c>
      <c r="AF4" s="76" t="s">
        <v>2944</v>
      </c>
      <c r="AG4" s="76" t="s">
        <v>715</v>
      </c>
      <c r="AH4" s="76" t="s">
        <v>2945</v>
      </c>
      <c r="AI4" s="76" t="s">
        <v>2946</v>
      </c>
      <c r="AJ4" s="76" t="s">
        <v>2947</v>
      </c>
      <c r="AK4" s="76" t="s">
        <v>2948</v>
      </c>
      <c r="AL4" s="76" t="s">
        <v>2949</v>
      </c>
      <c r="AM4" s="76" t="s">
        <v>2950</v>
      </c>
      <c r="AN4" s="76" t="s">
        <v>2951</v>
      </c>
      <c r="AO4" s="76" t="s">
        <v>2952</v>
      </c>
      <c r="AP4" s="76" t="s">
        <v>2953</v>
      </c>
      <c r="AQ4" s="76" t="s">
        <v>2954</v>
      </c>
      <c r="AR4" s="76" t="s">
        <v>2955</v>
      </c>
      <c r="AS4" s="77" t="s">
        <v>2956</v>
      </c>
      <c r="AT4" s="76" t="s">
        <v>2957</v>
      </c>
      <c r="AU4" s="76" t="s">
        <v>2958</v>
      </c>
      <c r="AV4" s="76" t="s">
        <v>2959</v>
      </c>
      <c r="AW4" s="76" t="s">
        <v>2960</v>
      </c>
      <c r="AX4" s="76" t="s">
        <v>2961</v>
      </c>
      <c r="AY4" s="76" t="s">
        <v>2962</v>
      </c>
      <c r="AZ4" s="76" t="s">
        <v>2963</v>
      </c>
      <c r="BA4" s="76" t="s">
        <v>2964</v>
      </c>
      <c r="BB4" s="76" t="s">
        <v>2965</v>
      </c>
      <c r="BC4" s="76" t="s">
        <v>2966</v>
      </c>
      <c r="BD4" s="76" t="s">
        <v>2967</v>
      </c>
      <c r="BE4" s="76" t="s">
        <v>2968</v>
      </c>
      <c r="BF4" s="76" t="s">
        <v>2969</v>
      </c>
      <c r="BG4" s="76" t="s">
        <v>2970</v>
      </c>
      <c r="BH4" s="76" t="s">
        <v>2971</v>
      </c>
      <c r="BI4" s="76" t="s">
        <v>2972</v>
      </c>
      <c r="BJ4" s="76" t="s">
        <v>2973</v>
      </c>
      <c r="BK4" s="76" t="s">
        <v>2974</v>
      </c>
      <c r="BL4" s="76" t="s">
        <v>2975</v>
      </c>
      <c r="BM4" s="76" t="s">
        <v>2914</v>
      </c>
      <c r="BN4" s="76" t="s">
        <v>2976</v>
      </c>
      <c r="BO4" s="76" t="s">
        <v>2977</v>
      </c>
      <c r="BP4" s="76" t="s">
        <v>2978</v>
      </c>
    </row>
    <row r="5" s="68" customFormat="1" ht="280" spans="1:68">
      <c r="A5" s="78" t="s">
        <v>2979</v>
      </c>
      <c r="B5" s="78" t="s">
        <v>2824</v>
      </c>
      <c r="C5" s="78" t="s">
        <v>2980</v>
      </c>
      <c r="D5" s="78" t="s">
        <v>2981</v>
      </c>
      <c r="E5" s="69" t="s">
        <v>2982</v>
      </c>
      <c r="F5" s="78" t="s">
        <v>2983</v>
      </c>
      <c r="G5" s="78" t="s">
        <v>2984</v>
      </c>
      <c r="J5" s="78" t="s">
        <v>2985</v>
      </c>
      <c r="K5" s="78" t="s">
        <v>2986</v>
      </c>
      <c r="L5" s="78" t="s">
        <v>2987</v>
      </c>
      <c r="M5" s="78" t="s">
        <v>2988</v>
      </c>
      <c r="N5" s="70"/>
      <c r="O5" s="71"/>
      <c r="P5" s="72">
        <v>60000</v>
      </c>
      <c r="Q5" s="78" t="s">
        <v>2989</v>
      </c>
      <c r="R5" s="72">
        <v>60000</v>
      </c>
      <c r="S5" s="72"/>
      <c r="T5" s="78" t="s">
        <v>2990</v>
      </c>
      <c r="U5" s="73"/>
      <c r="V5" s="78" t="s">
        <v>2991</v>
      </c>
      <c r="W5" s="78" t="s">
        <v>2992</v>
      </c>
      <c r="X5" s="78" t="s">
        <v>2402</v>
      </c>
      <c r="Y5" s="78" t="s">
        <v>2404</v>
      </c>
      <c r="Z5" s="78" t="s">
        <v>2824</v>
      </c>
      <c r="AA5" s="78" t="s">
        <v>2989</v>
      </c>
      <c r="AB5" s="78" t="s">
        <v>2989</v>
      </c>
      <c r="AC5" s="69" t="s">
        <v>2993</v>
      </c>
      <c r="AD5" s="69" t="s">
        <v>2994</v>
      </c>
      <c r="AE5" s="78" t="s">
        <v>2995</v>
      </c>
      <c r="AF5" s="78" t="s">
        <v>2996</v>
      </c>
      <c r="AG5" s="78" t="s">
        <v>2997</v>
      </c>
      <c r="AJ5" s="70"/>
      <c r="AM5" s="78" t="s">
        <v>2998</v>
      </c>
      <c r="AN5" s="78" t="s">
        <v>2999</v>
      </c>
      <c r="AO5" s="78" t="s">
        <v>3000</v>
      </c>
      <c r="AP5" s="78" t="s">
        <v>3001</v>
      </c>
      <c r="AQ5" s="78" t="s">
        <v>3002</v>
      </c>
      <c r="AR5" s="78" t="s">
        <v>3003</v>
      </c>
      <c r="AS5" s="78" t="s">
        <v>3004</v>
      </c>
      <c r="AT5" s="78" t="s">
        <v>3005</v>
      </c>
      <c r="AU5" s="78" t="s">
        <v>3006</v>
      </c>
      <c r="AV5" s="78" t="s">
        <v>794</v>
      </c>
      <c r="AW5" s="78" t="s">
        <v>794</v>
      </c>
      <c r="AX5" s="78" t="s">
        <v>3007</v>
      </c>
      <c r="AY5" s="78" t="s">
        <v>3008</v>
      </c>
      <c r="AZ5" s="78" t="s">
        <v>3009</v>
      </c>
      <c r="BA5" s="78" t="s">
        <v>3006</v>
      </c>
      <c r="BC5" s="78" t="s">
        <v>3010</v>
      </c>
      <c r="BD5" s="78" t="s">
        <v>3011</v>
      </c>
      <c r="BE5" s="78" t="s">
        <v>3012</v>
      </c>
      <c r="BF5" s="74" t="s">
        <v>3013</v>
      </c>
      <c r="BG5" s="74" t="s">
        <v>3014</v>
      </c>
      <c r="BH5" s="74" t="s">
        <v>3015</v>
      </c>
      <c r="BI5" s="78" t="s">
        <v>3016</v>
      </c>
      <c r="BJ5" s="78" t="s">
        <v>3017</v>
      </c>
      <c r="BK5" s="78" t="s">
        <v>3018</v>
      </c>
      <c r="BL5" s="78" t="s">
        <v>3019</v>
      </c>
      <c r="BM5" s="78" t="s">
        <v>3020</v>
      </c>
      <c r="BN5" s="78" t="s">
        <v>3021</v>
      </c>
      <c r="BO5" s="78" t="s">
        <v>3022</v>
      </c>
      <c r="BP5" s="78" t="s">
        <v>3022</v>
      </c>
    </row>
    <row r="6" s="68" customFormat="1" ht="28" hidden="1" spans="5:68">
      <c r="E6" s="69"/>
      <c r="N6" s="70"/>
      <c r="O6" s="71"/>
      <c r="P6" s="71"/>
      <c r="R6" s="71"/>
      <c r="S6" s="72"/>
      <c r="U6" s="73"/>
      <c r="AC6" s="69"/>
      <c r="AD6" s="69"/>
      <c r="AJ6" s="70"/>
      <c r="BF6" s="74"/>
      <c r="BG6" s="74"/>
      <c r="BH6" s="74"/>
      <c r="BM6" s="78" t="s">
        <v>3023</v>
      </c>
      <c r="BN6" s="78" t="s">
        <v>3024</v>
      </c>
      <c r="BO6" s="78" t="s">
        <v>3025</v>
      </c>
      <c r="BP6" s="78" t="s">
        <v>3025</v>
      </c>
    </row>
    <row r="7" s="68" customFormat="1" ht="322" spans="1:68">
      <c r="A7" s="78" t="s">
        <v>3026</v>
      </c>
      <c r="B7" s="78" t="s">
        <v>2823</v>
      </c>
      <c r="C7" s="78" t="s">
        <v>2980</v>
      </c>
      <c r="D7" s="78" t="s">
        <v>3027</v>
      </c>
      <c r="E7" s="69" t="s">
        <v>2982</v>
      </c>
      <c r="F7" s="78" t="s">
        <v>2983</v>
      </c>
      <c r="G7" s="78" t="s">
        <v>2984</v>
      </c>
      <c r="J7" s="78" t="s">
        <v>2985</v>
      </c>
      <c r="K7" s="78" t="s">
        <v>2986</v>
      </c>
      <c r="L7" s="78" t="s">
        <v>2987</v>
      </c>
      <c r="M7" s="78" t="s">
        <v>2988</v>
      </c>
      <c r="N7" s="70"/>
      <c r="O7" s="71"/>
      <c r="P7" s="72">
        <v>240000</v>
      </c>
      <c r="Q7" s="78" t="s">
        <v>2989</v>
      </c>
      <c r="R7" s="72">
        <v>240000</v>
      </c>
      <c r="S7" s="72"/>
      <c r="T7" s="78" t="s">
        <v>2990</v>
      </c>
      <c r="U7" s="73"/>
      <c r="V7" s="78" t="s">
        <v>2991</v>
      </c>
      <c r="W7" s="78" t="s">
        <v>2992</v>
      </c>
      <c r="X7" s="78" t="s">
        <v>2402</v>
      </c>
      <c r="Y7" s="78" t="s">
        <v>2404</v>
      </c>
      <c r="Z7" s="78" t="s">
        <v>2823</v>
      </c>
      <c r="AA7" s="78" t="s">
        <v>2989</v>
      </c>
      <c r="AB7" s="78" t="s">
        <v>2989</v>
      </c>
      <c r="AC7" s="69" t="s">
        <v>2993</v>
      </c>
      <c r="AD7" s="69" t="s">
        <v>2994</v>
      </c>
      <c r="AE7" s="78" t="s">
        <v>2995</v>
      </c>
      <c r="AF7" s="78" t="s">
        <v>2996</v>
      </c>
      <c r="AG7" s="78" t="s">
        <v>2997</v>
      </c>
      <c r="AJ7" s="70"/>
      <c r="AM7" s="78" t="s">
        <v>2998</v>
      </c>
      <c r="AN7" s="78" t="s">
        <v>2999</v>
      </c>
      <c r="AO7" s="78" t="s">
        <v>3000</v>
      </c>
      <c r="AP7" s="78" t="s">
        <v>3001</v>
      </c>
      <c r="AQ7" s="78" t="s">
        <v>3002</v>
      </c>
      <c r="AR7" s="78" t="s">
        <v>3003</v>
      </c>
      <c r="AS7" s="78" t="s">
        <v>3028</v>
      </c>
      <c r="AT7" s="78" t="s">
        <v>3029</v>
      </c>
      <c r="AU7" s="78" t="s">
        <v>3006</v>
      </c>
      <c r="AV7" s="78" t="s">
        <v>794</v>
      </c>
      <c r="AW7" s="78" t="s">
        <v>794</v>
      </c>
      <c r="AX7" s="78" t="s">
        <v>3030</v>
      </c>
      <c r="AY7" s="78" t="s">
        <v>3031</v>
      </c>
      <c r="AZ7" s="78" t="s">
        <v>3009</v>
      </c>
      <c r="BA7" s="78" t="s">
        <v>3006</v>
      </c>
      <c r="BC7" s="78" t="s">
        <v>3032</v>
      </c>
      <c r="BD7" s="78" t="s">
        <v>3011</v>
      </c>
      <c r="BE7" s="78" t="s">
        <v>3012</v>
      </c>
      <c r="BF7" s="74" t="s">
        <v>3033</v>
      </c>
      <c r="BG7" s="74" t="s">
        <v>3034</v>
      </c>
      <c r="BH7" s="74" t="s">
        <v>3035</v>
      </c>
      <c r="BI7" s="78" t="s">
        <v>3016</v>
      </c>
      <c r="BJ7" s="78" t="s">
        <v>3017</v>
      </c>
      <c r="BK7" s="78" t="s">
        <v>3036</v>
      </c>
      <c r="BL7" s="78" t="s">
        <v>3019</v>
      </c>
      <c r="BM7" s="78" t="s">
        <v>3037</v>
      </c>
      <c r="BN7" s="78" t="s">
        <v>3021</v>
      </c>
      <c r="BO7" s="78" t="s">
        <v>3022</v>
      </c>
      <c r="BP7" s="78" t="s">
        <v>3022</v>
      </c>
    </row>
    <row r="8" s="68" customFormat="1" ht="28" hidden="1" spans="5:68">
      <c r="E8" s="69"/>
      <c r="N8" s="70"/>
      <c r="O8" s="71"/>
      <c r="P8" s="71"/>
      <c r="R8" s="71"/>
      <c r="S8" s="72"/>
      <c r="U8" s="73"/>
      <c r="AC8" s="69"/>
      <c r="AD8" s="69"/>
      <c r="AJ8" s="70"/>
      <c r="BF8" s="74"/>
      <c r="BG8" s="74"/>
      <c r="BH8" s="74"/>
      <c r="BM8" s="78" t="s">
        <v>3038</v>
      </c>
      <c r="BN8" s="78" t="s">
        <v>3024</v>
      </c>
      <c r="BO8" s="78" t="s">
        <v>3025</v>
      </c>
      <c r="BP8" s="78" t="s">
        <v>3025</v>
      </c>
    </row>
    <row r="9" s="68" customFormat="1" ht="182" hidden="1" spans="1:68">
      <c r="A9" s="78" t="s">
        <v>3039</v>
      </c>
      <c r="B9" s="78" t="s">
        <v>3040</v>
      </c>
      <c r="C9" s="78" t="s">
        <v>3041</v>
      </c>
      <c r="D9" s="78" t="s">
        <v>3042</v>
      </c>
      <c r="E9" s="69" t="s">
        <v>2993</v>
      </c>
      <c r="F9" s="78" t="s">
        <v>2983</v>
      </c>
      <c r="G9" s="78" t="s">
        <v>2984</v>
      </c>
      <c r="J9" s="78" t="s">
        <v>2985</v>
      </c>
      <c r="K9" s="78" t="s">
        <v>2986</v>
      </c>
      <c r="L9" s="78" t="s">
        <v>2987</v>
      </c>
      <c r="M9" s="78" t="s">
        <v>2988</v>
      </c>
      <c r="N9" s="70"/>
      <c r="O9" s="71"/>
      <c r="P9" s="72">
        <v>348000</v>
      </c>
      <c r="Q9" s="78" t="s">
        <v>2989</v>
      </c>
      <c r="R9" s="72">
        <v>348000</v>
      </c>
      <c r="S9" s="72"/>
      <c r="T9" s="78" t="s">
        <v>2990</v>
      </c>
      <c r="U9" s="73"/>
      <c r="V9" s="78" t="s">
        <v>2991</v>
      </c>
      <c r="W9" s="78" t="s">
        <v>2992</v>
      </c>
      <c r="X9" s="78" t="s">
        <v>2402</v>
      </c>
      <c r="Y9" s="78" t="s">
        <v>2404</v>
      </c>
      <c r="Z9" s="78" t="s">
        <v>3040</v>
      </c>
      <c r="AA9" s="78" t="s">
        <v>2989</v>
      </c>
      <c r="AB9" s="78" t="s">
        <v>2989</v>
      </c>
      <c r="AC9" s="69" t="s">
        <v>3043</v>
      </c>
      <c r="AD9" s="69" t="s">
        <v>3043</v>
      </c>
      <c r="AE9" s="78" t="s">
        <v>2995</v>
      </c>
      <c r="AF9" s="78" t="s">
        <v>2996</v>
      </c>
      <c r="AG9" s="78" t="s">
        <v>2997</v>
      </c>
      <c r="AJ9" s="70"/>
      <c r="AM9" s="78" t="s">
        <v>2998</v>
      </c>
      <c r="AN9" s="78" t="s">
        <v>2999</v>
      </c>
      <c r="AO9" s="78" t="s">
        <v>3000</v>
      </c>
      <c r="AP9" s="78" t="s">
        <v>3044</v>
      </c>
      <c r="AQ9" s="78" t="s">
        <v>3002</v>
      </c>
      <c r="AR9" s="78" t="s">
        <v>3003</v>
      </c>
      <c r="AS9" s="78" t="s">
        <v>3028</v>
      </c>
      <c r="AT9" s="78" t="s">
        <v>3029</v>
      </c>
      <c r="AU9" s="78" t="s">
        <v>3006</v>
      </c>
      <c r="AV9" s="78" t="s">
        <v>794</v>
      </c>
      <c r="AW9" s="78" t="s">
        <v>794</v>
      </c>
      <c r="AX9" s="78" t="s">
        <v>3045</v>
      </c>
      <c r="AY9" s="78" t="s">
        <v>3046</v>
      </c>
      <c r="AZ9" s="78" t="s">
        <v>3009</v>
      </c>
      <c r="BA9" s="78" t="s">
        <v>3006</v>
      </c>
      <c r="BC9" s="78" t="s">
        <v>3047</v>
      </c>
      <c r="BD9" s="78" t="s">
        <v>3011</v>
      </c>
      <c r="BE9" s="78" t="s">
        <v>3012</v>
      </c>
      <c r="BF9" s="74" t="s">
        <v>3048</v>
      </c>
      <c r="BG9" s="74" t="s">
        <v>3049</v>
      </c>
      <c r="BH9" s="74" t="s">
        <v>3050</v>
      </c>
      <c r="BI9" s="78" t="s">
        <v>3016</v>
      </c>
      <c r="BJ9" s="78" t="s">
        <v>3017</v>
      </c>
      <c r="BK9" s="78" t="s">
        <v>3051</v>
      </c>
      <c r="BL9" s="78" t="s">
        <v>3019</v>
      </c>
      <c r="BM9" s="78" t="s">
        <v>3052</v>
      </c>
      <c r="BN9" s="78" t="s">
        <v>3021</v>
      </c>
      <c r="BO9" s="78" t="s">
        <v>3022</v>
      </c>
      <c r="BP9" s="78" t="s">
        <v>3022</v>
      </c>
    </row>
    <row r="10" s="68" customFormat="1" ht="28" hidden="1" spans="5:68">
      <c r="E10" s="69"/>
      <c r="N10" s="70"/>
      <c r="O10" s="71"/>
      <c r="P10" s="71"/>
      <c r="R10" s="71"/>
      <c r="S10" s="72"/>
      <c r="U10" s="73"/>
      <c r="AC10" s="69"/>
      <c r="AD10" s="69"/>
      <c r="AJ10" s="70"/>
      <c r="BF10" s="74"/>
      <c r="BG10" s="74"/>
      <c r="BH10" s="74"/>
      <c r="BM10" s="78" t="s">
        <v>3053</v>
      </c>
      <c r="BN10" s="78" t="s">
        <v>3024</v>
      </c>
      <c r="BO10" s="78" t="s">
        <v>3025</v>
      </c>
      <c r="BP10" s="78" t="s">
        <v>3025</v>
      </c>
    </row>
    <row r="11" s="68" customFormat="1" ht="42" hidden="1" spans="1:68">
      <c r="A11" s="78" t="s">
        <v>3054</v>
      </c>
      <c r="B11" s="78" t="s">
        <v>3055</v>
      </c>
      <c r="C11" s="78" t="s">
        <v>3041</v>
      </c>
      <c r="D11" s="78" t="s">
        <v>3056</v>
      </c>
      <c r="E11" s="69" t="s">
        <v>3057</v>
      </c>
      <c r="F11" s="78" t="s">
        <v>2983</v>
      </c>
      <c r="G11" s="78" t="s">
        <v>3058</v>
      </c>
      <c r="J11" s="78" t="s">
        <v>2985</v>
      </c>
      <c r="K11" s="78" t="s">
        <v>2986</v>
      </c>
      <c r="L11" s="78" t="s">
        <v>2987</v>
      </c>
      <c r="M11" s="78" t="s">
        <v>2988</v>
      </c>
      <c r="N11" s="70">
        <v>1</v>
      </c>
      <c r="O11" s="71"/>
      <c r="P11" s="72">
        <v>87000</v>
      </c>
      <c r="Q11" s="78" t="s">
        <v>2989</v>
      </c>
      <c r="R11" s="72">
        <v>87000</v>
      </c>
      <c r="S11" s="72"/>
      <c r="T11" s="78" t="s">
        <v>2990</v>
      </c>
      <c r="U11" s="73"/>
      <c r="V11" s="78" t="s">
        <v>2991</v>
      </c>
      <c r="W11" s="78" t="s">
        <v>2992</v>
      </c>
      <c r="X11" s="78" t="s">
        <v>2402</v>
      </c>
      <c r="Y11" s="78" t="s">
        <v>2404</v>
      </c>
      <c r="Z11" s="78" t="s">
        <v>3055</v>
      </c>
      <c r="AA11" s="78" t="s">
        <v>2989</v>
      </c>
      <c r="AB11" s="78" t="s">
        <v>2989</v>
      </c>
      <c r="AC11" s="69" t="s">
        <v>3059</v>
      </c>
      <c r="AD11" s="69" t="s">
        <v>3059</v>
      </c>
      <c r="AE11" s="78" t="s">
        <v>2995</v>
      </c>
      <c r="AF11" s="78" t="s">
        <v>2996</v>
      </c>
      <c r="AG11" s="78" t="s">
        <v>2997</v>
      </c>
      <c r="AJ11" s="70"/>
      <c r="AM11" s="78" t="s">
        <v>2998</v>
      </c>
      <c r="AN11" s="78" t="s">
        <v>2999</v>
      </c>
      <c r="AO11" s="78" t="s">
        <v>3000</v>
      </c>
      <c r="AP11" s="78" t="s">
        <v>3044</v>
      </c>
      <c r="AQ11" s="78" t="s">
        <v>3060</v>
      </c>
      <c r="AR11" s="78" t="s">
        <v>3061</v>
      </c>
      <c r="AS11" s="78" t="s">
        <v>3028</v>
      </c>
      <c r="AT11" s="78" t="s">
        <v>3029</v>
      </c>
      <c r="AU11" s="78" t="s">
        <v>3006</v>
      </c>
      <c r="AV11" s="78" t="s">
        <v>794</v>
      </c>
      <c r="AW11" s="78" t="s">
        <v>794</v>
      </c>
      <c r="AX11" s="78" t="s">
        <v>3062</v>
      </c>
      <c r="AY11" s="78" t="s">
        <v>3063</v>
      </c>
      <c r="AZ11" s="78" t="s">
        <v>3009</v>
      </c>
      <c r="BA11" s="78" t="s">
        <v>3006</v>
      </c>
      <c r="BC11" s="78" t="s">
        <v>3064</v>
      </c>
      <c r="BD11" s="78" t="s">
        <v>3011</v>
      </c>
      <c r="BE11" s="78" t="s">
        <v>3012</v>
      </c>
      <c r="BF11" s="74" t="s">
        <v>3065</v>
      </c>
      <c r="BG11" s="74" t="s">
        <v>3066</v>
      </c>
      <c r="BH11" s="74" t="s">
        <v>3067</v>
      </c>
      <c r="BI11" s="78" t="s">
        <v>3011</v>
      </c>
      <c r="BJ11" s="78" t="s">
        <v>3012</v>
      </c>
      <c r="BK11" s="78" t="s">
        <v>3068</v>
      </c>
      <c r="BL11" s="78" t="s">
        <v>3019</v>
      </c>
      <c r="BM11" s="78" t="s">
        <v>3069</v>
      </c>
      <c r="BN11" s="78" t="s">
        <v>3021</v>
      </c>
      <c r="BO11" s="78" t="s">
        <v>3022</v>
      </c>
      <c r="BP11" s="78" t="s">
        <v>3022</v>
      </c>
    </row>
    <row r="12" s="68" customFormat="1" ht="28" hidden="1" spans="5:68">
      <c r="E12" s="69"/>
      <c r="N12" s="70"/>
      <c r="O12" s="71"/>
      <c r="P12" s="71"/>
      <c r="R12" s="71"/>
      <c r="S12" s="72"/>
      <c r="U12" s="73"/>
      <c r="AC12" s="69"/>
      <c r="AD12" s="69"/>
      <c r="AJ12" s="70"/>
      <c r="BF12" s="74"/>
      <c r="BG12" s="74"/>
      <c r="BH12" s="74"/>
      <c r="BM12" s="78" t="s">
        <v>3070</v>
      </c>
      <c r="BN12" s="78" t="s">
        <v>3024</v>
      </c>
      <c r="BO12" s="78" t="s">
        <v>3025</v>
      </c>
      <c r="BP12" s="78" t="s">
        <v>3025</v>
      </c>
    </row>
    <row r="13" s="68" customFormat="1" ht="42" hidden="1" spans="1:68">
      <c r="A13" s="78" t="s">
        <v>3071</v>
      </c>
      <c r="B13" s="78" t="s">
        <v>3055</v>
      </c>
      <c r="C13" s="78" t="s">
        <v>3072</v>
      </c>
      <c r="D13" s="78" t="s">
        <v>3056</v>
      </c>
      <c r="E13" s="69" t="s">
        <v>3057</v>
      </c>
      <c r="F13" s="78" t="s">
        <v>2983</v>
      </c>
      <c r="G13" s="78" t="s">
        <v>3058</v>
      </c>
      <c r="J13" s="78" t="s">
        <v>2985</v>
      </c>
      <c r="K13" s="78" t="s">
        <v>2986</v>
      </c>
      <c r="L13" s="78" t="s">
        <v>2987</v>
      </c>
      <c r="M13" s="78" t="s">
        <v>2988</v>
      </c>
      <c r="N13" s="70">
        <v>1</v>
      </c>
      <c r="O13" s="71"/>
      <c r="P13" s="72">
        <v>87000</v>
      </c>
      <c r="Q13" s="78" t="s">
        <v>2989</v>
      </c>
      <c r="R13" s="71"/>
      <c r="S13" s="72"/>
      <c r="T13" s="78" t="s">
        <v>2990</v>
      </c>
      <c r="U13" s="73"/>
      <c r="V13" s="78" t="s">
        <v>2991</v>
      </c>
      <c r="W13" s="78" t="s">
        <v>2992</v>
      </c>
      <c r="X13" s="78" t="s">
        <v>2402</v>
      </c>
      <c r="Y13" s="78" t="s">
        <v>2404</v>
      </c>
      <c r="Z13" s="78" t="s">
        <v>2989</v>
      </c>
      <c r="AA13" s="78" t="s">
        <v>2989</v>
      </c>
      <c r="AB13" s="78" t="s">
        <v>2989</v>
      </c>
      <c r="AC13" s="69" t="s">
        <v>3059</v>
      </c>
      <c r="AD13" s="69" t="s">
        <v>3059</v>
      </c>
      <c r="AE13" s="78" t="s">
        <v>2995</v>
      </c>
      <c r="AF13" s="78" t="s">
        <v>2996</v>
      </c>
      <c r="AG13" s="78" t="s">
        <v>2997</v>
      </c>
      <c r="AJ13" s="70"/>
      <c r="AM13" s="78" t="s">
        <v>2998</v>
      </c>
      <c r="AN13" s="78" t="s">
        <v>2999</v>
      </c>
      <c r="AO13" s="78" t="s">
        <v>3000</v>
      </c>
      <c r="AP13" s="78" t="s">
        <v>3001</v>
      </c>
      <c r="AQ13" s="78" t="s">
        <v>3060</v>
      </c>
      <c r="AR13" s="78" t="s">
        <v>3061</v>
      </c>
      <c r="AS13" s="78" t="s">
        <v>3028</v>
      </c>
      <c r="AT13" s="78" t="s">
        <v>3029</v>
      </c>
      <c r="AU13" s="78" t="s">
        <v>3006</v>
      </c>
      <c r="AV13" s="78" t="s">
        <v>794</v>
      </c>
      <c r="AW13" s="78" t="s">
        <v>794</v>
      </c>
      <c r="AX13" s="78" t="s">
        <v>2989</v>
      </c>
      <c r="AY13" s="78" t="s">
        <v>2989</v>
      </c>
      <c r="AZ13" s="78" t="s">
        <v>3009</v>
      </c>
      <c r="BA13" s="78" t="s">
        <v>3006</v>
      </c>
      <c r="BC13" s="78" t="s">
        <v>3064</v>
      </c>
      <c r="BD13" s="78" t="s">
        <v>3011</v>
      </c>
      <c r="BE13" s="78" t="s">
        <v>3012</v>
      </c>
      <c r="BF13" s="74"/>
      <c r="BG13" s="74" t="s">
        <v>3073</v>
      </c>
      <c r="BH13" s="74" t="s">
        <v>3074</v>
      </c>
      <c r="BK13" s="78" t="s">
        <v>3075</v>
      </c>
      <c r="BL13" s="78" t="s">
        <v>3019</v>
      </c>
      <c r="BM13" s="78" t="s">
        <v>3076</v>
      </c>
      <c r="BN13" s="78" t="s">
        <v>3021</v>
      </c>
      <c r="BO13" s="78" t="s">
        <v>3022</v>
      </c>
      <c r="BP13" s="78" t="s">
        <v>2989</v>
      </c>
    </row>
    <row r="14" s="68" customFormat="1" ht="28" hidden="1" spans="5:68">
      <c r="E14" s="69"/>
      <c r="N14" s="70"/>
      <c r="O14" s="71"/>
      <c r="P14" s="71"/>
      <c r="R14" s="71"/>
      <c r="S14" s="72"/>
      <c r="U14" s="73"/>
      <c r="AC14" s="69"/>
      <c r="AD14" s="69"/>
      <c r="AJ14" s="70"/>
      <c r="BF14" s="74"/>
      <c r="BG14" s="74"/>
      <c r="BH14" s="74"/>
      <c r="BM14" s="78" t="s">
        <v>3077</v>
      </c>
      <c r="BN14" s="78" t="s">
        <v>3024</v>
      </c>
      <c r="BO14" s="78" t="s">
        <v>3025</v>
      </c>
      <c r="BP14" s="78" t="s">
        <v>2989</v>
      </c>
    </row>
  </sheetData>
  <autoFilter xmlns:etc="http://www.wps.cn/officeDocument/2017/etCustomData" ref="A1:BP14"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B2" sqref="B2:I5"/>
    </sheetView>
  </sheetViews>
  <sheetFormatPr defaultColWidth="9" defaultRowHeight="14"/>
  <cols>
    <col min="2" max="2" width="18.3727272727273" customWidth="1"/>
    <col min="5" max="6" width="11.6272727272727" customWidth="1"/>
    <col min="7" max="7" width="41.2545454545455" customWidth="1"/>
    <col min="8" max="8" width="21" customWidth="1"/>
    <col min="9" max="9" width="13" customWidth="1"/>
    <col min="10" max="10" width="18.3727272727273" customWidth="1"/>
  </cols>
  <sheetData>
    <row r="1" spans="1:9">
      <c r="A1" s="62" t="s">
        <v>3078</v>
      </c>
      <c r="B1" s="63" t="s">
        <v>3079</v>
      </c>
      <c r="C1" s="63" t="s">
        <v>3080</v>
      </c>
      <c r="D1" s="63" t="s">
        <v>3081</v>
      </c>
      <c r="E1" s="63" t="s">
        <v>3082</v>
      </c>
      <c r="F1" s="64" t="s">
        <v>3083</v>
      </c>
      <c r="G1" s="65" t="s">
        <v>3084</v>
      </c>
      <c r="H1" s="66" t="s">
        <v>2939</v>
      </c>
      <c r="I1" s="1" t="s">
        <v>3085</v>
      </c>
    </row>
    <row r="2" spans="1:10">
      <c r="A2">
        <v>1</v>
      </c>
      <c r="B2" t="str">
        <f>IF(ISBLANK(IFERROR(INDEX('2-3 引出列表'!$A$2:$CE$8700,$A2,MATCH(B$1,'2-3 引出列表'!$A$1:$CD$1,0)),"")),"",IFERROR(INDEX('2-3 引出列表'!$A$2:$CE$8700,$A2,MATCH(B$1,'2-3 引出列表'!$A$1:$CD$1,0)),""))</f>
        <v>FK250106000654</v>
      </c>
      <c r="C2">
        <f>IF(ISBLANK(IFERROR(INDEX('2-3 引出列表'!$A$2:$CE$8700,$A2,MATCH(C$1,'2-3 引出列表'!$A$1:$CD$1,0)),"")),"",IFERROR(INDEX('2-3 引出列表'!$A$2:$CE$8700,$A2,MATCH(C$1,'2-3 引出列表'!$A$1:$CD$1,0)),""))</f>
        <v>20000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2025-02-21</v>
      </c>
      <c r="F2" t="str">
        <f>LEFT(E2,7)</f>
        <v>2025-02</v>
      </c>
      <c r="G2" t="str">
        <f>IF(ISBLANK(IFERROR(INDEX('2-3 引出列表'!$A$2:$CE$8700,$A2,MATCH(G$1,'2-3 引出列表'!$A$1:$CD$1,0)),"")),"",IFERROR(INDEX('2-3 引出列表'!$A$2:$CE$8700,$A2,MATCH(G$1,'2-3 引出列表'!$A$1:$CD$1,0)),""))</f>
        <v>外包服务费.保洁外包</v>
      </c>
      <c r="H2" t="str">
        <f>IF(ISBLANK(IFERROR(INDEX('2-3 引出列表'!$A$2:$CE$8700,$A2,MATCH(H$1,'2-3 引出列表'!$A$1:$CD$1,0)),"")),"",IFERROR(INDEX('2-3 引出列表'!$A$2:$CE$8700,$A2,MATCH(H$1,'2-3 引出列表'!$A$1:$CD$1,0)),""))</f>
        <v>HJFW-Z-2024-5625</v>
      </c>
      <c r="I2" t="str">
        <f>IF(ISBLANK(IFERROR(INDEX('2-3 引出列表'!$A$2:$CE$8700,$A2,MATCH(I$1,'2-3 引出列表'!$A$1:$CD$1,0)),"")),"",IFERROR(INDEX('2-3 引出列表'!$A$2:$CE$8700,$A2,MATCH(I$1,'2-3 引出列表'!$A$1:$CD$1,0)),""))</f>
        <v>金采易购</v>
      </c>
      <c r="J2" s="67"/>
    </row>
    <row r="3" spans="1:9">
      <c r="A3">
        <v>2</v>
      </c>
      <c r="B3" t="str">
        <f>IF(ISBLANK(IFERROR(INDEX('2-3 引出列表'!$A$2:$CE$8700,$A3,MATCH(B$1,'2-3 引出列表'!$A$1:$CD$1,0)),"")),"",IFERROR(INDEX('2-3 引出列表'!$A$2:$CE$8700,$A3,MATCH(B$1,'2-3 引出列表'!$A$1:$CD$1,0)),""))</f>
        <v>FK250106000658</v>
      </c>
      <c r="C3">
        <f>IF(ISBLANK(IFERROR(INDEX('2-3 引出列表'!$A$2:$CE$8700,$A3,MATCH(C$1,'2-3 引出列表'!$A$1:$CD$1,0)),"")),"",IFERROR(INDEX('2-3 引出列表'!$A$2:$CE$8700,$A3,MATCH(C$1,'2-3 引出列表'!$A$1:$CD$1,0)),""))</f>
        <v>5000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2025-02-21</v>
      </c>
      <c r="F3" t="str">
        <f>LEFT(E3,7)</f>
        <v>2025-02</v>
      </c>
      <c r="G3" t="str">
        <f>IF(ISBLANK(IFERROR(INDEX('2-3 引出列表'!$A$2:$CE$8700,$A3,MATCH(G$1,'2-3 引出列表'!$A$1:$CD$1,0)),"")),"",IFERROR(INDEX('2-3 引出列表'!$A$2:$CE$8700,$A3,MATCH(G$1,'2-3 引出列表'!$A$1:$CD$1,0)),""))</f>
        <v>外包服务费.绿化外包</v>
      </c>
      <c r="H3" t="str">
        <f>IF(ISBLANK(IFERROR(INDEX('2-3 引出列表'!$A$2:$CE$8700,$A3,MATCH(H$1,'2-3 引出列表'!$A$1:$CD$1,0)),"")),"",IFERROR(INDEX('2-3 引出列表'!$A$2:$CE$8700,$A3,MATCH(H$1,'2-3 引出列表'!$A$1:$CD$1,0)),""))</f>
        <v>HJFW-Z-2024-5722</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FK250219000064</v>
      </c>
      <c r="C4">
        <f>IF(ISBLANK(IFERROR(INDEX('2-3 引出列表'!$A$2:$CE$8700,$A4,MATCH(C$1,'2-3 引出列表'!$A$1:$CD$1,0)),"")),"",IFERROR(INDEX('2-3 引出列表'!$A$2:$CE$8700,$A4,MATCH(C$1,'2-3 引出列表'!$A$1:$CD$1,0)),""))</f>
        <v>20000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2025-02-19</v>
      </c>
      <c r="F4" t="str">
        <f>LEFT(E4,7)</f>
        <v>2025-02</v>
      </c>
      <c r="G4" t="str">
        <f>IF(ISBLANK(IFERROR(INDEX('2-3 引出列表'!$A$2:$CE$8700,$A4,MATCH(G$1,'2-3 引出列表'!$A$1:$CD$1,0)),"")),"",IFERROR(INDEX('2-3 引出列表'!$A$2:$CE$8700,$A4,MATCH(G$1,'2-3 引出列表'!$A$1:$CD$1,0)),""))</f>
        <v>外包服务费.保洁外包</v>
      </c>
      <c r="H4" t="str">
        <f>IF(ISBLANK(IFERROR(INDEX('2-3 引出列表'!$A$2:$CE$8700,$A4,MATCH(H$1,'2-3 引出列表'!$A$1:$CD$1,0)),"")),"",IFERROR(INDEX('2-3 引出列表'!$A$2:$CE$8700,$A4,MATCH(H$1,'2-3 引出列表'!$A$1:$CD$1,0)),""))</f>
        <v>HJFW-Z-2024-5625</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FK250219000057</v>
      </c>
      <c r="C5">
        <f>IF(ISBLANK(IFERROR(INDEX('2-3 引出列表'!$A$2:$CE$8700,$A5,MATCH(C$1,'2-3 引出列表'!$A$1:$CD$1,0)),"")),"",IFERROR(INDEX('2-3 引出列表'!$A$2:$CE$8700,$A5,MATCH(C$1,'2-3 引出列表'!$A$1:$CD$1,0)),""))</f>
        <v>5000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2025-02-19</v>
      </c>
      <c r="F5" t="str">
        <f>LEFT(E5,7)</f>
        <v>2025-02</v>
      </c>
      <c r="G5" t="str">
        <f>IF(ISBLANK(IFERROR(INDEX('2-3 引出列表'!$A$2:$CE$8700,$A5,MATCH(G$1,'2-3 引出列表'!$A$1:$CD$1,0)),"")),"",IFERROR(INDEX('2-3 引出列表'!$A$2:$CE$8700,$A5,MATCH(G$1,'2-3 引出列表'!$A$1:$CD$1,0)),""))</f>
        <v>外包服务费.绿化外包</v>
      </c>
      <c r="H5" t="str">
        <f>IF(ISBLANK(IFERROR(INDEX('2-3 引出列表'!$A$2:$CE$8700,$A5,MATCH(H$1,'2-3 引出列表'!$A$1:$CD$1,0)),"")),"",IFERROR(INDEX('2-3 引出列表'!$A$2:$CE$8700,$A5,MATCH(H$1,'2-3 引出列表'!$A$1:$CD$1,0)),""))</f>
        <v>HJFW-Z-2024-5722</v>
      </c>
      <c r="I5" t="str">
        <f>IF(ISBLANK(IFERROR(INDEX('2-3 引出列表'!$A$2:$CE$8700,$A5,MATCH(I$1,'2-3 引出列表'!$A$1:$CD$1,0)),"")),"",IFERROR(INDEX('2-3 引出列表'!$A$2:$CE$8700,$A5,MATCH(I$1,'2-3 引出列表'!$A$1:$CD$1,0)),""))</f>
        <v>金采易购</v>
      </c>
    </row>
    <row r="6" spans="1:1">
      <c r="A6">
        <v>5</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ref="F2:F65" si="0">LEFT(E7,7)</f>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3086</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5"/>
  <sheetViews>
    <sheetView workbookViewId="0">
      <selection activeCell="I18" sqref="I18"/>
    </sheetView>
  </sheetViews>
  <sheetFormatPr defaultColWidth="9" defaultRowHeight="14" outlineLevelRow="4"/>
  <cols>
    <col min="1" max="16384" width="9" style="59"/>
  </cols>
  <sheetData>
    <row r="1" s="59" customFormat="1" spans="1:82">
      <c r="A1" s="60" t="s">
        <v>3078</v>
      </c>
      <c r="B1" s="60" t="s">
        <v>3087</v>
      </c>
      <c r="C1" s="60" t="s">
        <v>3079</v>
      </c>
      <c r="D1" s="60" t="s">
        <v>3088</v>
      </c>
      <c r="E1" s="60" t="s">
        <v>3089</v>
      </c>
      <c r="F1" s="60" t="s">
        <v>3090</v>
      </c>
      <c r="G1" s="60" t="s">
        <v>712</v>
      </c>
      <c r="H1" s="60" t="s">
        <v>3091</v>
      </c>
      <c r="I1" s="60" t="s">
        <v>3080</v>
      </c>
      <c r="J1" s="60" t="s">
        <v>3092</v>
      </c>
      <c r="K1" s="60" t="s">
        <v>3093</v>
      </c>
      <c r="L1" s="60" t="s">
        <v>3081</v>
      </c>
      <c r="M1" s="60" t="s">
        <v>3082</v>
      </c>
      <c r="N1" s="60" t="s">
        <v>3083</v>
      </c>
      <c r="O1" s="60" t="s">
        <v>3094</v>
      </c>
      <c r="P1" s="60" t="s">
        <v>3095</v>
      </c>
      <c r="Q1" s="60" t="s">
        <v>3096</v>
      </c>
      <c r="R1" s="60" t="s">
        <v>3097</v>
      </c>
      <c r="S1" s="60" t="s">
        <v>3098</v>
      </c>
      <c r="T1" s="60" t="s">
        <v>3085</v>
      </c>
      <c r="U1" s="60" t="s">
        <v>3099</v>
      </c>
      <c r="V1" s="60" t="s">
        <v>3100</v>
      </c>
      <c r="W1" s="60" t="s">
        <v>3101</v>
      </c>
      <c r="X1" s="60" t="s">
        <v>3102</v>
      </c>
      <c r="Y1" s="60" t="s">
        <v>3103</v>
      </c>
      <c r="Z1" s="60" t="s">
        <v>2969</v>
      </c>
      <c r="AA1" s="60" t="s">
        <v>3104</v>
      </c>
      <c r="AB1" s="60" t="s">
        <v>3105</v>
      </c>
      <c r="AC1" s="60" t="s">
        <v>3106</v>
      </c>
      <c r="AD1" s="60" t="s">
        <v>3107</v>
      </c>
      <c r="AE1" s="60" t="s">
        <v>3108</v>
      </c>
      <c r="AF1" s="60" t="s">
        <v>3109</v>
      </c>
      <c r="AG1" s="60" t="s">
        <v>3110</v>
      </c>
      <c r="AH1" s="60" t="s">
        <v>3111</v>
      </c>
      <c r="AI1" s="60" t="s">
        <v>3112</v>
      </c>
      <c r="AJ1" s="60" t="s">
        <v>3113</v>
      </c>
      <c r="AK1" s="60" t="s">
        <v>3114</v>
      </c>
      <c r="AL1" s="60" t="s">
        <v>3115</v>
      </c>
      <c r="AM1" s="60" t="s">
        <v>3116</v>
      </c>
      <c r="AN1" s="60" t="s">
        <v>3117</v>
      </c>
      <c r="AO1" s="60" t="s">
        <v>3118</v>
      </c>
      <c r="AP1" s="60" t="s">
        <v>2971</v>
      </c>
      <c r="AQ1" s="60" t="s">
        <v>3119</v>
      </c>
      <c r="AR1" s="60" t="s">
        <v>3120</v>
      </c>
      <c r="AS1" s="60" t="s">
        <v>3121</v>
      </c>
      <c r="AT1" s="60" t="s">
        <v>3122</v>
      </c>
      <c r="AU1" s="60" t="s">
        <v>3123</v>
      </c>
      <c r="AV1" s="60" t="s">
        <v>3124</v>
      </c>
      <c r="AW1" s="60" t="s">
        <v>2970</v>
      </c>
      <c r="AX1" s="60" t="s">
        <v>3125</v>
      </c>
      <c r="AY1" s="60" t="s">
        <v>3126</v>
      </c>
      <c r="AZ1" s="60" t="s">
        <v>3127</v>
      </c>
      <c r="BA1" s="60" t="s">
        <v>3128</v>
      </c>
      <c r="BB1" s="60" t="s">
        <v>3129</v>
      </c>
      <c r="BC1" s="60" t="s">
        <v>3130</v>
      </c>
      <c r="BD1" s="60" t="s">
        <v>3084</v>
      </c>
      <c r="BE1" s="60" t="s">
        <v>2939</v>
      </c>
      <c r="BF1" s="60" t="s">
        <v>3131</v>
      </c>
      <c r="BG1" s="60" t="s">
        <v>3132</v>
      </c>
      <c r="BH1" s="60" t="s">
        <v>3133</v>
      </c>
      <c r="BI1" s="60" t="s">
        <v>3134</v>
      </c>
      <c r="BJ1" s="60" t="s">
        <v>3135</v>
      </c>
      <c r="BK1" s="60" t="s">
        <v>3136</v>
      </c>
      <c r="BL1" s="60" t="s">
        <v>3137</v>
      </c>
      <c r="BM1" s="60" t="s">
        <v>3138</v>
      </c>
      <c r="BN1" s="60" t="s">
        <v>3139</v>
      </c>
      <c r="BO1" s="60" t="s">
        <v>3140</v>
      </c>
      <c r="BP1" s="60" t="s">
        <v>3141</v>
      </c>
      <c r="BQ1" s="60" t="s">
        <v>3142</v>
      </c>
      <c r="BR1" s="60" t="s">
        <v>3143</v>
      </c>
      <c r="BS1" s="60" t="s">
        <v>3144</v>
      </c>
      <c r="BT1" s="60" t="s">
        <v>3145</v>
      </c>
      <c r="BU1" s="60" t="s">
        <v>3146</v>
      </c>
      <c r="BV1" s="60" t="s">
        <v>3147</v>
      </c>
      <c r="BW1" s="60" t="s">
        <v>3148</v>
      </c>
      <c r="BX1" s="60" t="s">
        <v>3149</v>
      </c>
      <c r="BY1" s="60" t="s">
        <v>3150</v>
      </c>
      <c r="BZ1" s="60" t="s">
        <v>3151</v>
      </c>
      <c r="CA1" s="60" t="s">
        <v>3152</v>
      </c>
      <c r="CB1" s="60" t="s">
        <v>3153</v>
      </c>
      <c r="CC1" s="60" t="s">
        <v>3154</v>
      </c>
      <c r="CD1" s="60" t="s">
        <v>3155</v>
      </c>
    </row>
    <row r="2" s="59" customFormat="1" spans="1:79">
      <c r="A2" s="59" t="s">
        <v>3156</v>
      </c>
      <c r="C2" s="59" t="s">
        <v>3157</v>
      </c>
      <c r="E2" s="59" t="s">
        <v>3158</v>
      </c>
      <c r="F2" s="59" t="s">
        <v>3159</v>
      </c>
      <c r="G2" s="59" t="s">
        <v>721</v>
      </c>
      <c r="H2" s="59" t="s">
        <v>3025</v>
      </c>
      <c r="I2" s="59">
        <v>20000</v>
      </c>
      <c r="L2" s="59" t="s">
        <v>3160</v>
      </c>
      <c r="M2" s="59" t="s">
        <v>3161</v>
      </c>
      <c r="N2" s="59" t="s">
        <v>3162</v>
      </c>
      <c r="Q2" s="59" t="s">
        <v>3025</v>
      </c>
      <c r="R2" s="59" t="s">
        <v>3163</v>
      </c>
      <c r="S2" s="59" t="s">
        <v>3164</v>
      </c>
      <c r="T2" s="59" t="s">
        <v>3165</v>
      </c>
      <c r="V2" s="59" t="s">
        <v>2986</v>
      </c>
      <c r="X2" s="59" t="s">
        <v>3166</v>
      </c>
      <c r="Y2" s="59" t="s">
        <v>3167</v>
      </c>
      <c r="Z2" s="59" t="s">
        <v>3168</v>
      </c>
      <c r="AA2" s="59" t="s">
        <v>3161</v>
      </c>
      <c r="AC2" s="59" t="s">
        <v>3169</v>
      </c>
      <c r="AK2" s="59" t="s">
        <v>1292</v>
      </c>
      <c r="AL2" s="59" t="s">
        <v>3170</v>
      </c>
      <c r="AN2" s="59" t="s">
        <v>3171</v>
      </c>
      <c r="AP2" s="61">
        <v>45709.7447685185</v>
      </c>
      <c r="AR2" s="59" t="s">
        <v>3172</v>
      </c>
      <c r="AS2" s="59" t="s">
        <v>3022</v>
      </c>
      <c r="AT2" s="59" t="s">
        <v>3173</v>
      </c>
      <c r="AU2" s="59" t="s">
        <v>3174</v>
      </c>
      <c r="AW2" s="61">
        <v>45666.6673842593</v>
      </c>
      <c r="AX2" s="59" t="s">
        <v>3170</v>
      </c>
      <c r="AY2" s="59" t="s">
        <v>3175</v>
      </c>
      <c r="BC2" s="59" t="s">
        <v>3029</v>
      </c>
      <c r="BD2" s="59" t="s">
        <v>3176</v>
      </c>
      <c r="BE2" s="59" t="s">
        <v>2823</v>
      </c>
      <c r="BF2" s="59" t="s">
        <v>3177</v>
      </c>
      <c r="BI2" s="59" t="s">
        <v>2809</v>
      </c>
      <c r="BL2" s="59">
        <v>3228747</v>
      </c>
      <c r="BM2" s="59" t="s">
        <v>3178</v>
      </c>
      <c r="BO2" s="59">
        <v>20000</v>
      </c>
      <c r="BP2" s="59" t="s">
        <v>3179</v>
      </c>
      <c r="BR2" s="59" t="s">
        <v>3180</v>
      </c>
      <c r="BS2" s="59" t="s">
        <v>1292</v>
      </c>
      <c r="BV2" s="59" t="s">
        <v>3181</v>
      </c>
      <c r="BX2" s="59">
        <v>20000</v>
      </c>
      <c r="CA2" s="59" t="s">
        <v>3181</v>
      </c>
    </row>
    <row r="3" spans="1:79">
      <c r="A3" s="59" t="s">
        <v>3182</v>
      </c>
      <c r="C3" s="59" t="s">
        <v>3183</v>
      </c>
      <c r="E3" s="59" t="s">
        <v>3158</v>
      </c>
      <c r="F3" s="59" t="s">
        <v>3184</v>
      </c>
      <c r="G3" s="59" t="s">
        <v>721</v>
      </c>
      <c r="H3" s="59" t="s">
        <v>3025</v>
      </c>
      <c r="I3" s="59">
        <v>5000</v>
      </c>
      <c r="L3" s="59" t="s">
        <v>3160</v>
      </c>
      <c r="M3" s="59" t="s">
        <v>3161</v>
      </c>
      <c r="N3" s="59" t="s">
        <v>3162</v>
      </c>
      <c r="Q3" s="59" t="s">
        <v>3025</v>
      </c>
      <c r="R3" s="59" t="s">
        <v>3163</v>
      </c>
      <c r="S3" s="59" t="s">
        <v>3164</v>
      </c>
      <c r="T3" s="59" t="s">
        <v>3165</v>
      </c>
      <c r="V3" s="59" t="s">
        <v>2986</v>
      </c>
      <c r="X3" s="59" t="s">
        <v>3185</v>
      </c>
      <c r="Y3" s="59" t="s">
        <v>3167</v>
      </c>
      <c r="Z3" s="59" t="s">
        <v>3168</v>
      </c>
      <c r="AA3" s="59" t="s">
        <v>3161</v>
      </c>
      <c r="AC3" s="59" t="s">
        <v>3169</v>
      </c>
      <c r="AK3" s="59" t="s">
        <v>1292</v>
      </c>
      <c r="AL3" s="59" t="s">
        <v>3186</v>
      </c>
      <c r="AN3" s="59" t="s">
        <v>3171</v>
      </c>
      <c r="AP3" s="59">
        <v>45709.7447916667</v>
      </c>
      <c r="AR3" s="59" t="s">
        <v>3172</v>
      </c>
      <c r="AS3" s="59" t="s">
        <v>3022</v>
      </c>
      <c r="AT3" s="59" t="s">
        <v>3173</v>
      </c>
      <c r="AU3" s="59" t="s">
        <v>3187</v>
      </c>
      <c r="AW3" s="59">
        <v>45666.6614930556</v>
      </c>
      <c r="AX3" s="59" t="s">
        <v>3186</v>
      </c>
      <c r="AY3" s="59" t="s">
        <v>3175</v>
      </c>
      <c r="BC3" s="59" t="s">
        <v>3188</v>
      </c>
      <c r="BD3" s="59" t="s">
        <v>3189</v>
      </c>
      <c r="BE3" s="59" t="s">
        <v>2824</v>
      </c>
      <c r="BF3" s="59" t="s">
        <v>3177</v>
      </c>
      <c r="BI3" s="59" t="s">
        <v>2809</v>
      </c>
      <c r="BL3" s="59">
        <v>3228746</v>
      </c>
      <c r="BM3" s="59" t="s">
        <v>3190</v>
      </c>
      <c r="BO3" s="59">
        <v>5000</v>
      </c>
      <c r="BP3" s="59" t="s">
        <v>3179</v>
      </c>
      <c r="BR3" s="59" t="s">
        <v>3191</v>
      </c>
      <c r="BS3" s="59" t="s">
        <v>1292</v>
      </c>
      <c r="BV3" s="59" t="s">
        <v>3181</v>
      </c>
      <c r="BX3" s="59">
        <v>5000</v>
      </c>
      <c r="CA3" s="59" t="s">
        <v>3181</v>
      </c>
    </row>
    <row r="4" spans="1:76">
      <c r="A4" s="59" t="s">
        <v>3192</v>
      </c>
      <c r="C4" s="59" t="s">
        <v>3193</v>
      </c>
      <c r="E4" s="59" t="s">
        <v>3158</v>
      </c>
      <c r="F4" s="59" t="s">
        <v>3194</v>
      </c>
      <c r="G4" s="59" t="s">
        <v>721</v>
      </c>
      <c r="H4" s="59" t="s">
        <v>3025</v>
      </c>
      <c r="I4" s="59">
        <v>20000</v>
      </c>
      <c r="L4" s="59" t="s">
        <v>3160</v>
      </c>
      <c r="M4" s="59" t="s">
        <v>3195</v>
      </c>
      <c r="N4" s="59" t="s">
        <v>3195</v>
      </c>
      <c r="Q4" s="59" t="s">
        <v>3025</v>
      </c>
      <c r="R4" s="59" t="s">
        <v>3163</v>
      </c>
      <c r="S4" s="59" t="s">
        <v>3164</v>
      </c>
      <c r="T4" s="59" t="s">
        <v>3165</v>
      </c>
      <c r="V4" s="59" t="s">
        <v>2986</v>
      </c>
      <c r="X4" s="59" t="s">
        <v>3196</v>
      </c>
      <c r="Y4" s="59" t="s">
        <v>3167</v>
      </c>
      <c r="Z4" s="59" t="s">
        <v>3172</v>
      </c>
      <c r="AA4" s="59" t="s">
        <v>3197</v>
      </c>
      <c r="AC4" s="59" t="s">
        <v>3198</v>
      </c>
      <c r="AK4" s="59" t="s">
        <v>1292</v>
      </c>
      <c r="AL4" s="59" t="s">
        <v>3199</v>
      </c>
      <c r="AP4" s="59">
        <v>45758.8131481481</v>
      </c>
      <c r="AS4" s="59" t="s">
        <v>3022</v>
      </c>
      <c r="AT4" s="59" t="s">
        <v>3173</v>
      </c>
      <c r="AU4" s="59" t="s">
        <v>3200</v>
      </c>
      <c r="AW4" s="59">
        <v>45715.7596527778</v>
      </c>
      <c r="AX4" s="59" t="s">
        <v>3199</v>
      </c>
      <c r="AY4" s="59" t="s">
        <v>3175</v>
      </c>
      <c r="BC4" s="59" t="s">
        <v>3029</v>
      </c>
      <c r="BD4" s="59" t="s">
        <v>3176</v>
      </c>
      <c r="BE4" s="59" t="s">
        <v>2823</v>
      </c>
      <c r="BF4" s="59" t="s">
        <v>3177</v>
      </c>
      <c r="BI4" s="59" t="s">
        <v>2809</v>
      </c>
      <c r="BL4" s="59">
        <v>3228747</v>
      </c>
      <c r="BM4" s="59" t="s">
        <v>3201</v>
      </c>
      <c r="BO4" s="59">
        <v>20000</v>
      </c>
      <c r="BP4" s="59" t="s">
        <v>3202</v>
      </c>
      <c r="BR4" s="59" t="s">
        <v>3203</v>
      </c>
      <c r="BS4" s="59" t="s">
        <v>1292</v>
      </c>
      <c r="BV4" s="59" t="s">
        <v>3181</v>
      </c>
      <c r="BX4" s="59">
        <v>20000</v>
      </c>
    </row>
    <row r="5" spans="1:76">
      <c r="A5" s="59" t="s">
        <v>3204</v>
      </c>
      <c r="C5" s="59" t="s">
        <v>3205</v>
      </c>
      <c r="E5" s="59" t="s">
        <v>3158</v>
      </c>
      <c r="F5" s="59" t="s">
        <v>3206</v>
      </c>
      <c r="G5" s="59" t="s">
        <v>721</v>
      </c>
      <c r="H5" s="59" t="s">
        <v>3025</v>
      </c>
      <c r="I5" s="59">
        <v>5000</v>
      </c>
      <c r="L5" s="59" t="s">
        <v>3160</v>
      </c>
      <c r="M5" s="59" t="s">
        <v>3195</v>
      </c>
      <c r="N5" s="59" t="s">
        <v>3195</v>
      </c>
      <c r="Q5" s="59" t="s">
        <v>3025</v>
      </c>
      <c r="R5" s="59" t="s">
        <v>3163</v>
      </c>
      <c r="S5" s="59" t="s">
        <v>3164</v>
      </c>
      <c r="T5" s="59" t="s">
        <v>3165</v>
      </c>
      <c r="V5" s="59" t="s">
        <v>2986</v>
      </c>
      <c r="X5" s="59" t="s">
        <v>3207</v>
      </c>
      <c r="Y5" s="59" t="s">
        <v>3167</v>
      </c>
      <c r="Z5" s="59" t="s">
        <v>3208</v>
      </c>
      <c r="AA5" s="59" t="s">
        <v>3209</v>
      </c>
      <c r="AC5" s="59" t="s">
        <v>3198</v>
      </c>
      <c r="AK5" s="59" t="s">
        <v>1292</v>
      </c>
      <c r="AL5" s="59" t="s">
        <v>3210</v>
      </c>
      <c r="AP5" s="59">
        <v>45771.7794097222</v>
      </c>
      <c r="AS5" s="59" t="s">
        <v>3022</v>
      </c>
      <c r="AT5" s="59" t="s">
        <v>3173</v>
      </c>
      <c r="AU5" s="59" t="s">
        <v>3211</v>
      </c>
      <c r="AW5" s="59">
        <v>45722.6020717593</v>
      </c>
      <c r="AX5" s="59" t="s">
        <v>3210</v>
      </c>
      <c r="AY5" s="59" t="s">
        <v>3175</v>
      </c>
      <c r="BC5" s="59" t="s">
        <v>3188</v>
      </c>
      <c r="BD5" s="59" t="s">
        <v>3189</v>
      </c>
      <c r="BE5" s="59" t="s">
        <v>2824</v>
      </c>
      <c r="BF5" s="59" t="s">
        <v>3177</v>
      </c>
      <c r="BI5" s="59" t="s">
        <v>2809</v>
      </c>
      <c r="BL5" s="59">
        <v>3228746</v>
      </c>
      <c r="BM5" s="59" t="s">
        <v>3212</v>
      </c>
      <c r="BO5" s="59">
        <v>5000</v>
      </c>
      <c r="BP5" s="59" t="s">
        <v>3202</v>
      </c>
      <c r="BR5" s="59" t="s">
        <v>3213</v>
      </c>
      <c r="BS5" s="59" t="s">
        <v>1292</v>
      </c>
      <c r="BV5" s="59" t="s">
        <v>3181</v>
      </c>
      <c r="BX5" s="59">
        <v>5000</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K13" sqref="K13"/>
    </sheetView>
  </sheetViews>
  <sheetFormatPr defaultColWidth="9" defaultRowHeight="14"/>
  <cols>
    <col min="1" max="1" width="30.7545454545455" style="55" customWidth="1"/>
    <col min="4" max="5" width="10.3727272727273" customWidth="1"/>
    <col min="7" max="7" width="10.3727272727273" customWidth="1"/>
  </cols>
  <sheetData>
    <row r="1" spans="2:13">
      <c r="B1" s="27" t="s">
        <v>3214</v>
      </c>
      <c r="C1" s="27" t="s">
        <v>3215</v>
      </c>
      <c r="D1" s="27" t="s">
        <v>3216</v>
      </c>
      <c r="E1" s="27" t="s">
        <v>3217</v>
      </c>
      <c r="F1" s="27" t="s">
        <v>3218</v>
      </c>
      <c r="G1" s="27" t="s">
        <v>3219</v>
      </c>
      <c r="H1" s="27" t="s">
        <v>3220</v>
      </c>
      <c r="I1" s="27" t="s">
        <v>3221</v>
      </c>
      <c r="J1" s="27" t="s">
        <v>3222</v>
      </c>
      <c r="K1" s="27" t="s">
        <v>3223</v>
      </c>
      <c r="L1" s="27" t="s">
        <v>3224</v>
      </c>
      <c r="M1" s="27" t="s">
        <v>3225</v>
      </c>
    </row>
    <row r="2" s="53" customFormat="1" spans="1:13">
      <c r="A2" s="56" t="s">
        <v>3226</v>
      </c>
      <c r="B2" s="53">
        <f>SUMIFS(引用修正!$C$2:$C$10000,引用修正!$G$2:$G$10000,$A2,引用修正!$F$2:$F$10000,B$1,引用修正!$H$2:$H$10000,"0",引用修正!$I$2:$I$10000,"0")</f>
        <v>0</v>
      </c>
      <c r="C2" s="53">
        <f>SUMIFS(引用修正!$C$2:$C$10000,引用修正!$G$2:$G$10000,$A2,引用修正!$F$2:$F$10000,C$1,引用修正!$H$2:$H$10000,"0",引用修正!$I$2:$I$10000,"0")</f>
        <v>0</v>
      </c>
      <c r="D2" s="53">
        <f>SUMIFS(引用修正!$C$2:$C$10000,引用修正!$G$2:$G$10000,$A2,引用修正!$F$2:$F$10000,D$1,引用修正!$H$2:$H$10000,"0",引用修正!$I$2:$I$10000,"0")</f>
        <v>0</v>
      </c>
      <c r="E2" s="53">
        <f>SUMIFS(引用修正!$C$2:$C$10000,引用修正!$G$2:$G$10000,$A2,引用修正!$F$2:$F$10000,E$1,引用修正!$H$2:$H$10000,"0",引用修正!$I$2:$I$10000,"0")</f>
        <v>0</v>
      </c>
      <c r="F2" s="53">
        <f>SUMIFS(引用修正!$C$2:$C$10000,引用修正!$G$2:$G$10000,$A2,引用修正!$F$2:$F$10000,F$1,引用修正!$H$2:$H$10000,"0",引用修正!$I$2:$I$10000,"0")</f>
        <v>0</v>
      </c>
      <c r="G2" s="53">
        <f>SUMIFS(引用修正!$C$2:$C$10000,引用修正!$G$2:$G$10000,$A2,引用修正!$F$2:$F$10000,G$1,引用修正!$H$2:$H$10000,"0",引用修正!$I$2:$I$10000,"0")</f>
        <v>0</v>
      </c>
      <c r="H2" s="53">
        <f>SUMIFS(引用修正!$C$2:$C$10000,引用修正!$G$2:$G$10000,$A2,引用修正!$F$2:$F$10000,H$1,引用修正!$H$2:$H$10000,"0",引用修正!$I$2:$I$10000,"0")</f>
        <v>0</v>
      </c>
      <c r="I2" s="53">
        <f>SUMIFS(引用修正!$C$2:$C$10000,引用修正!$G$2:$G$10000,$A2,引用修正!$F$2:$F$10000,I$1,引用修正!$H$2:$H$10000,"0",引用修正!$I$2:$I$10000,"0")</f>
        <v>0</v>
      </c>
      <c r="J2" s="53">
        <f>SUMIFS(引用修正!$C$2:$C$10000,引用修正!$G$2:$G$10000,$A2,引用修正!$F$2:$F$10000,J$1,引用修正!$H$2:$H$10000,"0",引用修正!$I$2:$I$10000,"0")</f>
        <v>0</v>
      </c>
      <c r="K2" s="53">
        <f>SUMIFS(引用修正!$C$2:$C$10000,引用修正!$G$2:$G$10000,$A2,引用修正!$F$2:$F$10000,K$1,引用修正!$H$2:$H$10000,"0",引用修正!$I$2:$I$10000,"0")</f>
        <v>0</v>
      </c>
      <c r="L2" s="53">
        <f>SUMIFS(引用修正!$C$2:$C$10000,引用修正!$G$2:$G$10000,$A2,引用修正!$F$2:$F$10000,L$1,引用修正!$H$2:$H$10000,"0",引用修正!$I$2:$I$10000,"0")</f>
        <v>0</v>
      </c>
      <c r="M2" s="53">
        <f>SUMIFS(引用修正!$C$2:$C$10000,引用修正!$G$2:$G$10000,$A2,引用修正!$F$2:$F$10000,M$1,引用修正!$H$2:$H$10000,"0",引用修正!$I$2:$I$10000,"0")</f>
        <v>0</v>
      </c>
    </row>
    <row r="3" s="53" customFormat="1" spans="1:13">
      <c r="A3" s="56" t="s">
        <v>3227</v>
      </c>
      <c r="B3" s="53">
        <f>SUMIFS(引用修正!$C$2:$C$10000,引用修正!$G$2:$G$10000,$A3,引用修正!$F$2:$F$10000,B$1,引用修正!$H$2:$H$10000,"0",引用修正!$I$2:$I$10000,"0")</f>
        <v>0</v>
      </c>
      <c r="C3" s="53">
        <f>SUMIFS(引用修正!$C$2:$C$10000,引用修正!$G$2:$G$10000,$A3,引用修正!$F$2:$F$10000,C$1,引用修正!$H$2:$H$10000,"0",引用修正!$I$2:$I$10000,"0")</f>
        <v>0</v>
      </c>
      <c r="D3" s="53">
        <f>SUMIFS(引用修正!$C$2:$C$10000,引用修正!$G$2:$G$10000,$A3,引用修正!$F$2:$F$10000,D$1,引用修正!$H$2:$H$10000,"0",引用修正!$I$2:$I$10000,"0")</f>
        <v>0</v>
      </c>
      <c r="E3" s="53">
        <f>SUMIFS(引用修正!$C$2:$C$10000,引用修正!$G$2:$G$10000,$A3,引用修正!$F$2:$F$10000,E$1,引用修正!$H$2:$H$10000,"0",引用修正!$I$2:$I$10000,"0")</f>
        <v>0</v>
      </c>
      <c r="F3" s="53">
        <f>SUMIFS(引用修正!$C$2:$C$10000,引用修正!$G$2:$G$10000,$A3,引用修正!$F$2:$F$10000,F$1,引用修正!$H$2:$H$10000,"0",引用修正!$I$2:$I$10000,"0")</f>
        <v>0</v>
      </c>
      <c r="G3" s="53">
        <f>SUMIFS(引用修正!$C$2:$C$10000,引用修正!$G$2:$G$10000,$A3,引用修正!$F$2:$F$10000,G$1,引用修正!$H$2:$H$10000,"0",引用修正!$I$2:$I$10000,"0")</f>
        <v>0</v>
      </c>
      <c r="H3" s="53">
        <f>SUMIFS(引用修正!$C$2:$C$10000,引用修正!$G$2:$G$10000,$A3,引用修正!$F$2:$F$10000,H$1,引用修正!$H$2:$H$10000,"0",引用修正!$I$2:$I$10000,"0")</f>
        <v>0</v>
      </c>
      <c r="I3" s="53">
        <f>SUMIFS(引用修正!$C$2:$C$10000,引用修正!$G$2:$G$10000,$A3,引用修正!$F$2:$F$10000,I$1,引用修正!$H$2:$H$10000,"0",引用修正!$I$2:$I$10000,"0")</f>
        <v>0</v>
      </c>
      <c r="J3" s="53">
        <f>SUMIFS(引用修正!$C$2:$C$10000,引用修正!$G$2:$G$10000,$A3,引用修正!$F$2:$F$10000,J$1,引用修正!$H$2:$H$10000,"0",引用修正!$I$2:$I$10000,"0")</f>
        <v>0</v>
      </c>
      <c r="K3" s="53">
        <f>SUMIFS(引用修正!$C$2:$C$10000,引用修正!$G$2:$G$10000,$A3,引用修正!$F$2:$F$10000,K$1,引用修正!$H$2:$H$10000,"0",引用修正!$I$2:$I$10000,"0")</f>
        <v>0</v>
      </c>
      <c r="L3" s="53">
        <f>SUMIFS(引用修正!$C$2:$C$10000,引用修正!$G$2:$G$10000,$A3,引用修正!$F$2:$F$10000,L$1,引用修正!$H$2:$H$10000,"0",引用修正!$I$2:$I$10000,"0")</f>
        <v>0</v>
      </c>
      <c r="M3" s="53">
        <f>SUMIFS(引用修正!$C$2:$C$10000,引用修正!$G$2:$G$10000,$A3,引用修正!$F$2:$F$10000,M$1,引用修正!$H$2:$H$10000,"0",引用修正!$I$2:$I$10000,"0")</f>
        <v>0</v>
      </c>
    </row>
    <row r="4" s="53" customFormat="1" spans="1:13">
      <c r="A4" s="56" t="s">
        <v>3228</v>
      </c>
      <c r="B4" s="53">
        <f>SUMIFS(引用修正!$C$2:$C$10000,引用修正!$G$2:$G$10000,$A4,引用修正!$F$2:$F$10000,B$1,引用修正!$H$2:$H$10000,"0",引用修正!$I$2:$I$10000,"0")</f>
        <v>0</v>
      </c>
      <c r="C4" s="53">
        <f>SUMIFS(引用修正!$C$2:$C$10000,引用修正!$G$2:$G$10000,$A4,引用修正!$F$2:$F$10000,C$1,引用修正!$H$2:$H$10000,"0",引用修正!$I$2:$I$10000,"0")</f>
        <v>0</v>
      </c>
      <c r="D4" s="53">
        <f>SUMIFS(引用修正!$C$2:$C$10000,引用修正!$G$2:$G$10000,$A4,引用修正!$F$2:$F$10000,D$1,引用修正!$H$2:$H$10000,"0",引用修正!$I$2:$I$10000,"0")</f>
        <v>0</v>
      </c>
      <c r="E4" s="53">
        <f>SUMIFS(引用修正!$C$2:$C$10000,引用修正!$G$2:$G$10000,$A4,引用修正!$F$2:$F$10000,E$1,引用修正!$H$2:$H$10000,"0",引用修正!$I$2:$I$10000,"0")</f>
        <v>0</v>
      </c>
      <c r="F4" s="53">
        <f>SUMIFS(引用修正!$C$2:$C$10000,引用修正!$G$2:$G$10000,$A4,引用修正!$F$2:$F$10000,F$1,引用修正!$H$2:$H$10000,"0",引用修正!$I$2:$I$10000,"0")</f>
        <v>0</v>
      </c>
      <c r="G4" s="53">
        <f>SUMIFS(引用修正!$C$2:$C$10000,引用修正!$G$2:$G$10000,$A4,引用修正!$F$2:$F$10000,G$1,引用修正!$H$2:$H$10000,"0",引用修正!$I$2:$I$10000,"0")</f>
        <v>0</v>
      </c>
      <c r="H4" s="53">
        <f>SUMIFS(引用修正!$C$2:$C$10000,引用修正!$G$2:$G$10000,$A4,引用修正!$F$2:$F$10000,H$1,引用修正!$H$2:$H$10000,"0",引用修正!$I$2:$I$10000,"0")</f>
        <v>0</v>
      </c>
      <c r="I4" s="53">
        <f>SUMIFS(引用修正!$C$2:$C$10000,引用修正!$G$2:$G$10000,$A4,引用修正!$F$2:$F$10000,I$1,引用修正!$H$2:$H$10000,"0",引用修正!$I$2:$I$10000,"0")</f>
        <v>0</v>
      </c>
      <c r="J4" s="53">
        <f>SUMIFS(引用修正!$C$2:$C$10000,引用修正!$G$2:$G$10000,$A4,引用修正!$F$2:$F$10000,J$1,引用修正!$H$2:$H$10000,"0",引用修正!$I$2:$I$10000,"0")</f>
        <v>0</v>
      </c>
      <c r="K4" s="53">
        <f>SUMIFS(引用修正!$C$2:$C$10000,引用修正!$G$2:$G$10000,$A4,引用修正!$F$2:$F$10000,K$1,引用修正!$H$2:$H$10000,"0",引用修正!$I$2:$I$10000,"0")</f>
        <v>0</v>
      </c>
      <c r="L4" s="53">
        <f>SUMIFS(引用修正!$C$2:$C$10000,引用修正!$G$2:$G$10000,$A4,引用修正!$F$2:$F$10000,L$1,引用修正!$H$2:$H$10000,"0",引用修正!$I$2:$I$10000,"0")</f>
        <v>0</v>
      </c>
      <c r="M4" s="53">
        <f>SUMIFS(引用修正!$C$2:$C$10000,引用修正!$G$2:$G$10000,$A4,引用修正!$F$2:$F$10000,M$1,引用修正!$H$2:$H$10000,"0",引用修正!$I$2:$I$10000,"0")</f>
        <v>0</v>
      </c>
    </row>
    <row r="5" s="53" customFormat="1" spans="1:13">
      <c r="A5" s="56" t="s">
        <v>3229</v>
      </c>
      <c r="B5" s="53">
        <f>SUMIFS(引用修正!$C$2:$C$10000,引用修正!$G$2:$G$10000,$A5,引用修正!$F$2:$F$10000,B$1,引用修正!$H$2:$H$10000,"0",引用修正!$I$2:$I$10000,"0")</f>
        <v>0</v>
      </c>
      <c r="C5" s="53">
        <f>SUMIFS(引用修正!$C$2:$C$10000,引用修正!$G$2:$G$10000,$A5,引用修正!$F$2:$F$10000,C$1,引用修正!$H$2:$H$10000,"0",引用修正!$I$2:$I$10000,"0")</f>
        <v>0</v>
      </c>
      <c r="D5" s="53">
        <f>SUMIFS(引用修正!$C$2:$C$10000,引用修正!$G$2:$G$10000,$A5,引用修正!$F$2:$F$10000,D$1,引用修正!$H$2:$H$10000,"0",引用修正!$I$2:$I$10000,"0")</f>
        <v>0</v>
      </c>
      <c r="E5" s="53">
        <f>SUMIFS(引用修正!$C$2:$C$10000,引用修正!$G$2:$G$10000,$A5,引用修正!$F$2:$F$10000,E$1,引用修正!$H$2:$H$10000,"0",引用修正!$I$2:$I$10000,"0")</f>
        <v>0</v>
      </c>
      <c r="F5" s="53">
        <f>SUMIFS(引用修正!$C$2:$C$10000,引用修正!$G$2:$G$10000,$A5,引用修正!$F$2:$F$10000,F$1,引用修正!$H$2:$H$10000,"0",引用修正!$I$2:$I$10000,"0")</f>
        <v>0</v>
      </c>
      <c r="G5" s="53">
        <f>SUMIFS(引用修正!$C$2:$C$10000,引用修正!$G$2:$G$10000,$A5,引用修正!$F$2:$F$10000,G$1,引用修正!$H$2:$H$10000,"0",引用修正!$I$2:$I$10000,"0")</f>
        <v>0</v>
      </c>
      <c r="H5" s="53">
        <f>SUMIFS(引用修正!$C$2:$C$10000,引用修正!$G$2:$G$10000,$A5,引用修正!$F$2:$F$10000,H$1,引用修正!$H$2:$H$10000,"0",引用修正!$I$2:$I$10000,"0")</f>
        <v>0</v>
      </c>
      <c r="I5" s="53">
        <f>SUMIFS(引用修正!$C$2:$C$10000,引用修正!$G$2:$G$10000,$A5,引用修正!$F$2:$F$10000,I$1,引用修正!$H$2:$H$10000,"0",引用修正!$I$2:$I$10000,"0")</f>
        <v>0</v>
      </c>
      <c r="J5" s="53">
        <f>SUMIFS(引用修正!$C$2:$C$10000,引用修正!$G$2:$G$10000,$A5,引用修正!$F$2:$F$10000,J$1,引用修正!$H$2:$H$10000,"0",引用修正!$I$2:$I$10000,"0")</f>
        <v>0</v>
      </c>
      <c r="K5" s="53">
        <f>SUMIFS(引用修正!$C$2:$C$10000,引用修正!$G$2:$G$10000,$A5,引用修正!$F$2:$F$10000,K$1,引用修正!$H$2:$H$10000,"0",引用修正!$I$2:$I$10000,"0")</f>
        <v>0</v>
      </c>
      <c r="L5" s="53">
        <f>SUMIFS(引用修正!$C$2:$C$10000,引用修正!$G$2:$G$10000,$A5,引用修正!$F$2:$F$10000,L$1,引用修正!$H$2:$H$10000,"0",引用修正!$I$2:$I$10000,"0")</f>
        <v>0</v>
      </c>
      <c r="M5" s="53">
        <f>SUMIFS(引用修正!$C$2:$C$10000,引用修正!$G$2:$G$10000,$A5,引用修正!$F$2:$F$10000,M$1,引用修正!$H$2:$H$10000,"0",引用修正!$I$2:$I$10000,"0")</f>
        <v>0</v>
      </c>
    </row>
    <row r="6" s="53" customFormat="1" spans="1:13">
      <c r="A6" s="56" t="s">
        <v>3230</v>
      </c>
      <c r="B6" s="53">
        <f>SUMIFS(引用修正!$C$2:$C$10000,引用修正!$G$2:$G$10000,$A6,引用修正!$F$2:$F$10000,B$1,引用修正!$H$2:$H$10000,"0",引用修正!$I$2:$I$10000,"0")</f>
        <v>0</v>
      </c>
      <c r="C6" s="53">
        <f>SUMIFS(引用修正!$C$2:$C$10000,引用修正!$G$2:$G$10000,$A6,引用修正!$F$2:$F$10000,C$1,引用修正!$H$2:$H$10000,"0",引用修正!$I$2:$I$10000,"0")</f>
        <v>0</v>
      </c>
      <c r="D6" s="53">
        <f>SUMIFS(引用修正!$C$2:$C$10000,引用修正!$G$2:$G$10000,$A6,引用修正!$F$2:$F$10000,D$1,引用修正!$H$2:$H$10000,"0",引用修正!$I$2:$I$10000,"0")</f>
        <v>0</v>
      </c>
      <c r="E6" s="53">
        <f>SUMIFS(引用修正!$C$2:$C$10000,引用修正!$G$2:$G$10000,$A6,引用修正!$F$2:$F$10000,E$1,引用修正!$H$2:$H$10000,"0",引用修正!$I$2:$I$10000,"0")</f>
        <v>0</v>
      </c>
      <c r="F6" s="53">
        <f>SUMIFS(引用修正!$C$2:$C$10000,引用修正!$G$2:$G$10000,$A6,引用修正!$F$2:$F$10000,F$1,引用修正!$H$2:$H$10000,"0",引用修正!$I$2:$I$10000,"0")</f>
        <v>0</v>
      </c>
      <c r="G6" s="53">
        <f>SUMIFS(引用修正!$C$2:$C$10000,引用修正!$G$2:$G$10000,$A6,引用修正!$F$2:$F$10000,G$1,引用修正!$H$2:$H$10000,"0",引用修正!$I$2:$I$10000,"0")</f>
        <v>0</v>
      </c>
      <c r="H6" s="53">
        <f>SUMIFS(引用修正!$C$2:$C$10000,引用修正!$G$2:$G$10000,$A6,引用修正!$F$2:$F$10000,H$1,引用修正!$H$2:$H$10000,"0",引用修正!$I$2:$I$10000,"0")</f>
        <v>0</v>
      </c>
      <c r="I6" s="53">
        <f>SUMIFS(引用修正!$C$2:$C$10000,引用修正!$G$2:$G$10000,$A6,引用修正!$F$2:$F$10000,I$1,引用修正!$H$2:$H$10000,"0",引用修正!$I$2:$I$10000,"0")</f>
        <v>0</v>
      </c>
      <c r="J6" s="53">
        <f>SUMIFS(引用修正!$C$2:$C$10000,引用修正!$G$2:$G$10000,$A6,引用修正!$F$2:$F$10000,J$1,引用修正!$H$2:$H$10000,"0",引用修正!$I$2:$I$10000,"0")</f>
        <v>0</v>
      </c>
      <c r="K6" s="53">
        <f>SUMIFS(引用修正!$C$2:$C$10000,引用修正!$G$2:$G$10000,$A6,引用修正!$F$2:$F$10000,K$1,引用修正!$H$2:$H$10000,"0",引用修正!$I$2:$I$10000,"0")</f>
        <v>0</v>
      </c>
      <c r="L6" s="53">
        <f>SUMIFS(引用修正!$C$2:$C$10000,引用修正!$G$2:$G$10000,$A6,引用修正!$F$2:$F$10000,L$1,引用修正!$H$2:$H$10000,"0",引用修正!$I$2:$I$10000,"0")</f>
        <v>0</v>
      </c>
      <c r="M6" s="53">
        <f>SUMIFS(引用修正!$C$2:$C$10000,引用修正!$G$2:$G$10000,$A6,引用修正!$F$2:$F$10000,M$1,引用修正!$H$2:$H$10000,"0",引用修正!$I$2:$I$10000,"0")</f>
        <v>0</v>
      </c>
    </row>
    <row r="7" s="53" customFormat="1" spans="1:13">
      <c r="A7" s="56" t="s">
        <v>3231</v>
      </c>
      <c r="B7" s="53">
        <f>SUMIFS(引用修正!$C$2:$C$10000,引用修正!$G$2:$G$10000,$A7,引用修正!$F$2:$F$10000,B$1,引用修正!$H$2:$H$10000,"0",引用修正!$I$2:$I$10000,"0")</f>
        <v>0</v>
      </c>
      <c r="C7" s="53">
        <f>SUMIFS(引用修正!$C$2:$C$10000,引用修正!$G$2:$G$10000,$A7,引用修正!$F$2:$F$10000,C$1,引用修正!$H$2:$H$10000,"0",引用修正!$I$2:$I$10000,"0")</f>
        <v>0</v>
      </c>
      <c r="D7" s="53">
        <f>SUMIFS(引用修正!$C$2:$C$10000,引用修正!$G$2:$G$10000,$A7,引用修正!$F$2:$F$10000,D$1,引用修正!$H$2:$H$10000,"0",引用修正!$I$2:$I$10000,"0")</f>
        <v>0</v>
      </c>
      <c r="E7" s="53">
        <f>SUMIFS(引用修正!$C$2:$C$10000,引用修正!$G$2:$G$10000,$A7,引用修正!$F$2:$F$10000,E$1,引用修正!$H$2:$H$10000,"0",引用修正!$I$2:$I$10000,"0")</f>
        <v>0</v>
      </c>
      <c r="F7" s="53">
        <f>SUMIFS(引用修正!$C$2:$C$10000,引用修正!$G$2:$G$10000,$A7,引用修正!$F$2:$F$10000,F$1,引用修正!$H$2:$H$10000,"0",引用修正!$I$2:$I$10000,"0")</f>
        <v>0</v>
      </c>
      <c r="G7" s="53">
        <f>SUMIFS(引用修正!$C$2:$C$10000,引用修正!$G$2:$G$10000,$A7,引用修正!$F$2:$F$10000,G$1,引用修正!$H$2:$H$10000,"0",引用修正!$I$2:$I$10000,"0")</f>
        <v>0</v>
      </c>
      <c r="H7" s="53">
        <f>SUMIFS(引用修正!$C$2:$C$10000,引用修正!$G$2:$G$10000,$A7,引用修正!$F$2:$F$10000,H$1,引用修正!$H$2:$H$10000,"0",引用修正!$I$2:$I$10000,"0")</f>
        <v>0</v>
      </c>
      <c r="I7" s="53">
        <f>SUMIFS(引用修正!$C$2:$C$10000,引用修正!$G$2:$G$10000,$A7,引用修正!$F$2:$F$10000,I$1,引用修正!$H$2:$H$10000,"0",引用修正!$I$2:$I$10000,"0")</f>
        <v>0</v>
      </c>
      <c r="J7" s="53">
        <f>SUMIFS(引用修正!$C$2:$C$10000,引用修正!$G$2:$G$10000,$A7,引用修正!$F$2:$F$10000,J$1,引用修正!$H$2:$H$10000,"0",引用修正!$I$2:$I$10000,"0")</f>
        <v>0</v>
      </c>
      <c r="K7" s="53">
        <f>SUMIFS(引用修正!$C$2:$C$10000,引用修正!$G$2:$G$10000,$A7,引用修正!$F$2:$F$10000,K$1,引用修正!$H$2:$H$10000,"0",引用修正!$I$2:$I$10000,"0")</f>
        <v>0</v>
      </c>
      <c r="L7" s="53">
        <f>SUMIFS(引用修正!$C$2:$C$10000,引用修正!$G$2:$G$10000,$A7,引用修正!$F$2:$F$10000,L$1,引用修正!$H$2:$H$10000,"0",引用修正!$I$2:$I$10000,"0")</f>
        <v>0</v>
      </c>
      <c r="M7" s="53">
        <f>SUMIFS(引用修正!$C$2:$C$10000,引用修正!$G$2:$G$10000,$A7,引用修正!$F$2:$F$10000,M$1,引用修正!$H$2:$H$10000,"0",引用修正!$I$2:$I$10000,"0")</f>
        <v>0</v>
      </c>
    </row>
    <row r="8" s="53" customFormat="1" spans="1:13">
      <c r="A8" s="56" t="s">
        <v>3232</v>
      </c>
      <c r="B8" s="53">
        <f>SUMIFS(引用修正!$C$2:$C$10000,引用修正!$G$2:$G$10000,$A8,引用修正!$F$2:$F$10000,B$1,引用修正!$H$2:$H$10000,"0",引用修正!$I$2:$I$10000,"0")</f>
        <v>0</v>
      </c>
      <c r="C8" s="53">
        <f>SUMIFS(引用修正!$C$2:$C$10000,引用修正!$G$2:$G$10000,$A8,引用修正!$F$2:$F$10000,C$1,引用修正!$H$2:$H$10000,"0",引用修正!$I$2:$I$10000,"0")</f>
        <v>0</v>
      </c>
      <c r="D8" s="53">
        <f>SUMIFS(引用修正!$C$2:$C$10000,引用修正!$G$2:$G$10000,$A8,引用修正!$F$2:$F$10000,D$1,引用修正!$H$2:$H$10000,"0",引用修正!$I$2:$I$10000,"0")</f>
        <v>0</v>
      </c>
      <c r="E8" s="53">
        <f>SUMIFS(引用修正!$C$2:$C$10000,引用修正!$G$2:$G$10000,$A8,引用修正!$F$2:$F$10000,E$1,引用修正!$H$2:$H$10000,"0",引用修正!$I$2:$I$10000,"0")</f>
        <v>0</v>
      </c>
      <c r="F8" s="53">
        <f>SUMIFS(引用修正!$C$2:$C$10000,引用修正!$G$2:$G$10000,$A8,引用修正!$F$2:$F$10000,F$1,引用修正!$H$2:$H$10000,"0",引用修正!$I$2:$I$10000,"0")</f>
        <v>0</v>
      </c>
      <c r="G8" s="53">
        <f>SUMIFS(引用修正!$C$2:$C$10000,引用修正!$G$2:$G$10000,$A8,引用修正!$F$2:$F$10000,G$1,引用修正!$H$2:$H$10000,"0",引用修正!$I$2:$I$10000,"0")</f>
        <v>0</v>
      </c>
      <c r="H8" s="53">
        <f>SUMIFS(引用修正!$C$2:$C$10000,引用修正!$G$2:$G$10000,$A8,引用修正!$F$2:$F$10000,H$1,引用修正!$H$2:$H$10000,"0",引用修正!$I$2:$I$10000,"0")</f>
        <v>0</v>
      </c>
      <c r="I8" s="53">
        <f>SUMIFS(引用修正!$C$2:$C$10000,引用修正!$G$2:$G$10000,$A8,引用修正!$F$2:$F$10000,I$1,引用修正!$H$2:$H$10000,"0",引用修正!$I$2:$I$10000,"0")</f>
        <v>0</v>
      </c>
      <c r="J8" s="53">
        <f>SUMIFS(引用修正!$C$2:$C$10000,引用修正!$G$2:$G$10000,$A8,引用修正!$F$2:$F$10000,J$1,引用修正!$H$2:$H$10000,"0",引用修正!$I$2:$I$10000,"0")</f>
        <v>0</v>
      </c>
      <c r="K8" s="53">
        <f>SUMIFS(引用修正!$C$2:$C$10000,引用修正!$G$2:$G$10000,$A8,引用修正!$F$2:$F$10000,K$1,引用修正!$H$2:$H$10000,"0",引用修正!$I$2:$I$10000,"0")</f>
        <v>0</v>
      </c>
      <c r="L8" s="53">
        <f>SUMIFS(引用修正!$C$2:$C$10000,引用修正!$G$2:$G$10000,$A8,引用修正!$F$2:$F$10000,L$1,引用修正!$H$2:$H$10000,"0",引用修正!$I$2:$I$10000,"0")</f>
        <v>0</v>
      </c>
      <c r="M8" s="53">
        <f>SUMIFS(引用修正!$C$2:$C$10000,引用修正!$G$2:$G$10000,$A8,引用修正!$F$2:$F$10000,M$1,引用修正!$H$2:$H$10000,"0",引用修正!$I$2:$I$10000,"0")</f>
        <v>0</v>
      </c>
    </row>
    <row r="9" s="53" customFormat="1" spans="1:13">
      <c r="A9" s="56" t="s">
        <v>3233</v>
      </c>
      <c r="B9" s="53">
        <f>SUMIFS(引用修正!$C$2:$C$10000,引用修正!$G$2:$G$10000,$A9,引用修正!$F$2:$F$10000,B$1,引用修正!$H$2:$H$10000,"0",引用修正!$I$2:$I$10000,"0")</f>
        <v>0</v>
      </c>
      <c r="C9" s="53">
        <f>SUMIFS(引用修正!$C$2:$C$10000,引用修正!$G$2:$G$10000,$A9,引用修正!$F$2:$F$10000,C$1,引用修正!$H$2:$H$10000,"0",引用修正!$I$2:$I$10000,"0")</f>
        <v>0</v>
      </c>
      <c r="D9" s="53">
        <f>SUMIFS(引用修正!$C$2:$C$10000,引用修正!$G$2:$G$10000,$A9,引用修正!$F$2:$F$10000,D$1,引用修正!$H$2:$H$10000,"0",引用修正!$I$2:$I$10000,"0")</f>
        <v>0</v>
      </c>
      <c r="E9" s="53">
        <f>SUMIFS(引用修正!$C$2:$C$10000,引用修正!$G$2:$G$10000,$A9,引用修正!$F$2:$F$10000,E$1,引用修正!$H$2:$H$10000,"0",引用修正!$I$2:$I$10000,"0")</f>
        <v>0</v>
      </c>
      <c r="F9" s="53">
        <f>SUMIFS(引用修正!$C$2:$C$10000,引用修正!$G$2:$G$10000,$A9,引用修正!$F$2:$F$10000,F$1,引用修正!$H$2:$H$10000,"0",引用修正!$I$2:$I$10000,"0")</f>
        <v>0</v>
      </c>
      <c r="G9" s="53">
        <f>SUMIFS(引用修正!$C$2:$C$10000,引用修正!$G$2:$G$10000,$A9,引用修正!$F$2:$F$10000,G$1,引用修正!$H$2:$H$10000,"0",引用修正!$I$2:$I$10000,"0")</f>
        <v>0</v>
      </c>
      <c r="H9" s="53">
        <f>SUMIFS(引用修正!$C$2:$C$10000,引用修正!$G$2:$G$10000,$A9,引用修正!$F$2:$F$10000,H$1,引用修正!$H$2:$H$10000,"0",引用修正!$I$2:$I$10000,"0")</f>
        <v>0</v>
      </c>
      <c r="I9" s="53">
        <f>SUMIFS(引用修正!$C$2:$C$10000,引用修正!$G$2:$G$10000,$A9,引用修正!$F$2:$F$10000,I$1,引用修正!$H$2:$H$10000,"0",引用修正!$I$2:$I$10000,"0")</f>
        <v>0</v>
      </c>
      <c r="J9" s="53">
        <f>SUMIFS(引用修正!$C$2:$C$10000,引用修正!$G$2:$G$10000,$A9,引用修正!$F$2:$F$10000,J$1,引用修正!$H$2:$H$10000,"0",引用修正!$I$2:$I$10000,"0")</f>
        <v>0</v>
      </c>
      <c r="K9" s="53">
        <f>SUMIFS(引用修正!$C$2:$C$10000,引用修正!$G$2:$G$10000,$A9,引用修正!$F$2:$F$10000,K$1,引用修正!$H$2:$H$10000,"0",引用修正!$I$2:$I$10000,"0")</f>
        <v>0</v>
      </c>
      <c r="L9" s="53">
        <f>SUMIFS(引用修正!$C$2:$C$10000,引用修正!$G$2:$G$10000,$A9,引用修正!$F$2:$F$10000,L$1,引用修正!$H$2:$H$10000,"0",引用修正!$I$2:$I$10000,"0")</f>
        <v>0</v>
      </c>
      <c r="M9" s="53">
        <f>SUMIFS(引用修正!$C$2:$C$10000,引用修正!$G$2:$G$10000,$A9,引用修正!$F$2:$F$10000,M$1,引用修正!$H$2:$H$10000,"0",引用修正!$I$2:$I$10000,"0")</f>
        <v>0</v>
      </c>
    </row>
    <row r="10" s="53" customFormat="1" spans="1:13">
      <c r="A10" s="57" t="s">
        <v>3234</v>
      </c>
      <c r="B10" s="53">
        <f>SUMIFS(引用修正!$C$2:$C$10000,引用修正!$G$2:$G$10000,$A10,引用修正!$F$2:$F$10000,B$1,引用修正!$H$2:$H$10000,"0",引用修正!$I$2:$I$10000,"0")</f>
        <v>0</v>
      </c>
      <c r="C10" s="53">
        <f>SUMIFS(引用修正!$C$2:$C$10000,引用修正!$G$2:$G$10000,$A10,引用修正!$F$2:$F$10000,C$1,引用修正!$H$2:$H$10000,"0",引用修正!$I$2:$I$10000,"0")</f>
        <v>0</v>
      </c>
      <c r="D10" s="53">
        <f>SUMIFS(引用修正!$C$2:$C$10000,引用修正!$G$2:$G$10000,$A10,引用修正!$F$2:$F$10000,D$1,引用修正!$H$2:$H$10000,"0",引用修正!$I$2:$I$10000,"0")</f>
        <v>0</v>
      </c>
      <c r="E10" s="53">
        <f>SUMIFS(引用修正!$C$2:$C$10000,引用修正!$G$2:$G$10000,$A10,引用修正!$F$2:$F$10000,E$1,引用修正!$H$2:$H$10000,"0",引用修正!$I$2:$I$10000,"0")</f>
        <v>0</v>
      </c>
      <c r="F10" s="53">
        <f>SUMIFS(引用修正!$C$2:$C$10000,引用修正!$G$2:$G$10000,$A10,引用修正!$F$2:$F$10000,F$1,引用修正!$H$2:$H$10000,"0",引用修正!$I$2:$I$10000,"0")</f>
        <v>0</v>
      </c>
      <c r="G10" s="53">
        <f>SUMIFS(引用修正!$C$2:$C$10000,引用修正!$G$2:$G$10000,$A10,引用修正!$F$2:$F$10000,G$1,引用修正!$H$2:$H$10000,"0",引用修正!$I$2:$I$10000,"0")</f>
        <v>0</v>
      </c>
      <c r="H10" s="53">
        <f>SUMIFS(引用修正!$C$2:$C$10000,引用修正!$G$2:$G$10000,$A10,引用修正!$F$2:$F$10000,H$1,引用修正!$H$2:$H$10000,"0",引用修正!$I$2:$I$10000,"0")</f>
        <v>0</v>
      </c>
      <c r="I10" s="53">
        <f>SUMIFS(引用修正!$C$2:$C$10000,引用修正!$G$2:$G$10000,$A10,引用修正!$F$2:$F$10000,I$1,引用修正!$H$2:$H$10000,"0",引用修正!$I$2:$I$10000,"0")</f>
        <v>0</v>
      </c>
      <c r="J10" s="53">
        <f>SUMIFS(引用修正!$C$2:$C$10000,引用修正!$G$2:$G$10000,$A10,引用修正!$F$2:$F$10000,J$1,引用修正!$H$2:$H$10000,"0",引用修正!$I$2:$I$10000,"0")</f>
        <v>0</v>
      </c>
      <c r="K10" s="53">
        <f>SUMIFS(引用修正!$C$2:$C$10000,引用修正!$G$2:$G$10000,$A10,引用修正!$F$2:$F$10000,K$1,引用修正!$H$2:$H$10000,"0",引用修正!$I$2:$I$10000,"0")</f>
        <v>0</v>
      </c>
      <c r="L10" s="53">
        <f>SUMIFS(引用修正!$C$2:$C$10000,引用修正!$G$2:$G$10000,$A10,引用修正!$F$2:$F$10000,L$1,引用修正!$H$2:$H$10000,"0",引用修正!$I$2:$I$10000,"0")</f>
        <v>0</v>
      </c>
      <c r="M10" s="53">
        <f>SUMIFS(引用修正!$C$2:$C$10000,引用修正!$G$2:$G$10000,$A10,引用修正!$F$2:$F$10000,M$1,引用修正!$H$2:$H$10000,"0",引用修正!$I$2:$I$10000,"0")</f>
        <v>0</v>
      </c>
    </row>
    <row r="11" s="53" customFormat="1" spans="1:13">
      <c r="A11" s="56" t="s">
        <v>3235</v>
      </c>
      <c r="B11" s="53">
        <f>SUMIFS(引用修正!$C$2:$C$10000,引用修正!$G$2:$G$10000,$A11,引用修正!$F$2:$F$10000,B$1,引用修正!$H$2:$H$10000,"0",引用修正!$I$2:$I$10000,"0")</f>
        <v>0</v>
      </c>
      <c r="C11" s="53">
        <f>SUMIFS(引用修正!$C$2:$C$10000,引用修正!$G$2:$G$10000,$A11,引用修正!$F$2:$F$10000,C$1,引用修正!$H$2:$H$10000,"0",引用修正!$I$2:$I$10000,"0")</f>
        <v>0</v>
      </c>
      <c r="D11" s="53">
        <f>SUMIFS(引用修正!$C$2:$C$10000,引用修正!$G$2:$G$10000,$A11,引用修正!$F$2:$F$10000,D$1,引用修正!$H$2:$H$10000,"0",引用修正!$I$2:$I$10000,"0")</f>
        <v>0</v>
      </c>
      <c r="E11" s="53">
        <f>SUMIFS(引用修正!$C$2:$C$10000,引用修正!$G$2:$G$10000,$A11,引用修正!$F$2:$F$10000,E$1,引用修正!$H$2:$H$10000,"0",引用修正!$I$2:$I$10000,"0")</f>
        <v>0</v>
      </c>
      <c r="F11" s="53">
        <f>SUMIFS(引用修正!$C$2:$C$10000,引用修正!$G$2:$G$10000,$A11,引用修正!$F$2:$F$10000,F$1,引用修正!$H$2:$H$10000,"0",引用修正!$I$2:$I$10000,"0")</f>
        <v>0</v>
      </c>
      <c r="G11" s="53">
        <f>SUMIFS(引用修正!$C$2:$C$10000,引用修正!$G$2:$G$10000,$A11,引用修正!$F$2:$F$10000,G$1,引用修正!$H$2:$H$10000,"0",引用修正!$I$2:$I$10000,"0")</f>
        <v>0</v>
      </c>
      <c r="H11" s="53">
        <f>SUMIFS(引用修正!$C$2:$C$10000,引用修正!$G$2:$G$10000,$A11,引用修正!$F$2:$F$10000,H$1,引用修正!$H$2:$H$10000,"0",引用修正!$I$2:$I$10000,"0")</f>
        <v>0</v>
      </c>
      <c r="I11" s="53">
        <f>SUMIFS(引用修正!$C$2:$C$10000,引用修正!$G$2:$G$10000,$A11,引用修正!$F$2:$F$10000,I$1,引用修正!$H$2:$H$10000,"0",引用修正!$I$2:$I$10000,"0")</f>
        <v>0</v>
      </c>
      <c r="J11" s="53">
        <f>SUMIFS(引用修正!$C$2:$C$10000,引用修正!$G$2:$G$10000,$A11,引用修正!$F$2:$F$10000,J$1,引用修正!$H$2:$H$10000,"0",引用修正!$I$2:$I$10000,"0")</f>
        <v>0</v>
      </c>
      <c r="K11" s="53">
        <f>SUMIFS(引用修正!$C$2:$C$10000,引用修正!$G$2:$G$10000,$A11,引用修正!$F$2:$F$10000,K$1,引用修正!$H$2:$H$10000,"0",引用修正!$I$2:$I$10000,"0")</f>
        <v>0</v>
      </c>
      <c r="L11" s="53">
        <f>SUMIFS(引用修正!$C$2:$C$10000,引用修正!$G$2:$G$10000,$A11,引用修正!$F$2:$F$10000,L$1,引用修正!$H$2:$H$10000,"0",引用修正!$I$2:$I$10000,"0")</f>
        <v>0</v>
      </c>
      <c r="M11" s="53">
        <f>SUMIFS(引用修正!$C$2:$C$10000,引用修正!$G$2:$G$10000,$A11,引用修正!$F$2:$F$10000,M$1,引用修正!$H$2:$H$10000,"0",引用修正!$I$2:$I$10000,"0")</f>
        <v>0</v>
      </c>
    </row>
    <row r="12" s="53" customFormat="1" spans="1:13">
      <c r="A12" s="56" t="s">
        <v>3236</v>
      </c>
      <c r="B12" s="53">
        <f>SUMIFS(引用修正!$C$2:$C$10000,引用修正!$G$2:$G$10000,$A12,引用修正!$F$2:$F$10000,B$1,引用修正!$H$2:$H$10000,"0",引用修正!$I$2:$I$10000,"0")</f>
        <v>0</v>
      </c>
      <c r="C12" s="53">
        <f>SUMIFS(引用修正!$C$2:$C$10000,引用修正!$G$2:$G$10000,$A12,引用修正!$F$2:$F$10000,C$1,引用修正!$H$2:$H$10000,"0",引用修正!$I$2:$I$10000,"0")</f>
        <v>0</v>
      </c>
      <c r="D12" s="53">
        <f>SUMIFS(引用修正!$C$2:$C$10000,引用修正!$G$2:$G$10000,$A12,引用修正!$F$2:$F$10000,D$1,引用修正!$H$2:$H$10000,"0",引用修正!$I$2:$I$10000,"0")</f>
        <v>0</v>
      </c>
      <c r="E12" s="53">
        <f>SUMIFS(引用修正!$C$2:$C$10000,引用修正!$G$2:$G$10000,$A12,引用修正!$F$2:$F$10000,E$1,引用修正!$H$2:$H$10000,"0",引用修正!$I$2:$I$10000,"0")</f>
        <v>0</v>
      </c>
      <c r="F12" s="53">
        <f>SUMIFS(引用修正!$C$2:$C$10000,引用修正!$G$2:$G$10000,$A12,引用修正!$F$2:$F$10000,F$1,引用修正!$H$2:$H$10000,"0",引用修正!$I$2:$I$10000,"0")</f>
        <v>0</v>
      </c>
      <c r="G12" s="53">
        <f>SUMIFS(引用修正!$C$2:$C$10000,引用修正!$G$2:$G$10000,$A12,引用修正!$F$2:$F$10000,G$1,引用修正!$H$2:$H$10000,"0",引用修正!$I$2:$I$10000,"0")</f>
        <v>0</v>
      </c>
      <c r="H12" s="53">
        <f>SUMIFS(引用修正!$C$2:$C$10000,引用修正!$G$2:$G$10000,$A12,引用修正!$F$2:$F$10000,H$1,引用修正!$H$2:$H$10000,"0",引用修正!$I$2:$I$10000,"0")</f>
        <v>0</v>
      </c>
      <c r="I12" s="53">
        <f>SUMIFS(引用修正!$C$2:$C$10000,引用修正!$G$2:$G$10000,$A12,引用修正!$F$2:$F$10000,I$1,引用修正!$H$2:$H$10000,"0",引用修正!$I$2:$I$10000,"0")</f>
        <v>0</v>
      </c>
      <c r="J12" s="53">
        <f>SUMIFS(引用修正!$C$2:$C$10000,引用修正!$G$2:$G$10000,$A12,引用修正!$F$2:$F$10000,J$1,引用修正!$H$2:$H$10000,"0",引用修正!$I$2:$I$10000,"0")</f>
        <v>0</v>
      </c>
      <c r="K12" s="53">
        <f>SUMIFS(引用修正!$C$2:$C$10000,引用修正!$G$2:$G$10000,$A12,引用修正!$F$2:$F$10000,K$1,引用修正!$H$2:$H$10000,"0",引用修正!$I$2:$I$10000,"0")</f>
        <v>0</v>
      </c>
      <c r="L12" s="53">
        <f>SUMIFS(引用修正!$C$2:$C$10000,引用修正!$G$2:$G$10000,$A12,引用修正!$F$2:$F$10000,L$1,引用修正!$H$2:$H$10000,"0",引用修正!$I$2:$I$10000,"0")</f>
        <v>0</v>
      </c>
      <c r="M12" s="53">
        <f>SUMIFS(引用修正!$C$2:$C$10000,引用修正!$G$2:$G$10000,$A12,引用修正!$F$2:$F$10000,M$1,引用修正!$H$2:$H$10000,"0",引用修正!$I$2:$I$10000,"0")</f>
        <v>0</v>
      </c>
    </row>
    <row r="13" s="53" customFormat="1" spans="1:13">
      <c r="A13" s="56" t="s">
        <v>3237</v>
      </c>
      <c r="B13" s="53">
        <f>SUMIFS(引用修正!$C$2:$C$10000,引用修正!$G$2:$G$10000,$A13,引用修正!$F$2:$F$10000,B$1,引用修正!$H$2:$H$10000,"0",引用修正!$I$2:$I$10000,"0")</f>
        <v>0</v>
      </c>
      <c r="C13" s="53">
        <f>SUMIFS(引用修正!$C$2:$C$10000,引用修正!$G$2:$G$10000,$A13,引用修正!$F$2:$F$10000,C$1,引用修正!$H$2:$H$10000,"0",引用修正!$I$2:$I$10000,"0")</f>
        <v>0</v>
      </c>
      <c r="D13" s="53">
        <f>SUMIFS(引用修正!$C$2:$C$10000,引用修正!$G$2:$G$10000,$A13,引用修正!$F$2:$F$10000,D$1,引用修正!$H$2:$H$10000,"0",引用修正!$I$2:$I$10000,"0")</f>
        <v>0</v>
      </c>
      <c r="E13" s="53">
        <f>SUMIFS(引用修正!$C$2:$C$10000,引用修正!$G$2:$G$10000,$A13,引用修正!$F$2:$F$10000,E$1,引用修正!$H$2:$H$10000,"0",引用修正!$I$2:$I$10000,"0")</f>
        <v>0</v>
      </c>
      <c r="F13" s="53">
        <f>SUMIFS(引用修正!$C$2:$C$10000,引用修正!$G$2:$G$10000,$A13,引用修正!$F$2:$F$10000,F$1,引用修正!$H$2:$H$10000,"0",引用修正!$I$2:$I$10000,"0")</f>
        <v>0</v>
      </c>
      <c r="G13" s="53">
        <f>SUMIFS(引用修正!$C$2:$C$10000,引用修正!$G$2:$G$10000,$A13,引用修正!$F$2:$F$10000,G$1,引用修正!$H$2:$H$10000,"0",引用修正!$I$2:$I$10000,"0")</f>
        <v>0</v>
      </c>
      <c r="H13" s="53">
        <f>SUMIFS(引用修正!$C$2:$C$10000,引用修正!$G$2:$G$10000,$A13,引用修正!$F$2:$F$10000,H$1,引用修正!$H$2:$H$10000,"0",引用修正!$I$2:$I$10000,"0")</f>
        <v>0</v>
      </c>
      <c r="I13" s="53">
        <f>SUMIFS(引用修正!$C$2:$C$10000,引用修正!$G$2:$G$10000,$A13,引用修正!$F$2:$F$10000,I$1,引用修正!$H$2:$H$10000,"0",引用修正!$I$2:$I$10000,"0")</f>
        <v>0</v>
      </c>
      <c r="J13" s="53">
        <f>SUMIFS(引用修正!$C$2:$C$10000,引用修正!$G$2:$G$10000,$A13,引用修正!$F$2:$F$10000,J$1,引用修正!$H$2:$H$10000,"0",引用修正!$I$2:$I$10000,"0")</f>
        <v>0</v>
      </c>
      <c r="K13" s="53">
        <f>SUMIFS(引用修正!$C$2:$C$10000,引用修正!$G$2:$G$10000,$A13,引用修正!$F$2:$F$10000,K$1,引用修正!$H$2:$H$10000,"0",引用修正!$I$2:$I$10000,"0")</f>
        <v>0</v>
      </c>
      <c r="L13" s="53">
        <f>SUMIFS(引用修正!$C$2:$C$10000,引用修正!$G$2:$G$10000,$A13,引用修正!$F$2:$F$10000,L$1,引用修正!$H$2:$H$10000,"0",引用修正!$I$2:$I$10000,"0")</f>
        <v>0</v>
      </c>
      <c r="M13" s="53">
        <f>SUMIFS(引用修正!$C$2:$C$10000,引用修正!$G$2:$G$10000,$A13,引用修正!$F$2:$F$10000,M$1,引用修正!$H$2:$H$10000,"0",引用修正!$I$2:$I$10000,"0")</f>
        <v>0</v>
      </c>
    </row>
    <row r="14" s="53" customFormat="1" spans="1:13">
      <c r="A14" s="56" t="s">
        <v>3238</v>
      </c>
      <c r="B14" s="53">
        <f>SUMIFS(引用修正!$C$2:$C$10000,引用修正!$G$2:$G$10000,$A14,引用修正!$F$2:$F$10000,B$1,引用修正!$H$2:$H$10000,"0",引用修正!$I$2:$I$10000,"0")</f>
        <v>0</v>
      </c>
      <c r="C14" s="53">
        <f>SUMIFS(引用修正!$C$2:$C$10000,引用修正!$G$2:$G$10000,$A14,引用修正!$F$2:$F$10000,C$1,引用修正!$H$2:$H$10000,"0",引用修正!$I$2:$I$10000,"0")</f>
        <v>0</v>
      </c>
      <c r="D14" s="53">
        <f>SUMIFS(引用修正!$C$2:$C$10000,引用修正!$G$2:$G$10000,$A14,引用修正!$F$2:$F$10000,D$1,引用修正!$H$2:$H$10000,"0",引用修正!$I$2:$I$10000,"0")</f>
        <v>0</v>
      </c>
      <c r="E14" s="53">
        <f>SUMIFS(引用修正!$C$2:$C$10000,引用修正!$G$2:$G$10000,$A14,引用修正!$F$2:$F$10000,E$1,引用修正!$H$2:$H$10000,"0",引用修正!$I$2:$I$10000,"0")</f>
        <v>0</v>
      </c>
      <c r="F14" s="53">
        <f>SUMIFS(引用修正!$C$2:$C$10000,引用修正!$G$2:$G$10000,$A14,引用修正!$F$2:$F$10000,F$1,引用修正!$H$2:$H$10000,"0",引用修正!$I$2:$I$10000,"0")</f>
        <v>0</v>
      </c>
      <c r="G14" s="53">
        <f>SUMIFS(引用修正!$C$2:$C$10000,引用修正!$G$2:$G$10000,$A14,引用修正!$F$2:$F$10000,G$1,引用修正!$H$2:$H$10000,"0",引用修正!$I$2:$I$10000,"0")</f>
        <v>0</v>
      </c>
      <c r="H14" s="53">
        <f>SUMIFS(引用修正!$C$2:$C$10000,引用修正!$G$2:$G$10000,$A14,引用修正!$F$2:$F$10000,H$1,引用修正!$H$2:$H$10000,"0",引用修正!$I$2:$I$10000,"0")</f>
        <v>0</v>
      </c>
      <c r="I14" s="53">
        <f>SUMIFS(引用修正!$C$2:$C$10000,引用修正!$G$2:$G$10000,$A14,引用修正!$F$2:$F$10000,I$1,引用修正!$H$2:$H$10000,"0",引用修正!$I$2:$I$10000,"0")</f>
        <v>0</v>
      </c>
      <c r="J14" s="53">
        <f>SUMIFS(引用修正!$C$2:$C$10000,引用修正!$G$2:$G$10000,$A14,引用修正!$F$2:$F$10000,J$1,引用修正!$H$2:$H$10000,"0",引用修正!$I$2:$I$10000,"0")</f>
        <v>0</v>
      </c>
      <c r="K14" s="53">
        <f>SUMIFS(引用修正!$C$2:$C$10000,引用修正!$G$2:$G$10000,$A14,引用修正!$F$2:$F$10000,K$1,引用修正!$H$2:$H$10000,"0",引用修正!$I$2:$I$10000,"0")</f>
        <v>0</v>
      </c>
      <c r="L14" s="53">
        <f>SUMIFS(引用修正!$C$2:$C$10000,引用修正!$G$2:$G$10000,$A14,引用修正!$F$2:$F$10000,L$1,引用修正!$H$2:$H$10000,"0",引用修正!$I$2:$I$10000,"0")</f>
        <v>0</v>
      </c>
      <c r="M14" s="53">
        <f>SUMIFS(引用修正!$C$2:$C$10000,引用修正!$G$2:$G$10000,$A14,引用修正!$F$2:$F$10000,M$1,引用修正!$H$2:$H$10000,"0",引用修正!$I$2:$I$10000,"0")</f>
        <v>0</v>
      </c>
    </row>
    <row r="15" s="53" customFormat="1" spans="1:13">
      <c r="A15" s="56" t="s">
        <v>3239</v>
      </c>
      <c r="B15" s="53">
        <f>SUMIFS(引用修正!$C$2:$C$10000,引用修正!$G$2:$G$10000,$A15,引用修正!$F$2:$F$10000,B$1,引用修正!$H$2:$H$10000,"0",引用修正!$I$2:$I$10000,"0")</f>
        <v>0</v>
      </c>
      <c r="C15" s="53">
        <f>SUMIFS(引用修正!$C$2:$C$10000,引用修正!$G$2:$G$10000,$A15,引用修正!$F$2:$F$10000,C$1,引用修正!$H$2:$H$10000,"0",引用修正!$I$2:$I$10000,"0")</f>
        <v>0</v>
      </c>
      <c r="D15" s="53">
        <f>SUMIFS(引用修正!$C$2:$C$10000,引用修正!$G$2:$G$10000,$A15,引用修正!$F$2:$F$10000,D$1,引用修正!$H$2:$H$10000,"0",引用修正!$I$2:$I$10000,"0")</f>
        <v>0</v>
      </c>
      <c r="E15" s="53">
        <f>SUMIFS(引用修正!$C$2:$C$10000,引用修正!$G$2:$G$10000,$A15,引用修正!$F$2:$F$10000,E$1,引用修正!$H$2:$H$10000,"0",引用修正!$I$2:$I$10000,"0")</f>
        <v>0</v>
      </c>
      <c r="F15" s="53">
        <f>SUMIFS(引用修正!$C$2:$C$10000,引用修正!$G$2:$G$10000,$A15,引用修正!$F$2:$F$10000,F$1,引用修正!$H$2:$H$10000,"0",引用修正!$I$2:$I$10000,"0")</f>
        <v>0</v>
      </c>
      <c r="G15" s="53">
        <f>SUMIFS(引用修正!$C$2:$C$10000,引用修正!$G$2:$G$10000,$A15,引用修正!$F$2:$F$10000,G$1,引用修正!$H$2:$H$10000,"0",引用修正!$I$2:$I$10000,"0")</f>
        <v>0</v>
      </c>
      <c r="H15" s="53">
        <f>SUMIFS(引用修正!$C$2:$C$10000,引用修正!$G$2:$G$10000,$A15,引用修正!$F$2:$F$10000,H$1,引用修正!$H$2:$H$10000,"0",引用修正!$I$2:$I$10000,"0")</f>
        <v>0</v>
      </c>
      <c r="I15" s="53">
        <f>SUMIFS(引用修正!$C$2:$C$10000,引用修正!$G$2:$G$10000,$A15,引用修正!$F$2:$F$10000,I$1,引用修正!$H$2:$H$10000,"0",引用修正!$I$2:$I$10000,"0")</f>
        <v>0</v>
      </c>
      <c r="J15" s="53">
        <f>SUMIFS(引用修正!$C$2:$C$10000,引用修正!$G$2:$G$10000,$A15,引用修正!$F$2:$F$10000,J$1,引用修正!$H$2:$H$10000,"0",引用修正!$I$2:$I$10000,"0")</f>
        <v>0</v>
      </c>
      <c r="K15" s="53">
        <f>SUMIFS(引用修正!$C$2:$C$10000,引用修正!$G$2:$G$10000,$A15,引用修正!$F$2:$F$10000,K$1,引用修正!$H$2:$H$10000,"0",引用修正!$I$2:$I$10000,"0")</f>
        <v>0</v>
      </c>
      <c r="L15" s="53">
        <f>SUMIFS(引用修正!$C$2:$C$10000,引用修正!$G$2:$G$10000,$A15,引用修正!$F$2:$F$10000,L$1,引用修正!$H$2:$H$10000,"0",引用修正!$I$2:$I$10000,"0")</f>
        <v>0</v>
      </c>
      <c r="M15" s="53">
        <f>SUMIFS(引用修正!$C$2:$C$10000,引用修正!$G$2:$G$10000,$A15,引用修正!$F$2:$F$10000,M$1,引用修正!$H$2:$H$10000,"0",引用修正!$I$2:$I$10000,"0")</f>
        <v>0</v>
      </c>
    </row>
    <row r="16" s="53" customFormat="1" spans="1:13">
      <c r="A16" s="56" t="s">
        <v>3240</v>
      </c>
      <c r="B16" s="53">
        <f>SUMIFS(引用修正!$C$2:$C$10000,引用修正!$G$2:$G$10000,$A16,引用修正!$F$2:$F$10000,B$1,引用修正!$H$2:$H$10000,"0",引用修正!$I$2:$I$10000,"0")</f>
        <v>0</v>
      </c>
      <c r="C16" s="53">
        <f>SUMIFS(引用修正!$C$2:$C$10000,引用修正!$G$2:$G$10000,$A16,引用修正!$F$2:$F$10000,C$1,引用修正!$H$2:$H$10000,"0",引用修正!$I$2:$I$10000,"0")</f>
        <v>0</v>
      </c>
      <c r="D16" s="53">
        <f>SUMIFS(引用修正!$C$2:$C$10000,引用修正!$G$2:$G$10000,$A16,引用修正!$F$2:$F$10000,D$1,引用修正!$H$2:$H$10000,"0",引用修正!$I$2:$I$10000,"0")</f>
        <v>0</v>
      </c>
      <c r="E16" s="53">
        <f>SUMIFS(引用修正!$C$2:$C$10000,引用修正!$G$2:$G$10000,$A16,引用修正!$F$2:$F$10000,E$1,引用修正!$H$2:$H$10000,"0",引用修正!$I$2:$I$10000,"0")</f>
        <v>0</v>
      </c>
      <c r="F16" s="53">
        <f>SUMIFS(引用修正!$C$2:$C$10000,引用修正!$G$2:$G$10000,$A16,引用修正!$F$2:$F$10000,F$1,引用修正!$H$2:$H$10000,"0",引用修正!$I$2:$I$10000,"0")</f>
        <v>0</v>
      </c>
      <c r="G16" s="53">
        <f>SUMIFS(引用修正!$C$2:$C$10000,引用修正!$G$2:$G$10000,$A16,引用修正!$F$2:$F$10000,G$1,引用修正!$H$2:$H$10000,"0",引用修正!$I$2:$I$10000,"0")</f>
        <v>0</v>
      </c>
      <c r="H16" s="53">
        <f>SUMIFS(引用修正!$C$2:$C$10000,引用修正!$G$2:$G$10000,$A16,引用修正!$F$2:$F$10000,H$1,引用修正!$H$2:$H$10000,"0",引用修正!$I$2:$I$10000,"0")</f>
        <v>0</v>
      </c>
      <c r="I16" s="53">
        <f>SUMIFS(引用修正!$C$2:$C$10000,引用修正!$G$2:$G$10000,$A16,引用修正!$F$2:$F$10000,I$1,引用修正!$H$2:$H$10000,"0",引用修正!$I$2:$I$10000,"0")</f>
        <v>0</v>
      </c>
      <c r="J16" s="53">
        <f>SUMIFS(引用修正!$C$2:$C$10000,引用修正!$G$2:$G$10000,$A16,引用修正!$F$2:$F$10000,J$1,引用修正!$H$2:$H$10000,"0",引用修正!$I$2:$I$10000,"0")</f>
        <v>0</v>
      </c>
      <c r="K16" s="53">
        <f>SUMIFS(引用修正!$C$2:$C$10000,引用修正!$G$2:$G$10000,$A16,引用修正!$F$2:$F$10000,K$1,引用修正!$H$2:$H$10000,"0",引用修正!$I$2:$I$10000,"0")</f>
        <v>0</v>
      </c>
      <c r="L16" s="53">
        <f>SUMIFS(引用修正!$C$2:$C$10000,引用修正!$G$2:$G$10000,$A16,引用修正!$F$2:$F$10000,L$1,引用修正!$H$2:$H$10000,"0",引用修正!$I$2:$I$10000,"0")</f>
        <v>0</v>
      </c>
      <c r="M16" s="53">
        <f>SUMIFS(引用修正!$C$2:$C$10000,引用修正!$G$2:$G$10000,$A16,引用修正!$F$2:$F$10000,M$1,引用修正!$H$2:$H$10000,"0",引用修正!$I$2:$I$10000,"0")</f>
        <v>0</v>
      </c>
    </row>
    <row r="17" s="53" customFormat="1" spans="1:13">
      <c r="A17" s="56" t="s">
        <v>3241</v>
      </c>
      <c r="B17" s="53">
        <f>SUMIFS(引用修正!$C$2:$C$10000,引用修正!$G$2:$G$10000,$A17,引用修正!$F$2:$F$10000,B$1,引用修正!$H$2:$H$10000,"0",引用修正!$I$2:$I$10000,"0")</f>
        <v>0</v>
      </c>
      <c r="C17" s="53">
        <f>SUMIFS(引用修正!$C$2:$C$10000,引用修正!$G$2:$G$10000,$A17,引用修正!$F$2:$F$10000,C$1,引用修正!$H$2:$H$10000,"0",引用修正!$I$2:$I$10000,"0")</f>
        <v>0</v>
      </c>
      <c r="D17" s="53">
        <f>SUMIFS(引用修正!$C$2:$C$10000,引用修正!$G$2:$G$10000,$A17,引用修正!$F$2:$F$10000,D$1,引用修正!$H$2:$H$10000,"0",引用修正!$I$2:$I$10000,"0")</f>
        <v>0</v>
      </c>
      <c r="E17" s="53">
        <f>SUMIFS(引用修正!$C$2:$C$10000,引用修正!$G$2:$G$10000,$A17,引用修正!$F$2:$F$10000,E$1,引用修正!$H$2:$H$10000,"0",引用修正!$I$2:$I$10000,"0")</f>
        <v>0</v>
      </c>
      <c r="F17" s="53">
        <f>SUMIFS(引用修正!$C$2:$C$10000,引用修正!$G$2:$G$10000,$A17,引用修正!$F$2:$F$10000,F$1,引用修正!$H$2:$H$10000,"0",引用修正!$I$2:$I$10000,"0")</f>
        <v>0</v>
      </c>
      <c r="G17" s="53">
        <f>SUMIFS(引用修正!$C$2:$C$10000,引用修正!$G$2:$G$10000,$A17,引用修正!$F$2:$F$10000,G$1,引用修正!$H$2:$H$10000,"0",引用修正!$I$2:$I$10000,"0")</f>
        <v>0</v>
      </c>
      <c r="H17" s="53">
        <f>SUMIFS(引用修正!$C$2:$C$10000,引用修正!$G$2:$G$10000,$A17,引用修正!$F$2:$F$10000,H$1,引用修正!$H$2:$H$10000,"0",引用修正!$I$2:$I$10000,"0")</f>
        <v>0</v>
      </c>
      <c r="I17" s="53">
        <f>SUMIFS(引用修正!$C$2:$C$10000,引用修正!$G$2:$G$10000,$A17,引用修正!$F$2:$F$10000,I$1,引用修正!$H$2:$H$10000,"0",引用修正!$I$2:$I$10000,"0")</f>
        <v>0</v>
      </c>
      <c r="J17" s="53">
        <f>SUMIFS(引用修正!$C$2:$C$10000,引用修正!$G$2:$G$10000,$A17,引用修正!$F$2:$F$10000,J$1,引用修正!$H$2:$H$10000,"0",引用修正!$I$2:$I$10000,"0")</f>
        <v>0</v>
      </c>
      <c r="K17" s="53">
        <f>SUMIFS(引用修正!$C$2:$C$10000,引用修正!$G$2:$G$10000,$A17,引用修正!$F$2:$F$10000,K$1,引用修正!$H$2:$H$10000,"0",引用修正!$I$2:$I$10000,"0")</f>
        <v>0</v>
      </c>
      <c r="L17" s="53">
        <f>SUMIFS(引用修正!$C$2:$C$10000,引用修正!$G$2:$G$10000,$A17,引用修正!$F$2:$F$10000,L$1,引用修正!$H$2:$H$10000,"0",引用修正!$I$2:$I$10000,"0")</f>
        <v>0</v>
      </c>
      <c r="M17" s="53">
        <f>SUMIFS(引用修正!$C$2:$C$10000,引用修正!$G$2:$G$10000,$A17,引用修正!$F$2:$F$10000,M$1,引用修正!$H$2:$H$10000,"0",引用修正!$I$2:$I$10000,"0")</f>
        <v>0</v>
      </c>
    </row>
    <row r="18" s="54" customFormat="1" spans="1:13">
      <c r="A18" s="58" t="s">
        <v>3242</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3" customFormat="1" spans="1:13">
      <c r="A19" s="56" t="s">
        <v>3243</v>
      </c>
      <c r="B19" s="53">
        <f>SUMIFS(引用修正!$C$2:$C$10000,引用修正!$G$2:$G$10000,$A19,引用修正!$F$2:$F$10000,B$1,引用修正!$H$2:$H$10000,"0",引用修正!$I$2:$I$10000,"0")</f>
        <v>0</v>
      </c>
      <c r="C19" s="53">
        <f>SUMIFS(引用修正!$C$2:$C$10000,引用修正!$G$2:$G$10000,$A19,引用修正!$F$2:$F$10000,C$1,引用修正!$H$2:$H$10000,"0",引用修正!$I$2:$I$10000,"0")</f>
        <v>0</v>
      </c>
      <c r="D19" s="53">
        <f>SUMIFS(引用修正!$C$2:$C$10000,引用修正!$G$2:$G$10000,$A19,引用修正!$F$2:$F$10000,D$1,引用修正!$H$2:$H$10000,"0",引用修正!$I$2:$I$10000,"0")</f>
        <v>0</v>
      </c>
      <c r="E19" s="53">
        <f>SUMIFS(引用修正!$C$2:$C$10000,引用修正!$G$2:$G$10000,$A19,引用修正!$F$2:$F$10000,E$1,引用修正!$H$2:$H$10000,"0",引用修正!$I$2:$I$10000,"0")</f>
        <v>0</v>
      </c>
      <c r="F19" s="53">
        <f>SUMIFS(引用修正!$C$2:$C$10000,引用修正!$G$2:$G$10000,$A19,引用修正!$F$2:$F$10000,F$1,引用修正!$H$2:$H$10000,"0",引用修正!$I$2:$I$10000,"0")</f>
        <v>0</v>
      </c>
      <c r="G19" s="53">
        <f>SUMIFS(引用修正!$C$2:$C$10000,引用修正!$G$2:$G$10000,$A19,引用修正!$F$2:$F$10000,G$1,引用修正!$H$2:$H$10000,"0",引用修正!$I$2:$I$10000,"0")</f>
        <v>0</v>
      </c>
      <c r="H19" s="53">
        <f>SUMIFS(引用修正!$C$2:$C$10000,引用修正!$G$2:$G$10000,$A19,引用修正!$F$2:$F$10000,H$1,引用修正!$H$2:$H$10000,"0",引用修正!$I$2:$I$10000,"0")</f>
        <v>0</v>
      </c>
      <c r="I19" s="53">
        <f>SUMIFS(引用修正!$C$2:$C$10000,引用修正!$G$2:$G$10000,$A19,引用修正!$F$2:$F$10000,I$1,引用修正!$H$2:$H$10000,"0",引用修正!$I$2:$I$10000,"0")</f>
        <v>0</v>
      </c>
      <c r="J19" s="53">
        <f>SUMIFS(引用修正!$C$2:$C$10000,引用修正!$G$2:$G$10000,$A19,引用修正!$F$2:$F$10000,J$1,引用修正!$H$2:$H$10000,"0",引用修正!$I$2:$I$10000,"0")</f>
        <v>0</v>
      </c>
      <c r="K19" s="53">
        <f>SUMIFS(引用修正!$C$2:$C$10000,引用修正!$G$2:$G$10000,$A19,引用修正!$F$2:$F$10000,K$1,引用修正!$H$2:$H$10000,"0",引用修正!$I$2:$I$10000,"0")</f>
        <v>0</v>
      </c>
      <c r="L19" s="53">
        <f>SUMIFS(引用修正!$C$2:$C$10000,引用修正!$G$2:$G$10000,$A19,引用修正!$F$2:$F$10000,L$1,引用修正!$H$2:$H$10000,"0",引用修正!$I$2:$I$10000,"0")</f>
        <v>0</v>
      </c>
      <c r="M19" s="53">
        <f>SUMIFS(引用修正!$C$2:$C$10000,引用修正!$G$2:$G$10000,$A19,引用修正!$F$2:$F$10000,M$1,引用修正!$H$2:$H$10000,"0",引用修正!$I$2:$I$10000,"0")</f>
        <v>0</v>
      </c>
    </row>
    <row r="20" s="53" customFormat="1" spans="1:13">
      <c r="A20" s="56" t="s">
        <v>3244</v>
      </c>
      <c r="B20" s="53">
        <f>SUMIFS(引用修正!$C$2:$C$10000,引用修正!$G$2:$G$10000,$A20,引用修正!$F$2:$F$10000,B$1,引用修正!$H$2:$H$10000,"0",引用修正!$I$2:$I$10000,"0")</f>
        <v>0</v>
      </c>
      <c r="C20" s="53">
        <f>SUMIFS(引用修正!$C$2:$C$10000,引用修正!$G$2:$G$10000,$A20,引用修正!$F$2:$F$10000,C$1,引用修正!$H$2:$H$10000,"0",引用修正!$I$2:$I$10000,"0")</f>
        <v>0</v>
      </c>
      <c r="D20" s="53">
        <f>SUMIFS(引用修正!$C$2:$C$10000,引用修正!$G$2:$G$10000,$A20,引用修正!$F$2:$F$10000,D$1,引用修正!$H$2:$H$10000,"0",引用修正!$I$2:$I$10000,"0")</f>
        <v>0</v>
      </c>
      <c r="E20" s="53">
        <f>SUMIFS(引用修正!$C$2:$C$10000,引用修正!$G$2:$G$10000,$A20,引用修正!$F$2:$F$10000,E$1,引用修正!$H$2:$H$10000,"0",引用修正!$I$2:$I$10000,"0")</f>
        <v>0</v>
      </c>
      <c r="F20" s="53">
        <f>SUMIFS(引用修正!$C$2:$C$10000,引用修正!$G$2:$G$10000,$A20,引用修正!$F$2:$F$10000,F$1,引用修正!$H$2:$H$10000,"0",引用修正!$I$2:$I$10000,"0")</f>
        <v>0</v>
      </c>
      <c r="G20" s="53">
        <f>SUMIFS(引用修正!$C$2:$C$10000,引用修正!$G$2:$G$10000,$A20,引用修正!$F$2:$F$10000,G$1,引用修正!$H$2:$H$10000,"0",引用修正!$I$2:$I$10000,"0")</f>
        <v>0</v>
      </c>
      <c r="H20" s="53">
        <f>SUMIFS(引用修正!$C$2:$C$10000,引用修正!$G$2:$G$10000,$A20,引用修正!$F$2:$F$10000,H$1,引用修正!$H$2:$H$10000,"0",引用修正!$I$2:$I$10000,"0")</f>
        <v>0</v>
      </c>
      <c r="I20" s="53">
        <f>SUMIFS(引用修正!$C$2:$C$10000,引用修正!$G$2:$G$10000,$A20,引用修正!$F$2:$F$10000,I$1,引用修正!$H$2:$H$10000,"0",引用修正!$I$2:$I$10000,"0")</f>
        <v>0</v>
      </c>
      <c r="J20" s="53">
        <f>SUMIFS(引用修正!$C$2:$C$10000,引用修正!$G$2:$G$10000,$A20,引用修正!$F$2:$F$10000,J$1,引用修正!$H$2:$H$10000,"0",引用修正!$I$2:$I$10000,"0")</f>
        <v>0</v>
      </c>
      <c r="K20" s="53">
        <f>SUMIFS(引用修正!$C$2:$C$10000,引用修正!$G$2:$G$10000,$A20,引用修正!$F$2:$F$10000,K$1,引用修正!$H$2:$H$10000,"0",引用修正!$I$2:$I$10000,"0")</f>
        <v>0</v>
      </c>
      <c r="L20" s="53">
        <f>SUMIFS(引用修正!$C$2:$C$10000,引用修正!$G$2:$G$10000,$A20,引用修正!$F$2:$F$10000,L$1,引用修正!$H$2:$H$10000,"0",引用修正!$I$2:$I$10000,"0")</f>
        <v>0</v>
      </c>
      <c r="M20" s="53">
        <f>SUMIFS(引用修正!$C$2:$C$10000,引用修正!$G$2:$G$10000,$A20,引用修正!$F$2:$F$10000,M$1,引用修正!$H$2:$H$10000,"0",引用修正!$I$2:$I$10000,"0")</f>
        <v>0</v>
      </c>
    </row>
    <row r="21" s="53" customFormat="1" spans="1:13">
      <c r="A21" s="56" t="s">
        <v>3245</v>
      </c>
      <c r="B21" s="53">
        <f>SUMIFS(引用修正!$C$2:$C$10000,引用修正!$G$2:$G$10000,$A21,引用修正!$F$2:$F$10000,B$1,引用修正!$H$2:$H$10000,"0",引用修正!$I$2:$I$10000,"0")</f>
        <v>0</v>
      </c>
      <c r="C21" s="53">
        <f>SUMIFS(引用修正!$C$2:$C$10000,引用修正!$G$2:$G$10000,$A21,引用修正!$F$2:$F$10000,C$1,引用修正!$H$2:$H$10000,"0",引用修正!$I$2:$I$10000,"0")</f>
        <v>0</v>
      </c>
      <c r="D21" s="53">
        <f>SUMIFS(引用修正!$C$2:$C$10000,引用修正!$G$2:$G$10000,$A21,引用修正!$F$2:$F$10000,D$1,引用修正!$H$2:$H$10000,"0",引用修正!$I$2:$I$10000,"0")</f>
        <v>0</v>
      </c>
      <c r="E21" s="53">
        <f>SUMIFS(引用修正!$C$2:$C$10000,引用修正!$G$2:$G$10000,$A21,引用修正!$F$2:$F$10000,E$1,引用修正!$H$2:$H$10000,"0",引用修正!$I$2:$I$10000,"0")</f>
        <v>0</v>
      </c>
      <c r="F21" s="53">
        <f>SUMIFS(引用修正!$C$2:$C$10000,引用修正!$G$2:$G$10000,$A21,引用修正!$F$2:$F$10000,F$1,引用修正!$H$2:$H$10000,"0",引用修正!$I$2:$I$10000,"0")</f>
        <v>0</v>
      </c>
      <c r="G21" s="53">
        <f>SUMIFS(引用修正!$C$2:$C$10000,引用修正!$G$2:$G$10000,$A21,引用修正!$F$2:$F$10000,G$1,引用修正!$H$2:$H$10000,"0",引用修正!$I$2:$I$10000,"0")</f>
        <v>0</v>
      </c>
      <c r="H21" s="53">
        <f>SUMIFS(引用修正!$C$2:$C$10000,引用修正!$G$2:$G$10000,$A21,引用修正!$F$2:$F$10000,H$1,引用修正!$H$2:$H$10000,"0",引用修正!$I$2:$I$10000,"0")</f>
        <v>0</v>
      </c>
      <c r="I21" s="53">
        <f>SUMIFS(引用修正!$C$2:$C$10000,引用修正!$G$2:$G$10000,$A21,引用修正!$F$2:$F$10000,I$1,引用修正!$H$2:$H$10000,"0",引用修正!$I$2:$I$10000,"0")</f>
        <v>0</v>
      </c>
      <c r="J21" s="53">
        <f>SUMIFS(引用修正!$C$2:$C$10000,引用修正!$G$2:$G$10000,$A21,引用修正!$F$2:$F$10000,J$1,引用修正!$H$2:$H$10000,"0",引用修正!$I$2:$I$10000,"0")</f>
        <v>0</v>
      </c>
      <c r="K21" s="53">
        <f>SUMIFS(引用修正!$C$2:$C$10000,引用修正!$G$2:$G$10000,$A21,引用修正!$F$2:$F$10000,K$1,引用修正!$H$2:$H$10000,"0",引用修正!$I$2:$I$10000,"0")</f>
        <v>0</v>
      </c>
      <c r="L21" s="53">
        <f>SUMIFS(引用修正!$C$2:$C$10000,引用修正!$G$2:$G$10000,$A21,引用修正!$F$2:$F$10000,L$1,引用修正!$H$2:$H$10000,"0",引用修正!$I$2:$I$10000,"0")</f>
        <v>0</v>
      </c>
      <c r="M21" s="53">
        <f>SUMIFS(引用修正!$C$2:$C$10000,引用修正!$G$2:$G$10000,$A21,引用修正!$F$2:$F$10000,M$1,引用修正!$H$2:$H$10000,"0",引用修正!$I$2:$I$10000,"0")</f>
        <v>0</v>
      </c>
    </row>
    <row r="22" s="53" customFormat="1" spans="1:13">
      <c r="A22" s="56" t="s">
        <v>3246</v>
      </c>
      <c r="B22" s="53">
        <f>SUMIFS(引用修正!$C$2:$C$10000,引用修正!$G$2:$G$10000,$A22,引用修正!$F$2:$F$10000,B$1,引用修正!$H$2:$H$10000,"0",引用修正!$I$2:$I$10000,"0")</f>
        <v>0</v>
      </c>
      <c r="C22" s="53">
        <f>SUMIFS(引用修正!$C$2:$C$10000,引用修正!$G$2:$G$10000,$A22,引用修正!$F$2:$F$10000,C$1,引用修正!$H$2:$H$10000,"0",引用修正!$I$2:$I$10000,"0")</f>
        <v>0</v>
      </c>
      <c r="D22" s="53">
        <f>SUMIFS(引用修正!$C$2:$C$10000,引用修正!$G$2:$G$10000,$A22,引用修正!$F$2:$F$10000,D$1,引用修正!$H$2:$H$10000,"0",引用修正!$I$2:$I$10000,"0")</f>
        <v>0</v>
      </c>
      <c r="E22" s="53">
        <f>SUMIFS(引用修正!$C$2:$C$10000,引用修正!$G$2:$G$10000,$A22,引用修正!$F$2:$F$10000,E$1,引用修正!$H$2:$H$10000,"0",引用修正!$I$2:$I$10000,"0")</f>
        <v>0</v>
      </c>
      <c r="F22" s="53">
        <f>SUMIFS(引用修正!$C$2:$C$10000,引用修正!$G$2:$G$10000,$A22,引用修正!$F$2:$F$10000,F$1,引用修正!$H$2:$H$10000,"0",引用修正!$I$2:$I$10000,"0")</f>
        <v>0</v>
      </c>
      <c r="G22" s="53">
        <f>SUMIFS(引用修正!$C$2:$C$10000,引用修正!$G$2:$G$10000,$A22,引用修正!$F$2:$F$10000,G$1,引用修正!$H$2:$H$10000,"0",引用修正!$I$2:$I$10000,"0")</f>
        <v>0</v>
      </c>
      <c r="H22" s="53">
        <f>SUMIFS(引用修正!$C$2:$C$10000,引用修正!$G$2:$G$10000,$A22,引用修正!$F$2:$F$10000,H$1,引用修正!$H$2:$H$10000,"0",引用修正!$I$2:$I$10000,"0")</f>
        <v>0</v>
      </c>
      <c r="I22" s="53">
        <f>SUMIFS(引用修正!$C$2:$C$10000,引用修正!$G$2:$G$10000,$A22,引用修正!$F$2:$F$10000,I$1,引用修正!$H$2:$H$10000,"0",引用修正!$I$2:$I$10000,"0")</f>
        <v>0</v>
      </c>
      <c r="J22" s="53">
        <f>SUMIFS(引用修正!$C$2:$C$10000,引用修正!$G$2:$G$10000,$A22,引用修正!$F$2:$F$10000,J$1,引用修正!$H$2:$H$10000,"0",引用修正!$I$2:$I$10000,"0")</f>
        <v>0</v>
      </c>
      <c r="K22" s="53">
        <f>SUMIFS(引用修正!$C$2:$C$10000,引用修正!$G$2:$G$10000,$A22,引用修正!$F$2:$F$10000,K$1,引用修正!$H$2:$H$10000,"0",引用修正!$I$2:$I$10000,"0")</f>
        <v>0</v>
      </c>
      <c r="L22" s="53">
        <f>SUMIFS(引用修正!$C$2:$C$10000,引用修正!$G$2:$G$10000,$A22,引用修正!$F$2:$F$10000,L$1,引用修正!$H$2:$H$10000,"0",引用修正!$I$2:$I$10000,"0")</f>
        <v>0</v>
      </c>
      <c r="M22" s="53">
        <f>SUMIFS(引用修正!$C$2:$C$10000,引用修正!$G$2:$G$10000,$A22,引用修正!$F$2:$F$10000,M$1,引用修正!$H$2:$H$10000,"0",引用修正!$I$2:$I$10000,"0")</f>
        <v>0</v>
      </c>
    </row>
    <row r="23" s="53" customFormat="1" spans="1:13">
      <c r="A23" s="56" t="s">
        <v>3247</v>
      </c>
      <c r="B23" s="53">
        <f>SUMIFS(引用修正!$C$2:$C$10000,引用修正!$G$2:$G$10000,$A23,引用修正!$F$2:$F$10000,B$1,引用修正!$H$2:$H$10000,"0",引用修正!$I$2:$I$10000,"0")</f>
        <v>0</v>
      </c>
      <c r="C23" s="53">
        <f>SUMIFS(引用修正!$C$2:$C$10000,引用修正!$G$2:$G$10000,$A23,引用修正!$F$2:$F$10000,C$1,引用修正!$H$2:$H$10000,"0",引用修正!$I$2:$I$10000,"0")</f>
        <v>0</v>
      </c>
      <c r="D23" s="53">
        <f>SUMIFS(引用修正!$C$2:$C$10000,引用修正!$G$2:$G$10000,$A23,引用修正!$F$2:$F$10000,D$1,引用修正!$H$2:$H$10000,"0",引用修正!$I$2:$I$10000,"0")</f>
        <v>0</v>
      </c>
      <c r="E23" s="53">
        <f>SUMIFS(引用修正!$C$2:$C$10000,引用修正!$G$2:$G$10000,$A23,引用修正!$F$2:$F$10000,E$1,引用修正!$H$2:$H$10000,"0",引用修正!$I$2:$I$10000,"0")</f>
        <v>0</v>
      </c>
      <c r="F23" s="53">
        <f>SUMIFS(引用修正!$C$2:$C$10000,引用修正!$G$2:$G$10000,$A23,引用修正!$F$2:$F$10000,F$1,引用修正!$H$2:$H$10000,"0",引用修正!$I$2:$I$10000,"0")</f>
        <v>0</v>
      </c>
      <c r="G23" s="53">
        <f>SUMIFS(引用修正!$C$2:$C$10000,引用修正!$G$2:$G$10000,$A23,引用修正!$F$2:$F$10000,G$1,引用修正!$H$2:$H$10000,"0",引用修正!$I$2:$I$10000,"0")</f>
        <v>0</v>
      </c>
      <c r="H23" s="53">
        <f>SUMIFS(引用修正!$C$2:$C$10000,引用修正!$G$2:$G$10000,$A23,引用修正!$F$2:$F$10000,H$1,引用修正!$H$2:$H$10000,"0",引用修正!$I$2:$I$10000,"0")</f>
        <v>0</v>
      </c>
      <c r="I23" s="53">
        <f>SUMIFS(引用修正!$C$2:$C$10000,引用修正!$G$2:$G$10000,$A23,引用修正!$F$2:$F$10000,I$1,引用修正!$H$2:$H$10000,"0",引用修正!$I$2:$I$10000,"0")</f>
        <v>0</v>
      </c>
      <c r="J23" s="53">
        <f>SUMIFS(引用修正!$C$2:$C$10000,引用修正!$G$2:$G$10000,$A23,引用修正!$F$2:$F$10000,J$1,引用修正!$H$2:$H$10000,"0",引用修正!$I$2:$I$10000,"0")</f>
        <v>0</v>
      </c>
      <c r="K23" s="53">
        <f>SUMIFS(引用修正!$C$2:$C$10000,引用修正!$G$2:$G$10000,$A23,引用修正!$F$2:$F$10000,K$1,引用修正!$H$2:$H$10000,"0",引用修正!$I$2:$I$10000,"0")</f>
        <v>0</v>
      </c>
      <c r="L23" s="53">
        <f>SUMIFS(引用修正!$C$2:$C$10000,引用修正!$G$2:$G$10000,$A23,引用修正!$F$2:$F$10000,L$1,引用修正!$H$2:$H$10000,"0",引用修正!$I$2:$I$10000,"0")</f>
        <v>0</v>
      </c>
      <c r="M23" s="53">
        <f>SUMIFS(引用修正!$C$2:$C$10000,引用修正!$G$2:$G$10000,$A23,引用修正!$F$2:$F$10000,M$1,引用修正!$H$2:$H$10000,"0",引用修正!$I$2:$I$10000,"0")</f>
        <v>0</v>
      </c>
    </row>
    <row r="24" s="53" customFormat="1" spans="1:13">
      <c r="A24" s="56" t="s">
        <v>3248</v>
      </c>
      <c r="B24" s="53">
        <f>SUMIFS(引用修正!$C$2:$C$10000,引用修正!$G$2:$G$10000,$A24,引用修正!$F$2:$F$10000,B$1,引用修正!$H$2:$H$10000,"0",引用修正!$I$2:$I$10000,"0")</f>
        <v>0</v>
      </c>
      <c r="C24" s="53">
        <f>SUMIFS(引用修正!$C$2:$C$10000,引用修正!$G$2:$G$10000,$A24,引用修正!$F$2:$F$10000,C$1,引用修正!$H$2:$H$10000,"0",引用修正!$I$2:$I$10000,"0")</f>
        <v>0</v>
      </c>
      <c r="D24" s="53">
        <f>SUMIFS(引用修正!$C$2:$C$10000,引用修正!$G$2:$G$10000,$A24,引用修正!$F$2:$F$10000,D$1,引用修正!$H$2:$H$10000,"0",引用修正!$I$2:$I$10000,"0")</f>
        <v>0</v>
      </c>
      <c r="E24" s="53">
        <f>SUMIFS(引用修正!$C$2:$C$10000,引用修正!$G$2:$G$10000,$A24,引用修正!$F$2:$F$10000,E$1,引用修正!$H$2:$H$10000,"0",引用修正!$I$2:$I$10000,"0")</f>
        <v>0</v>
      </c>
      <c r="F24" s="53">
        <f>SUMIFS(引用修正!$C$2:$C$10000,引用修正!$G$2:$G$10000,$A24,引用修正!$F$2:$F$10000,F$1,引用修正!$H$2:$H$10000,"0",引用修正!$I$2:$I$10000,"0")</f>
        <v>0</v>
      </c>
      <c r="G24" s="53">
        <f>SUMIFS(引用修正!$C$2:$C$10000,引用修正!$G$2:$G$10000,$A24,引用修正!$F$2:$F$10000,G$1,引用修正!$H$2:$H$10000,"0",引用修正!$I$2:$I$10000,"0")</f>
        <v>0</v>
      </c>
      <c r="H24" s="53">
        <f>SUMIFS(引用修正!$C$2:$C$10000,引用修正!$G$2:$G$10000,$A24,引用修正!$F$2:$F$10000,H$1,引用修正!$H$2:$H$10000,"0",引用修正!$I$2:$I$10000,"0")</f>
        <v>0</v>
      </c>
      <c r="I24" s="53">
        <f>SUMIFS(引用修正!$C$2:$C$10000,引用修正!$G$2:$G$10000,$A24,引用修正!$F$2:$F$10000,I$1,引用修正!$H$2:$H$10000,"0",引用修正!$I$2:$I$10000,"0")</f>
        <v>0</v>
      </c>
      <c r="J24" s="53">
        <f>SUMIFS(引用修正!$C$2:$C$10000,引用修正!$G$2:$G$10000,$A24,引用修正!$F$2:$F$10000,J$1,引用修正!$H$2:$H$10000,"0",引用修正!$I$2:$I$10000,"0")</f>
        <v>0</v>
      </c>
      <c r="K24" s="53">
        <f>SUMIFS(引用修正!$C$2:$C$10000,引用修正!$G$2:$G$10000,$A24,引用修正!$F$2:$F$10000,K$1,引用修正!$H$2:$H$10000,"0",引用修正!$I$2:$I$10000,"0")</f>
        <v>0</v>
      </c>
      <c r="L24" s="53">
        <f>SUMIFS(引用修正!$C$2:$C$10000,引用修正!$G$2:$G$10000,$A24,引用修正!$F$2:$F$10000,L$1,引用修正!$H$2:$H$10000,"0",引用修正!$I$2:$I$10000,"0")</f>
        <v>0</v>
      </c>
      <c r="M24" s="53">
        <f>SUMIFS(引用修正!$C$2:$C$10000,引用修正!$G$2:$G$10000,$A24,引用修正!$F$2:$F$10000,M$1,引用修正!$H$2:$H$10000,"0",引用修正!$I$2:$I$10000,"0")</f>
        <v>0</v>
      </c>
    </row>
    <row r="25" s="53" customFormat="1" spans="1:13">
      <c r="A25" s="56" t="s">
        <v>3249</v>
      </c>
      <c r="B25" s="53">
        <f>SUMIFS(引用修正!$C$2:$C$10000,引用修正!$G$2:$G$10000,$A25,引用修正!$F$2:$F$10000,B$1,引用修正!$H$2:$H$10000,"0",引用修正!$I$2:$I$10000,"0")</f>
        <v>0</v>
      </c>
      <c r="C25" s="53">
        <f>SUMIFS(引用修正!$C$2:$C$10000,引用修正!$G$2:$G$10000,$A25,引用修正!$F$2:$F$10000,C$1,引用修正!$H$2:$H$10000,"0",引用修正!$I$2:$I$10000,"0")</f>
        <v>0</v>
      </c>
      <c r="D25" s="53">
        <f>SUMIFS(引用修正!$C$2:$C$10000,引用修正!$G$2:$G$10000,$A25,引用修正!$F$2:$F$10000,D$1,引用修正!$H$2:$H$10000,"0",引用修正!$I$2:$I$10000,"0")</f>
        <v>0</v>
      </c>
      <c r="E25" s="53">
        <f>SUMIFS(引用修正!$C$2:$C$10000,引用修正!$G$2:$G$10000,$A25,引用修正!$F$2:$F$10000,E$1,引用修正!$H$2:$H$10000,"0",引用修正!$I$2:$I$10000,"0")</f>
        <v>0</v>
      </c>
      <c r="F25" s="53">
        <f>SUMIFS(引用修正!$C$2:$C$10000,引用修正!$G$2:$G$10000,$A25,引用修正!$F$2:$F$10000,F$1,引用修正!$H$2:$H$10000,"0",引用修正!$I$2:$I$10000,"0")</f>
        <v>0</v>
      </c>
      <c r="G25" s="53">
        <f>SUMIFS(引用修正!$C$2:$C$10000,引用修正!$G$2:$G$10000,$A25,引用修正!$F$2:$F$10000,G$1,引用修正!$H$2:$H$10000,"0",引用修正!$I$2:$I$10000,"0")</f>
        <v>0</v>
      </c>
      <c r="H25" s="53">
        <f>SUMIFS(引用修正!$C$2:$C$10000,引用修正!$G$2:$G$10000,$A25,引用修正!$F$2:$F$10000,H$1,引用修正!$H$2:$H$10000,"0",引用修正!$I$2:$I$10000,"0")</f>
        <v>0</v>
      </c>
      <c r="I25" s="53">
        <f>SUMIFS(引用修正!$C$2:$C$10000,引用修正!$G$2:$G$10000,$A25,引用修正!$F$2:$F$10000,I$1,引用修正!$H$2:$H$10000,"0",引用修正!$I$2:$I$10000,"0")</f>
        <v>0</v>
      </c>
      <c r="J25" s="53">
        <f>SUMIFS(引用修正!$C$2:$C$10000,引用修正!$G$2:$G$10000,$A25,引用修正!$F$2:$F$10000,J$1,引用修正!$H$2:$H$10000,"0",引用修正!$I$2:$I$10000,"0")</f>
        <v>0</v>
      </c>
      <c r="K25" s="53">
        <f>SUMIFS(引用修正!$C$2:$C$10000,引用修正!$G$2:$G$10000,$A25,引用修正!$F$2:$F$10000,K$1,引用修正!$H$2:$H$10000,"0",引用修正!$I$2:$I$10000,"0")</f>
        <v>0</v>
      </c>
      <c r="L25" s="53">
        <f>SUMIFS(引用修正!$C$2:$C$10000,引用修正!$G$2:$G$10000,$A25,引用修正!$F$2:$F$10000,L$1,引用修正!$H$2:$H$10000,"0",引用修正!$I$2:$I$10000,"0")</f>
        <v>0</v>
      </c>
      <c r="M25" s="53">
        <f>SUMIFS(引用修正!$C$2:$C$10000,引用修正!$G$2:$G$10000,$A25,引用修正!$F$2:$F$10000,M$1,引用修正!$H$2:$H$10000,"0",引用修正!$I$2:$I$10000,"0")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17" customWidth="1"/>
    <col min="2" max="2" width="14.5" style="26" customWidth="1"/>
    <col min="3" max="3" width="32.1272727272727" style="26" customWidth="1"/>
    <col min="4" max="5" width="9.25454545454545" customWidth="1"/>
    <col min="6" max="6" width="13.5" customWidth="1"/>
    <col min="7" max="7" width="9.25454545454545" customWidth="1"/>
    <col min="8" max="15" width="8.87272727272727" customWidth="1"/>
  </cols>
  <sheetData>
    <row r="1" spans="1:15">
      <c r="A1" s="25" t="s">
        <v>3250</v>
      </c>
      <c r="C1" s="26" t="s">
        <v>3251</v>
      </c>
      <c r="D1" s="27" t="s">
        <v>3214</v>
      </c>
      <c r="E1" s="27" t="s">
        <v>3215</v>
      </c>
      <c r="F1" s="27" t="s">
        <v>3216</v>
      </c>
      <c r="G1" s="27" t="s">
        <v>3217</v>
      </c>
      <c r="H1" s="27" t="s">
        <v>3218</v>
      </c>
      <c r="I1" s="27" t="s">
        <v>3219</v>
      </c>
      <c r="J1" s="27" t="s">
        <v>3220</v>
      </c>
      <c r="K1" s="27" t="s">
        <v>3221</v>
      </c>
      <c r="L1" s="27" t="s">
        <v>3222</v>
      </c>
      <c r="M1" s="27" t="s">
        <v>3223</v>
      </c>
      <c r="N1" s="27" t="s">
        <v>3224</v>
      </c>
      <c r="O1" s="27" t="s">
        <v>3225</v>
      </c>
    </row>
    <row r="2" ht="14.5" spans="1:15">
      <c r="A2" s="17" t="s">
        <v>3252</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4.5" spans="1:15">
      <c r="A3" s="17" t="s">
        <v>3253</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4.5" spans="1:15">
      <c r="A4" s="17" t="s">
        <v>3254</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4.5" spans="1:15">
      <c r="A5" s="17" t="s">
        <v>3255</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4.5" spans="1:15">
      <c r="A6" s="17" t="s">
        <v>3256</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4.5" spans="1:15">
      <c r="A7" s="17" t="s">
        <v>3257</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4.5" spans="1:15">
      <c r="A8" s="17" t="s">
        <v>3258</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4.5" spans="1:15">
      <c r="A9" s="17" t="s">
        <v>3259</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4.5" spans="1:15">
      <c r="A10" s="17" t="s">
        <v>3260</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4.5" spans="1:15">
      <c r="A11" s="17" t="s">
        <v>3261</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4.5" spans="1:15">
      <c r="A12" s="17" t="s">
        <v>3262</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4.5" spans="1:15">
      <c r="A13" s="17" t="s">
        <v>3263</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4.5" spans="1:15">
      <c r="A14" s="17" t="s">
        <v>3264</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4.5" spans="1:15">
      <c r="A15" s="17" t="s">
        <v>3265</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4.5" spans="1:15">
      <c r="A16" s="17" t="s">
        <v>3266</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4.5" spans="1:15">
      <c r="A17" s="17" t="s">
        <v>3267</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4.5" spans="1:15">
      <c r="A18" s="17" t="s">
        <v>3268</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4.5" spans="1:15">
      <c r="A19" s="17" t="s">
        <v>3269</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4.5" spans="1:15">
      <c r="A20" s="17" t="s">
        <v>3270</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4.5" spans="1:15">
      <c r="A21" s="17" t="s">
        <v>3271</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4.5" spans="1:15">
      <c r="A22" s="17" t="s">
        <v>3272</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4.5" spans="1:15">
      <c r="A23" s="17" t="s">
        <v>3273</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4.5" spans="1:15">
      <c r="A24" s="17" t="s">
        <v>3274</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4.5" spans="1:15">
      <c r="A25" s="17" t="s">
        <v>3275</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4.5" spans="1:15">
      <c r="A26" s="17" t="s">
        <v>3276</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4.5" spans="1:15">
      <c r="A27" s="17" t="s">
        <v>3277</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4.5" spans="1:15">
      <c r="A28" s="17" t="s">
        <v>3278</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3279</v>
      </c>
      <c r="B29" s="31"/>
      <c r="C29" s="31" t="s">
        <v>3280</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3281</v>
      </c>
      <c r="B30" s="31"/>
      <c r="C30" s="31" t="s">
        <v>3280</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3282</v>
      </c>
      <c r="B31" s="31"/>
      <c r="C31" s="31" t="s">
        <v>3280</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3283</v>
      </c>
      <c r="B32" s="31"/>
      <c r="C32" s="31" t="s">
        <v>3280</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3284</v>
      </c>
      <c r="B33" s="31"/>
      <c r="C33" s="31" t="s">
        <v>3280</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3285</v>
      </c>
      <c r="B34" s="31"/>
      <c r="C34" s="31" t="s">
        <v>3280</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5" spans="1:15">
      <c r="A35" s="32" t="s">
        <v>3286</v>
      </c>
      <c r="B35" s="31"/>
      <c r="C35" s="31" t="s">
        <v>3280</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5" spans="1:15">
      <c r="A36" s="32" t="s">
        <v>3287</v>
      </c>
      <c r="B36" s="31"/>
      <c r="C36" s="31" t="s">
        <v>3280</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3288</v>
      </c>
      <c r="B37" s="31"/>
      <c r="C37" s="31" t="s">
        <v>3280</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3289</v>
      </c>
      <c r="B38" s="31"/>
      <c r="C38" s="31" t="s">
        <v>3280</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3290</v>
      </c>
      <c r="B39" s="31"/>
      <c r="C39" s="31" t="s">
        <v>3280</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3291</v>
      </c>
      <c r="B40" s="31"/>
      <c r="C40" s="31" t="s">
        <v>3280</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3292</v>
      </c>
      <c r="B41" s="31"/>
      <c r="C41" s="31" t="s">
        <v>3280</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3293</v>
      </c>
      <c r="B42" s="31"/>
      <c r="C42" s="31" t="s">
        <v>3280</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3294</v>
      </c>
      <c r="B43" s="31"/>
      <c r="C43" s="31" t="s">
        <v>3280</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3295</v>
      </c>
      <c r="B44" s="31"/>
      <c r="C44" s="31" t="s">
        <v>3280</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3296</v>
      </c>
      <c r="B45" s="31"/>
      <c r="C45" s="31" t="s">
        <v>3280</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3297</v>
      </c>
      <c r="B46" s="31"/>
      <c r="C46" s="31" t="s">
        <v>3280</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3298</v>
      </c>
      <c r="B47" s="31"/>
      <c r="C47" s="31" t="s">
        <v>3280</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3299</v>
      </c>
      <c r="B48" s="31"/>
      <c r="C48" s="31" t="s">
        <v>3280</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3300</v>
      </c>
      <c r="B49" s="31"/>
      <c r="C49" s="31" t="s">
        <v>3280</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3301</v>
      </c>
      <c r="B50" s="31"/>
      <c r="C50" s="31" t="s">
        <v>3280</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3302</v>
      </c>
      <c r="B51" s="31"/>
      <c r="C51" s="31" t="s">
        <v>3280</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3303</v>
      </c>
      <c r="B52" s="31"/>
      <c r="C52" s="31" t="s">
        <v>3280</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3304</v>
      </c>
      <c r="B53" s="31"/>
      <c r="C53" s="31" t="s">
        <v>3280</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3305</v>
      </c>
      <c r="B54" s="31"/>
      <c r="C54" s="31" t="s">
        <v>3280</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3306</v>
      </c>
      <c r="B55" s="31"/>
      <c r="C55" s="31" t="s">
        <v>3280</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3307</v>
      </c>
      <c r="B56" s="31"/>
      <c r="C56" s="31" t="s">
        <v>3280</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3308</v>
      </c>
      <c r="B57" s="31"/>
      <c r="C57" s="31" t="s">
        <v>3280</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3309</v>
      </c>
      <c r="B58" s="31"/>
      <c r="C58" s="31" t="s">
        <v>3280</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3310</v>
      </c>
      <c r="B59" s="31"/>
      <c r="C59" s="31" t="s">
        <v>3280</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3311</v>
      </c>
      <c r="B60" s="31"/>
      <c r="C60" s="31" t="s">
        <v>3280</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3312</v>
      </c>
      <c r="B61" s="31"/>
      <c r="C61" s="31" t="s">
        <v>3280</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3313</v>
      </c>
      <c r="B62" s="31"/>
      <c r="C62" s="31" t="s">
        <v>3280</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3314</v>
      </c>
      <c r="B63" s="31"/>
      <c r="C63" s="31" t="s">
        <v>3280</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3315</v>
      </c>
      <c r="B64" s="31"/>
      <c r="C64" s="31" t="s">
        <v>3280</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3316</v>
      </c>
      <c r="B65" s="31"/>
      <c r="C65" s="31" t="s">
        <v>3280</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3317</v>
      </c>
      <c r="B66" s="31"/>
      <c r="C66" s="31" t="s">
        <v>3280</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3318</v>
      </c>
      <c r="B67" s="31"/>
      <c r="C67" s="31" t="s">
        <v>3280</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3319</v>
      </c>
      <c r="B68" s="31"/>
      <c r="C68" s="31" t="s">
        <v>3280</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3320</v>
      </c>
      <c r="B69" s="31"/>
      <c r="C69" s="31" t="s">
        <v>3280</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3321</v>
      </c>
      <c r="B70" s="31"/>
      <c r="C70" s="31" t="s">
        <v>3280</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3322</v>
      </c>
      <c r="B71" s="31"/>
      <c r="C71" s="31" t="s">
        <v>3280</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3323</v>
      </c>
      <c r="B72" s="31"/>
      <c r="C72" s="31" t="s">
        <v>3280</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3324</v>
      </c>
      <c r="B73" s="31"/>
      <c r="C73" s="31" t="s">
        <v>3280</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3325</v>
      </c>
      <c r="B74" s="31"/>
      <c r="C74" s="31" t="s">
        <v>3280</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3326</v>
      </c>
      <c r="B75" s="31"/>
      <c r="C75" s="31" t="s">
        <v>3280</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3327</v>
      </c>
      <c r="B76" s="31"/>
      <c r="C76" s="31" t="s">
        <v>3280</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3328</v>
      </c>
      <c r="B77" s="31"/>
      <c r="C77" s="31" t="s">
        <v>3280</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3329</v>
      </c>
      <c r="B78" s="31"/>
      <c r="C78" s="31" t="s">
        <v>3280</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3330</v>
      </c>
      <c r="B79" s="31"/>
      <c r="C79" s="31" t="s">
        <v>3280</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3331</v>
      </c>
      <c r="B80" s="31"/>
      <c r="C80" s="31" t="s">
        <v>3280</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3332</v>
      </c>
      <c r="B81" s="31"/>
      <c r="C81" s="31" t="s">
        <v>3280</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3333</v>
      </c>
      <c r="B82" s="31"/>
      <c r="C82" s="31" t="s">
        <v>3280</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3334</v>
      </c>
      <c r="B83" s="31"/>
      <c r="C83" s="31" t="s">
        <v>3280</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3335</v>
      </c>
      <c r="B84" s="31"/>
      <c r="C84" s="31" t="s">
        <v>3280</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3336</v>
      </c>
      <c r="B85" s="31"/>
      <c r="C85" s="31" t="s">
        <v>3280</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3337</v>
      </c>
      <c r="B86" s="31"/>
      <c r="C86" s="31" t="s">
        <v>3280</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3338</v>
      </c>
      <c r="B87" s="31"/>
      <c r="C87" s="31" t="s">
        <v>3280</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3339</v>
      </c>
      <c r="B88" s="31"/>
      <c r="C88" s="31" t="s">
        <v>3280</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3340</v>
      </c>
      <c r="B89" s="31"/>
      <c r="C89" s="31" t="s">
        <v>3280</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3341</v>
      </c>
      <c r="B90" s="31"/>
      <c r="C90" s="31" t="s">
        <v>3280</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4.5" spans="1:15">
      <c r="A91" s="17" t="s">
        <v>3342</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4.5" spans="1:15">
      <c r="A92" s="17" t="s">
        <v>3343</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4.5" spans="1:15">
      <c r="A93" s="17" t="s">
        <v>3344</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4.5" spans="1:15">
      <c r="A94" s="17" t="s">
        <v>3345</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4.5" spans="1:15">
      <c r="A95" s="17" t="s">
        <v>3346</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4.5" spans="1:15">
      <c r="A96" s="17" t="s">
        <v>3347</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4.5" spans="1:15">
      <c r="A97" s="17" t="s">
        <v>3348</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4.5" spans="1:15">
      <c r="A98" s="17" t="s">
        <v>3349</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4.5" spans="1:15">
      <c r="A99" s="17" t="s">
        <v>3350</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4.5" spans="1:15">
      <c r="A100" s="17" t="s">
        <v>3351</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4.5" spans="1:15">
      <c r="A101" s="17" t="s">
        <v>3352</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4.5" spans="1:15">
      <c r="A102" s="17" t="s">
        <v>3353</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4.5" spans="1:15">
      <c r="A103" s="17" t="s">
        <v>3354</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4.5" spans="1:15">
      <c r="A104" s="17" t="s">
        <v>3355</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5" spans="1:15">
      <c r="A105" s="49" t="s">
        <v>3356</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4.5" spans="1:15">
      <c r="A106" s="17" t="s">
        <v>3357</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4.5" spans="1:15">
      <c r="A107" s="17" t="s">
        <v>3358</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5" spans="1:15">
      <c r="A108" s="49" t="s">
        <v>3359</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4.5" spans="1:15">
      <c r="A109" s="17" t="s">
        <v>3360</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4.5" spans="1:15">
      <c r="A110" s="17" t="s">
        <v>3361</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4.5" spans="1:15">
      <c r="A111" s="17" t="s">
        <v>3362</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4.5" spans="1:15">
      <c r="A112" s="17" t="s">
        <v>3363</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4.5" spans="1:15">
      <c r="A113" s="17" t="s">
        <v>3364</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4.5" spans="1:15">
      <c r="A114" s="17" t="s">
        <v>3365</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4.5" spans="1:15">
      <c r="A115" s="17" t="s">
        <v>3366</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4.5" spans="1:15">
      <c r="A116" s="17" t="s">
        <v>3367</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4.5" spans="1:15">
      <c r="A117" s="17" t="s">
        <v>3368</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4.5" spans="1:15">
      <c r="A118" s="17" t="s">
        <v>3369</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4.5" spans="1:15">
      <c r="A119" s="17" t="s">
        <v>3370</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4.5" spans="1:15">
      <c r="A120" s="17" t="s">
        <v>3371</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4.5" spans="1:15">
      <c r="A121" s="17" t="s">
        <v>3372</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4.5" spans="1:15">
      <c r="A122" s="17" t="s">
        <v>3373</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4.5" spans="1:15">
      <c r="A123" s="17" t="s">
        <v>3374</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4.5" spans="1:15">
      <c r="A124" s="17" t="s">
        <v>3375</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4.5" spans="1:15">
      <c r="A125" s="17" t="s">
        <v>3376</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4.5" spans="1:15">
      <c r="A126" s="17" t="s">
        <v>3377</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4.5" spans="1:15">
      <c r="A127" s="17" t="s">
        <v>3378</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4.5" spans="1:15">
      <c r="A128" s="17" t="s">
        <v>3379</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4.5" spans="1:15">
      <c r="A129" s="17" t="s">
        <v>3380</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4.5" spans="1:15">
      <c r="A130" s="17" t="s">
        <v>3381</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4.5" spans="1:15">
      <c r="A131" s="17" t="s">
        <v>3382</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4.5" spans="1:15">
      <c r="A132" s="17" t="s">
        <v>3383</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4.5" spans="1:15">
      <c r="A133" s="17" t="s">
        <v>3384</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4.5" spans="1:15">
      <c r="A134" s="17" t="s">
        <v>3385</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4.5" spans="1:15">
      <c r="A135" s="17" t="s">
        <v>3386</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4.5" spans="1:15">
      <c r="A136" s="17" t="s">
        <v>3387</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4.5" spans="1:15">
      <c r="A137" s="17" t="s">
        <v>3388</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4.5" spans="1:15">
      <c r="A138" s="17" t="s">
        <v>3389</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4.5" spans="1:15">
      <c r="A139" s="17" t="s">
        <v>3390</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4.5" spans="1:15">
      <c r="A140" s="17" t="s">
        <v>3391</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4.5" spans="1:15">
      <c r="A141" s="17" t="s">
        <v>3392</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4.5" spans="1:15">
      <c r="A142" s="17" t="s">
        <v>3393</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4.5" spans="1:15">
      <c r="A143" s="17" t="s">
        <v>3394</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4.5" spans="1:15">
      <c r="A144" s="17" t="s">
        <v>3395</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4.5" spans="1:15">
      <c r="A145" s="17" t="s">
        <v>3396</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4.5" spans="1:15">
      <c r="A146" s="17" t="s">
        <v>3397</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4.5" spans="1:15">
      <c r="A147" s="17" t="s">
        <v>3398</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4.5" spans="1:15">
      <c r="A148" s="17" t="s">
        <v>3399</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4.5" spans="1:15">
      <c r="A149" s="17" t="s">
        <v>3400</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4.5" spans="1:15">
      <c r="A150" s="17" t="s">
        <v>3401</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4.5" spans="1:15">
      <c r="A151" s="17" t="s">
        <v>3402</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4.5" spans="1:15">
      <c r="A152" s="17" t="s">
        <v>3403</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4.5" spans="1:15">
      <c r="A153" s="17" t="s">
        <v>3404</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4.5" spans="1:15">
      <c r="A154" s="17" t="s">
        <v>3405</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4.5" spans="1:15">
      <c r="A155" s="17" t="s">
        <v>3406</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4.5" spans="1:15">
      <c r="A156" s="17" t="s">
        <v>3407</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4.5" spans="1:15">
      <c r="A157" s="17" t="s">
        <v>3408</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4.5" spans="1:15">
      <c r="A158" s="17" t="s">
        <v>3409</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4.5" spans="1:15">
      <c r="A159" s="17" t="s">
        <v>3410</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4.5" spans="1:15">
      <c r="A160" s="17" t="s">
        <v>3411</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4.5" spans="1:15">
      <c r="A161" s="17" t="s">
        <v>3412</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4.5" spans="1:15">
      <c r="A162" s="17" t="s">
        <v>3413</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4.5" spans="1:15">
      <c r="A163" s="17" t="s">
        <v>3414</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4.5" spans="1:15">
      <c r="A164" s="17" t="s">
        <v>3415</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4.5" spans="1:15">
      <c r="A165" s="17" t="s">
        <v>3416</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4.5" spans="1:15">
      <c r="A166" s="17" t="s">
        <v>3417</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4.5" spans="1:15">
      <c r="A167" s="17" t="s">
        <v>3418</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4.5" spans="1:15">
      <c r="A168" s="17" t="s">
        <v>3419</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4.5" spans="1:15">
      <c r="A169" s="17" t="s">
        <v>3420</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4.5" spans="1:15">
      <c r="A170" s="17" t="s">
        <v>3421</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4.5" spans="1:15">
      <c r="A171" s="17" t="s">
        <v>3422</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4.5" spans="1:15">
      <c r="A172" s="17" t="s">
        <v>3423</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4.5" spans="1:15">
      <c r="A173" s="17" t="s">
        <v>3424</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4.5" spans="1:15">
      <c r="A174" s="17" t="s">
        <v>3425</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4.5" spans="1:15">
      <c r="A175" s="17" t="s">
        <v>3426</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4.5" spans="1:15">
      <c r="A176" s="17" t="s">
        <v>3427</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4.5" spans="1:15">
      <c r="A177" s="17" t="s">
        <v>3428</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4.5" spans="1:15">
      <c r="A178" s="17" t="s">
        <v>3429</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4.5" spans="1:15">
      <c r="A179" s="17" t="s">
        <v>3430</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4.5" spans="1:15">
      <c r="A180" s="17" t="s">
        <v>3431</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4.5" spans="1:15">
      <c r="A181" s="17" t="s">
        <v>3432</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4.5" spans="1:15">
      <c r="A182" s="17" t="s">
        <v>3433</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4.5" spans="1:15">
      <c r="A183" s="17" t="s">
        <v>3434</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4.5" spans="1:15">
      <c r="A184" s="17" t="s">
        <v>3435</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4.5" spans="1:15">
      <c r="A185" s="17" t="s">
        <v>3436</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4.5" spans="1:15">
      <c r="A186" s="17" t="s">
        <v>3437</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4.5" spans="1:15">
      <c r="A187" s="17" t="s">
        <v>3438</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4.5" spans="1:15">
      <c r="A188" s="17" t="s">
        <v>3439</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4.5" spans="1:15">
      <c r="A189" s="17" t="s">
        <v>3440</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4.5" spans="1:15">
      <c r="A190" s="17" t="s">
        <v>3441</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4.5" spans="1:15">
      <c r="A191" s="17" t="s">
        <v>3442</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4.5" spans="1:15">
      <c r="A192" s="17" t="s">
        <v>3443</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4.5" spans="1:15">
      <c r="A193" s="17" t="s">
        <v>3444</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4.5" spans="1:15">
      <c r="A194" s="17" t="s">
        <v>3445</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4.5" spans="1:15">
      <c r="A195" s="17" t="s">
        <v>3446</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4.5" spans="1:15">
      <c r="A196" s="17" t="s">
        <v>3447</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4.5" spans="1:15">
      <c r="A197" s="17" t="s">
        <v>3448</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4.5" spans="1:15">
      <c r="A198" s="17" t="s">
        <v>3449</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4.5" spans="1:15">
      <c r="A199" s="17" t="s">
        <v>3450</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4.5" spans="1:15">
      <c r="A200" s="17" t="s">
        <v>3451</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4.5" spans="1:15">
      <c r="A201" s="17" t="s">
        <v>3452</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4.5" spans="1:15">
      <c r="A202" s="17" t="s">
        <v>3453</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4.5" spans="1:15">
      <c r="A203" s="17" t="s">
        <v>3454</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5" spans="1:15">
      <c r="A204" s="49" t="s">
        <v>3455</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4.5" spans="1:15">
      <c r="A205" s="17" t="s">
        <v>3456</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4.5" spans="1:15">
      <c r="A206" s="17" t="s">
        <v>3457</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4.5" spans="1:15">
      <c r="A207" s="17" t="s">
        <v>3458</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4.5" spans="1:15">
      <c r="A208" s="17" t="s">
        <v>3459</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4.5" spans="1:15">
      <c r="A209" s="17" t="s">
        <v>3460</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4.5" spans="1:15">
      <c r="A210" s="17" t="s">
        <v>3461</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4.5" spans="1:15">
      <c r="A211" s="17" t="s">
        <v>3462</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4.5" spans="1:15">
      <c r="A212" s="17" t="s">
        <v>3463</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4.5" spans="1:15">
      <c r="A213" s="17" t="s">
        <v>3464</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4.5" spans="1:15">
      <c r="A214" s="17" t="s">
        <v>3465</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4.5" spans="1:15">
      <c r="A215" s="17" t="s">
        <v>3466</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4.5" spans="1:15">
      <c r="A216" s="17" t="s">
        <v>3467</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4.5" spans="1:15">
      <c r="A217" s="17" t="s">
        <v>3468</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4.5" spans="1:15">
      <c r="A218" s="17" t="s">
        <v>3469</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4.5" spans="1:15">
      <c r="A219" s="17" t="s">
        <v>3470</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4.5" spans="1:15">
      <c r="A220" s="17" t="s">
        <v>3471</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4.5" spans="1:15">
      <c r="A221" s="17" t="s">
        <v>3472</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4.5" spans="1:15">
      <c r="A222" s="17" t="s">
        <v>3473</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4.5" spans="1:15">
      <c r="A223" s="17" t="s">
        <v>3474</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4.5" spans="1:15">
      <c r="A224" s="17" t="s">
        <v>3475</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4.5" spans="1:15">
      <c r="A225" s="17" t="s">
        <v>3476</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4.5" spans="1:15">
      <c r="A226" s="17" t="s">
        <v>3477</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4.5" spans="1:15">
      <c r="A227" s="17" t="s">
        <v>3478</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4.5" spans="1:15">
      <c r="A228" s="17" t="s">
        <v>3479</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4.5" spans="1:15">
      <c r="A229" s="17" t="s">
        <v>3480</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4.5" spans="1:15">
      <c r="A230" s="17" t="s">
        <v>3481</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4.5" spans="1:15">
      <c r="A231" s="17" t="s">
        <v>3482</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4.5" spans="1:15">
      <c r="A232" s="17" t="s">
        <v>3483</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4.5" spans="1:15">
      <c r="A233" s="17" t="s">
        <v>3484</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5" spans="1:15">
      <c r="A234" s="49" t="s">
        <v>3485</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5" spans="1:15">
      <c r="A235" s="49" t="s">
        <v>3486</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5" spans="1:15">
      <c r="A236" s="49" t="s">
        <v>3487</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5" spans="1:15">
      <c r="A237" s="49" t="s">
        <v>3488</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5" spans="1:15">
      <c r="A238" s="49" t="s">
        <v>3489</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5" spans="1:15">
      <c r="A239" s="49" t="s">
        <v>3490</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5" spans="1:15">
      <c r="A240" s="49" t="s">
        <v>3491</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4.5" spans="1:15">
      <c r="A241" s="17" t="s">
        <v>3492</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4.5" spans="1:15">
      <c r="A242" s="17" t="s">
        <v>3493</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5" spans="1:15">
      <c r="A243" s="49" t="s">
        <v>3494</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30" spans="1:15">
      <c r="A244" s="49" t="s">
        <v>3495</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5" spans="1:15">
      <c r="A245" s="49" t="s">
        <v>3496</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4.5" spans="1:15">
      <c r="A246" s="17" t="s">
        <v>3497</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5" spans="1:15">
      <c r="A247" s="49" t="s">
        <v>3498</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5" spans="1:15">
      <c r="A248" s="49" t="s">
        <v>3499</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5" spans="1:15">
      <c r="A249" s="49" t="s">
        <v>3500</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5" spans="1:15">
      <c r="A250" s="49" t="s">
        <v>3501</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5" spans="1:15">
      <c r="A251" s="49" t="s">
        <v>3502</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4.5" spans="1:15">
      <c r="A252" s="17" t="s">
        <v>3503</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4.5" spans="1:15">
      <c r="A253" s="17" t="s">
        <v>3504</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4.5" spans="1:15">
      <c r="A254" s="17" t="s">
        <v>3505</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4.5" spans="1:15">
      <c r="A255" s="17" t="s">
        <v>3506</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4.5" spans="1:15">
      <c r="A256" s="17" t="s">
        <v>3507</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4.5" spans="1:15">
      <c r="A257" s="17" t="s">
        <v>3508</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4.5" spans="1:15">
      <c r="A258" s="17" t="s">
        <v>3509</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4.5" spans="1:15">
      <c r="A259" s="17" t="s">
        <v>3510</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4.5" spans="1:15">
      <c r="A260" s="17" t="s">
        <v>3511</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4.5" spans="1:15">
      <c r="A261" s="17" t="s">
        <v>3512</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4.5" spans="1:15">
      <c r="A262" s="17" t="s">
        <v>3513</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4.5" spans="1:15">
      <c r="A263" s="17" t="s">
        <v>3514</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4.5" spans="1:15">
      <c r="A264" s="17" t="s">
        <v>3515</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4.5" spans="1:15">
      <c r="A265" s="17" t="s">
        <v>3516</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4.5" spans="1:15">
      <c r="A266" s="17" t="s">
        <v>3517</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4.5" spans="1:15">
      <c r="A267" s="17" t="s">
        <v>3518</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4.5" spans="1:15">
      <c r="A268" s="17" t="s">
        <v>3519</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4.5" spans="1:15">
      <c r="A269" s="17" t="s">
        <v>3520</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4.5" spans="1:15">
      <c r="A270" s="17" t="s">
        <v>3521</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4.5" spans="1:15">
      <c r="A271" s="17" t="s">
        <v>3522</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4.5" spans="1:15">
      <c r="A272" s="17" t="s">
        <v>3523</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4.5" spans="1:15">
      <c r="A273" s="17" t="s">
        <v>3524</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4.5" spans="1:15">
      <c r="A274" s="17" t="s">
        <v>3525</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4.5" spans="1:15">
      <c r="A275" s="17" t="s">
        <v>3526</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4.5" spans="1:15">
      <c r="A276" s="17" t="s">
        <v>3527</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4.5" spans="1:15">
      <c r="A277" s="17" t="s">
        <v>3528</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4.5" spans="1:15">
      <c r="A278" s="17" t="s">
        <v>3529</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4.5" spans="1:15">
      <c r="A279" s="17" t="s">
        <v>3530</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4.5" spans="1:15">
      <c r="A280" s="17" t="s">
        <v>3531</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4.5" spans="1:15">
      <c r="A281" s="17" t="s">
        <v>3532</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4.5" spans="1:15">
      <c r="A282" s="17" t="s">
        <v>3533</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4.5" spans="1:15">
      <c r="A283" s="17" t="s">
        <v>3534</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4.5" spans="1:15">
      <c r="A284" s="17" t="s">
        <v>3535</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4.5" spans="1:15">
      <c r="A285" s="17" t="s">
        <v>3536</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4.5" spans="1:15">
      <c r="A286" s="17" t="s">
        <v>3537</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4.5" spans="1:15">
      <c r="A287" s="17" t="s">
        <v>3538</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4.5" spans="1:15">
      <c r="A288" s="17" t="s">
        <v>3539</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4.5" spans="1:15">
      <c r="A289" s="17" t="s">
        <v>3540</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5" spans="1:15">
      <c r="A290" s="49" t="s">
        <v>3541</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4.5" spans="1:15">
      <c r="A291" s="17" t="s">
        <v>3542</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4.5" spans="1:15">
      <c r="A292" s="17" t="s">
        <v>3543</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4.5" spans="1:15">
      <c r="A293" s="17" t="s">
        <v>3544</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4.5" spans="1:15">
      <c r="A294" s="17" t="s">
        <v>3545</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4.5" spans="1:15">
      <c r="A295" s="17" t="s">
        <v>3546</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4.5" spans="1:15">
      <c r="A296" s="17" t="s">
        <v>3547</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4.5" spans="1:15">
      <c r="A297" s="17" t="s">
        <v>3548</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4.5" spans="1:15">
      <c r="A298" s="17" t="s">
        <v>3549</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4.5" spans="1:15">
      <c r="A299" s="17" t="s">
        <v>3550</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4.5" spans="1:15">
      <c r="A300" s="17" t="s">
        <v>3551</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4.5" spans="1:15">
      <c r="A301" s="17" t="s">
        <v>3552</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4.5" spans="1:15">
      <c r="A302" s="17" t="s">
        <v>3553</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4.5" spans="1:15">
      <c r="A303" s="17" t="s">
        <v>3554</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4.5" spans="1:15">
      <c r="A304" s="17" t="s">
        <v>3555</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4.5" spans="1:15">
      <c r="A305" s="17" t="s">
        <v>3556</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4.5" spans="1:15">
      <c r="A306" s="17" t="s">
        <v>3557</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4.5" spans="1:15">
      <c r="A307" s="17" t="s">
        <v>3558</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4.5" spans="1:15">
      <c r="A308" s="17" t="s">
        <v>3559</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4.5" spans="1:15">
      <c r="A309" s="17" t="s">
        <v>3560</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4.5" spans="1:15">
      <c r="A310" s="17" t="s">
        <v>3561</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4.5" spans="1:15">
      <c r="A311" s="17" t="s">
        <v>3562</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4.5" spans="1:15">
      <c r="A312" s="17" t="s">
        <v>3563</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4.5" spans="1:15">
      <c r="A313" s="17" t="s">
        <v>3564</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4.5" spans="1:15">
      <c r="A314" s="17" t="s">
        <v>3565</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4.5" spans="1:15">
      <c r="A315" s="17" t="s">
        <v>3566</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4.5" spans="1:15">
      <c r="A316" s="17" t="s">
        <v>3567</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4.5" spans="1:15">
      <c r="A317" s="17" t="s">
        <v>3568</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4.5" spans="1:15">
      <c r="A318" s="17" t="s">
        <v>3569</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4.5" spans="1:15">
      <c r="A319" s="17" t="s">
        <v>3570</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4.5" spans="1:15">
      <c r="A320" s="17" t="s">
        <v>3571</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4.5" spans="1:15">
      <c r="A321" s="17" t="s">
        <v>3572</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4.5" spans="1:15">
      <c r="A322" s="17" t="s">
        <v>3573</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4.5" spans="1:15">
      <c r="A323" s="17" t="s">
        <v>3574</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4.5" spans="1:15">
      <c r="A324" s="17" t="s">
        <v>3575</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4.5" spans="1:15">
      <c r="A325" s="17" t="s">
        <v>3576</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4.5" spans="1:15">
      <c r="A326" s="17" t="s">
        <v>3577</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4.5" spans="1:15">
      <c r="A327" s="17" t="s">
        <v>3578</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4.5" spans="1:15">
      <c r="A328" s="17" t="s">
        <v>3579</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4.5" spans="1:15">
      <c r="A329" s="17" t="s">
        <v>3580</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4.5" spans="1:15">
      <c r="A330" s="17" t="s">
        <v>3581</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4.5" spans="1:15">
      <c r="A331" s="17" t="s">
        <v>3582</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4.5" spans="1:15">
      <c r="A332" s="17" t="s">
        <v>3583</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4.5" spans="1:15">
      <c r="A333" s="17" t="s">
        <v>3584</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4.5" spans="1:15">
      <c r="A334" s="17" t="s">
        <v>3585</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4.5" spans="1:15">
      <c r="A335" s="17" t="s">
        <v>3586</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4.5" spans="1:15">
      <c r="A336" s="17" t="s">
        <v>3587</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4.5" spans="1:15">
      <c r="A337" s="17" t="s">
        <v>3588</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4.5" spans="1:15">
      <c r="A338" s="17" t="s">
        <v>3589</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4.5" spans="1:15">
      <c r="A339" s="17" t="s">
        <v>3590</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4.5" spans="1:15">
      <c r="A340" s="17" t="s">
        <v>3591</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4.5" spans="1:15">
      <c r="A341" s="17" t="s">
        <v>3592</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4.5" spans="1:15">
      <c r="A342" s="17" t="s">
        <v>3593</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4.5" spans="1:15">
      <c r="A343" s="17" t="s">
        <v>3594</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4.5" spans="1:15">
      <c r="A344" s="17" t="s">
        <v>3595</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4.5" spans="1:15">
      <c r="A345" s="17" t="s">
        <v>3596</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4.5" spans="1:15">
      <c r="A346" s="17" t="s">
        <v>3597</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4.5" spans="1:15">
      <c r="A347" s="17" t="s">
        <v>3598</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4.5" spans="1:15">
      <c r="A348" s="17" t="s">
        <v>3599</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4.5" spans="1:15">
      <c r="A349" s="17" t="s">
        <v>3600</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4.5" spans="1:15">
      <c r="A350" s="17" t="s">
        <v>3601</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4.5" spans="1:15">
      <c r="A351" s="17" t="s">
        <v>3602</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4.5" spans="1:15">
      <c r="A352" s="17" t="s">
        <v>3603</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4.5" spans="1:15">
      <c r="A353" s="17" t="s">
        <v>3604</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4.5" spans="1:15">
      <c r="A354" s="17" t="s">
        <v>3605</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4.5" spans="1:15">
      <c r="A355" s="17" t="s">
        <v>3606</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4.5" spans="1:15">
      <c r="A356" s="17" t="s">
        <v>3607</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4.5" spans="1:15">
      <c r="A357" s="17" t="s">
        <v>3608</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4.5" spans="1:15">
      <c r="A358" s="17" t="s">
        <v>3609</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4.5" spans="1:15">
      <c r="A359" s="17" t="s">
        <v>3610</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4.5" spans="1:15">
      <c r="A360" s="17" t="s">
        <v>3611</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4.5" spans="1:15">
      <c r="A361" s="17" t="s">
        <v>3612</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4.5" spans="1:15">
      <c r="A362" s="17" t="s">
        <v>3613</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4.5" spans="1:15">
      <c r="A363" s="17" t="s">
        <v>3614</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4.5" spans="1:15">
      <c r="A364" s="17" t="s">
        <v>3615</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4.5" spans="1:15">
      <c r="A365" s="17" t="s">
        <v>3616</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5" spans="1:15">
      <c r="A366" s="49" t="s">
        <v>3617</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4.5" spans="1:15">
      <c r="A367" s="17" t="s">
        <v>3618</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4.5" spans="1:15">
      <c r="A368" s="17" t="s">
        <v>3619</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5" spans="1:15">
      <c r="A369" s="49" t="s">
        <v>3620</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4.5" spans="1:15">
      <c r="A370" s="17" t="s">
        <v>3621</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4.5" spans="1:15">
      <c r="A371" s="17" t="s">
        <v>3622</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4.5" spans="1:15">
      <c r="A372" s="17" t="s">
        <v>3623</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4.5" spans="1:15">
      <c r="A373" s="17" t="s">
        <v>3624</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4.5" spans="1:15">
      <c r="A374" s="17" t="s">
        <v>3625</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4.5" spans="1:15">
      <c r="A375" s="17" t="s">
        <v>3626</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5" spans="1:15">
      <c r="A376" s="49" t="s">
        <v>3627</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4.5" spans="1:15">
      <c r="A377" s="17" t="s">
        <v>3628</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4.5" spans="1:15">
      <c r="A378" s="17" t="s">
        <v>3629</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4.5" spans="1:15">
      <c r="A379" s="17" t="s">
        <v>3630</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4.5" spans="1:15">
      <c r="A380" s="17" t="s">
        <v>3631</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4.5" spans="1:15">
      <c r="A381" s="17" t="s">
        <v>3632</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4.5" spans="1:15">
      <c r="A382" s="17" t="s">
        <v>3633</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4.5" spans="1:15">
      <c r="A383" s="17" t="s">
        <v>3634</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5" spans="1:15">
      <c r="A384" s="49" t="s">
        <v>3635</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5" spans="1:15">
      <c r="A385" s="49" t="s">
        <v>3636</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4.5" spans="1:15">
      <c r="A386" s="17" t="s">
        <v>3637</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4.5" spans="1:15">
      <c r="A387" s="17" t="s">
        <v>3638</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4.5" spans="1:15">
      <c r="A388" s="17" t="s">
        <v>3639</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4.5" spans="1:15">
      <c r="A389" s="17" t="s">
        <v>3640</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4.5" spans="1:15">
      <c r="A390" s="17" t="s">
        <v>3641</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5" spans="1:15">
      <c r="A391" s="49" t="s">
        <v>3642</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5" spans="1:15">
      <c r="A392" s="49" t="s">
        <v>3643</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5" spans="1:15">
      <c r="A393" s="49" t="s">
        <v>3644</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5" spans="1:15">
      <c r="A394" s="49" t="s">
        <v>3645</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4.5" spans="1:15">
      <c r="A395" s="17" t="s">
        <v>3646</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4.5" spans="1:15">
      <c r="A396" s="17" t="s">
        <v>3647</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4.5" spans="1:15">
      <c r="A397" s="17" t="s">
        <v>3648</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4.5" spans="1:15">
      <c r="A398" s="17" t="s">
        <v>3649</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4.5" spans="1:15">
      <c r="A399" s="17" t="s">
        <v>3650</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4.5" spans="1:15">
      <c r="A400" s="17" t="s">
        <v>3651</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5" spans="1:15">
      <c r="A401" s="49" t="s">
        <v>3652</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4.5" spans="1:15">
      <c r="A402" s="17" t="s">
        <v>3653</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4.5" spans="1:15">
      <c r="A403" s="17" t="s">
        <v>3654</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4.5" spans="1:15">
      <c r="A404" s="17" t="s">
        <v>3655</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4.5" spans="1:15">
      <c r="A405" s="17" t="s">
        <v>3656</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4.5" spans="1:15">
      <c r="A406" s="17" t="s">
        <v>3657</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4.5" spans="1:15">
      <c r="A407" s="17" t="s">
        <v>3658</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4.5" spans="1:15">
      <c r="A408" s="17" t="s">
        <v>3659</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4.5" spans="1:15">
      <c r="A409" s="17" t="s">
        <v>3660</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4.5" spans="1:15">
      <c r="A410" s="17" t="s">
        <v>3661</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4.5" spans="1:15">
      <c r="A411" s="17" t="s">
        <v>3662</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5" spans="1:15">
      <c r="A412" s="49" t="s">
        <v>3663</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5" spans="1:15">
      <c r="A413" s="49" t="s">
        <v>3664</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4.5" spans="1:15">
      <c r="A414" s="17" t="s">
        <v>3665</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4.5" spans="1:15">
      <c r="A415" s="17" t="s">
        <v>3666</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4.5" spans="1:15">
      <c r="A416" s="17" t="s">
        <v>3667</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4.5" spans="1:15">
      <c r="A417" s="17" t="s">
        <v>3668</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4.5" spans="1:15">
      <c r="A418" s="17" t="s">
        <v>3669</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5" spans="1:15">
      <c r="A419" s="49" t="s">
        <v>3670</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5" spans="1:15">
      <c r="A420" s="49" t="s">
        <v>3671</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4.5" spans="1:15">
      <c r="A421" s="17" t="s">
        <v>3672</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4.5" spans="1:15">
      <c r="A422" s="17" t="s">
        <v>3673</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4.5" spans="1:15">
      <c r="A423" s="17" t="s">
        <v>3674</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5" spans="1:15">
      <c r="A424" s="49" t="s">
        <v>3675</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4.5" spans="1:15">
      <c r="A425" s="17" t="s">
        <v>3676</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5" spans="1:15">
      <c r="A426" s="49" t="s">
        <v>3677</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5" spans="1:15">
      <c r="A427" s="49" t="s">
        <v>3678</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4.5" spans="1:15">
      <c r="A428" s="17" t="s">
        <v>3679</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4.5" spans="1:15">
      <c r="A429" s="17" t="s">
        <v>3680</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4.5" spans="1:15">
      <c r="A430" s="17" t="s">
        <v>3681</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4.5" spans="1:15">
      <c r="A431" s="17" t="s">
        <v>3682</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4.5" spans="1:15">
      <c r="A432" s="17" t="s">
        <v>3683</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4.5" spans="1:15">
      <c r="A433" s="17" t="s">
        <v>3684</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4.5" spans="1:15">
      <c r="A434" s="17" t="s">
        <v>3685</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5" spans="1:15">
      <c r="A435" s="49" t="s">
        <v>3686</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5" spans="1:15">
      <c r="A436" s="49" t="s">
        <v>3687</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4.5" spans="1:15">
      <c r="A437" s="17" t="s">
        <v>3688</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4.5" spans="1:15">
      <c r="A438" s="17" t="s">
        <v>3689</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4.5" spans="1:15">
      <c r="A439" s="17" t="s">
        <v>3690</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4.5" spans="1:15">
      <c r="A440" s="17" t="s">
        <v>3691</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4.5" spans="1:15">
      <c r="A441" s="17" t="s">
        <v>3692</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4.5" spans="1:15">
      <c r="A442" s="17" t="s">
        <v>3693</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4.5" spans="1:15">
      <c r="A443" s="17" t="s">
        <v>3694</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4.5" spans="1:15">
      <c r="A444" s="17" t="s">
        <v>3695</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5" spans="1:15">
      <c r="A445" s="49" t="s">
        <v>3696</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4.5" spans="1:15">
      <c r="A446" s="17" t="s">
        <v>3697</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4.5" spans="1:15">
      <c r="A447" s="17" t="s">
        <v>3698</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5" spans="1:15">
      <c r="A448" s="36" t="s">
        <v>3699</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4.5" spans="1:15">
      <c r="A449" s="17" t="s">
        <v>3700</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4.5" spans="1:15">
      <c r="A450" s="17" t="s">
        <v>3701</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4.5" spans="1:15">
      <c r="A451" s="17" t="s">
        <v>3702</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4.5" spans="1:15">
      <c r="A452" s="17" t="s">
        <v>3703</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4.5" spans="1:15">
      <c r="A453" s="17" t="s">
        <v>3704</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4.5" spans="1:15">
      <c r="A454" s="17" t="s">
        <v>3705</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4.5" spans="1:15">
      <c r="A455" s="17" t="s">
        <v>3706</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4.5" spans="1:15">
      <c r="A456" s="17" t="s">
        <v>3707</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4.5" spans="1:15">
      <c r="A457" s="17" t="s">
        <v>3708</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4.5" spans="1:15">
      <c r="A458" s="17" t="s">
        <v>3709</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4.5" spans="1:15">
      <c r="A459" s="17" t="s">
        <v>3710</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4.5" spans="1:15">
      <c r="A460" s="17" t="s">
        <v>3711</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4.5" spans="1:15">
      <c r="A461" s="17" t="s">
        <v>3712</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5" spans="1:15">
      <c r="A462" s="49" t="s">
        <v>3713</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4.5" spans="1:15">
      <c r="A463" s="17" t="s">
        <v>3714</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4.5" spans="1:15">
      <c r="A464" s="17" t="s">
        <v>3715</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4.5" spans="1:15">
      <c r="A465" s="17" t="s">
        <v>3716</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4.5" spans="1:15">
      <c r="A466" s="17" t="s">
        <v>3717</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4.5" spans="1:15">
      <c r="A467" s="17" t="s">
        <v>3718</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4.5" spans="1:15">
      <c r="A468" s="17" t="s">
        <v>3719</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4.5" spans="1:15">
      <c r="A469" s="17" t="s">
        <v>3720</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4.5" spans="1:15">
      <c r="A470" s="17" t="s">
        <v>3721</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4.5" spans="1:15">
      <c r="A471" s="17" t="s">
        <v>3722</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5" spans="1:15">
      <c r="A472" s="49" t="s">
        <v>3723</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4.5" spans="1:15">
      <c r="A473" s="17" t="s">
        <v>3724</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4.5" spans="1:15">
      <c r="A474" s="17" t="s">
        <v>3725</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4.5" spans="1:15">
      <c r="A475" s="17" t="s">
        <v>3726</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4.5" spans="1:15">
      <c r="A476" s="17" t="s">
        <v>3727</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5" spans="1:15">
      <c r="A477" s="49" t="s">
        <v>3728</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5" spans="1:15">
      <c r="A478" s="49" t="s">
        <v>3729</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4.5" spans="1:15">
      <c r="A479" s="17" t="s">
        <v>3730</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5" spans="1:15">
      <c r="A480" s="49" t="s">
        <v>3731</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4.5" spans="1:15">
      <c r="A481" s="17" t="s">
        <v>3732</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4.5" spans="1:15">
      <c r="A482" s="17" t="s">
        <v>3733</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4.5" spans="1:15">
      <c r="A483" s="17" t="s">
        <v>3734</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4.5" spans="1:15">
      <c r="A484" s="17" t="s">
        <v>3735</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4.5" spans="1:15">
      <c r="A485" s="17" t="s">
        <v>3736</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4.5" spans="1:15">
      <c r="A486" s="17" t="s">
        <v>3737</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4.5" spans="1:15">
      <c r="A487" s="17" t="s">
        <v>3738</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4.5" spans="1:15">
      <c r="A488" s="17" t="s">
        <v>3739</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4.5" spans="1:15">
      <c r="A489" s="17" t="s">
        <v>3740</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4.5" spans="1:15">
      <c r="A490" s="17" t="s">
        <v>3741</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4.5" spans="1:15">
      <c r="A491" s="17" t="s">
        <v>3742</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4.5" spans="1:15">
      <c r="A492" s="17" t="s">
        <v>3743</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4.5" spans="1:15">
      <c r="A493" s="17" t="s">
        <v>3744</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4.5" spans="1:15">
      <c r="A494" s="17" t="s">
        <v>3745</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4.5" spans="1:15">
      <c r="A495" s="17" t="s">
        <v>3746</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4.5" spans="1:15">
      <c r="A496" s="17" t="s">
        <v>3747</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4.5" spans="1:15">
      <c r="A497" s="17" t="s">
        <v>3748</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4.5" spans="1:15">
      <c r="A498" s="17" t="s">
        <v>3749</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4.5" spans="1:15">
      <c r="A499" s="17" t="s">
        <v>3750</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4.5" spans="1:15">
      <c r="A500" s="17" t="s">
        <v>3751</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4.5" spans="1:15">
      <c r="A501" s="17" t="s">
        <v>3752</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4.5" spans="1:15">
      <c r="A502" s="17" t="s">
        <v>3753</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4.5" spans="1:15">
      <c r="A503" s="17" t="s">
        <v>3754</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4.5" spans="1:15">
      <c r="A504" s="17" t="s">
        <v>3755</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4.5" spans="1:15">
      <c r="A505" s="17" t="s">
        <v>3756</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4.5" spans="1:15">
      <c r="A506" s="17" t="s">
        <v>3757</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4.5" spans="1:15">
      <c r="A507" s="17" t="s">
        <v>3758</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4.5" spans="1:15">
      <c r="A508" s="17" t="s">
        <v>3759</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4.5" spans="1:15">
      <c r="A509" s="17" t="s">
        <v>3760</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4.5" spans="1:15">
      <c r="A510" s="17" t="s">
        <v>3761</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4.5" spans="1:15">
      <c r="A511" s="17" t="s">
        <v>3762</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4.5" spans="1:15">
      <c r="A512" s="17" t="s">
        <v>3763</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4.5" spans="1:15">
      <c r="A513" s="17" t="s">
        <v>3764</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4.5" spans="1:15">
      <c r="A514" s="17" t="s">
        <v>3765</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4.5" spans="1:15">
      <c r="A515" s="17" t="s">
        <v>3766</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4.5" spans="1:15">
      <c r="A516" s="17" t="s">
        <v>3767</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5" spans="1:15">
      <c r="A517" s="49" t="s">
        <v>3768</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4.5" spans="1:15">
      <c r="A518" s="17" t="s">
        <v>3769</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4.5" spans="1:15">
      <c r="A519" s="17" t="s">
        <v>3770</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5" spans="1:15">
      <c r="A520" s="49" t="s">
        <v>3771</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4.5" spans="1:15">
      <c r="A521" s="17" t="s">
        <v>3772</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4.5" spans="1:15">
      <c r="A522" s="17" t="s">
        <v>3773</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4.5" spans="1:15">
      <c r="A523" s="17" t="s">
        <v>3774</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4.5" spans="1:15">
      <c r="A524" s="17" t="s">
        <v>3775</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4.5" spans="1:15">
      <c r="A525" s="17" t="s">
        <v>3776</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4.5" spans="1:15">
      <c r="A526" s="17" t="s">
        <v>3777</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4.5" spans="1:15">
      <c r="A527" s="17" t="s">
        <v>3778</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4.5" spans="1:15">
      <c r="A528" s="17" t="s">
        <v>3779</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4.5" spans="1:15">
      <c r="A529" s="17" t="s">
        <v>3780</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4.5" spans="1:15">
      <c r="A530" s="17" t="s">
        <v>3781</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4.5" spans="1:15">
      <c r="A531" s="17" t="s">
        <v>3782</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4.5" spans="1:15">
      <c r="A532" s="17" t="s">
        <v>3783</v>
      </c>
      <c r="B532" s="47" t="s">
        <v>1726</v>
      </c>
      <c r="C532" s="48" t="s">
        <v>3784</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4.5" spans="1:15">
      <c r="A533" s="17" t="s">
        <v>3785</v>
      </c>
      <c r="B533" s="47" t="s">
        <v>1726</v>
      </c>
      <c r="C533" s="48" t="s">
        <v>3784</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5" spans="1:15">
      <c r="A534" s="49" t="s">
        <v>3786</v>
      </c>
      <c r="B534" s="47" t="s">
        <v>1726</v>
      </c>
      <c r="C534" s="48" t="s">
        <v>3784</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5" spans="1:15">
      <c r="A535" s="36" t="s">
        <v>3787</v>
      </c>
      <c r="B535" s="47" t="s">
        <v>1726</v>
      </c>
      <c r="C535" s="48" t="s">
        <v>3784</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4.5" spans="1:15">
      <c r="A536" s="17" t="s">
        <v>3788</v>
      </c>
      <c r="B536" s="47" t="s">
        <v>1726</v>
      </c>
      <c r="C536" s="48" t="s">
        <v>3784</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4.5" spans="1:15">
      <c r="A537" s="17" t="s">
        <v>3789</v>
      </c>
      <c r="B537" s="47" t="s">
        <v>1726</v>
      </c>
      <c r="C537" s="48" t="s">
        <v>3784</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4.5" spans="1:15">
      <c r="A538" s="17" t="s">
        <v>3790</v>
      </c>
      <c r="B538" s="47" t="s">
        <v>1726</v>
      </c>
      <c r="C538" s="48" t="s">
        <v>3784</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4.5" spans="1:15">
      <c r="A539" s="17" t="s">
        <v>3791</v>
      </c>
      <c r="B539" s="47" t="s">
        <v>1726</v>
      </c>
      <c r="C539" s="48" t="s">
        <v>3784</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4.5" spans="1:15">
      <c r="A540" s="17" t="s">
        <v>3792</v>
      </c>
      <c r="B540" s="47" t="s">
        <v>1726</v>
      </c>
      <c r="C540" s="48" t="s">
        <v>3784</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4.5" spans="1:15">
      <c r="A541" s="17" t="s">
        <v>3793</v>
      </c>
      <c r="B541" s="47" t="s">
        <v>1726</v>
      </c>
      <c r="C541" s="48" t="s">
        <v>3784</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5" spans="1:15">
      <c r="A542" s="49" t="s">
        <v>3794</v>
      </c>
      <c r="B542" s="47" t="s">
        <v>1726</v>
      </c>
      <c r="C542" s="48" t="s">
        <v>3784</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5" spans="1:15">
      <c r="A543" s="49" t="s">
        <v>3795</v>
      </c>
      <c r="B543" s="47" t="s">
        <v>1726</v>
      </c>
      <c r="C543" s="48" t="s">
        <v>3784</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5" spans="1:15">
      <c r="A544" s="49" t="s">
        <v>3796</v>
      </c>
      <c r="B544" s="47" t="s">
        <v>1726</v>
      </c>
      <c r="C544" s="48" t="s">
        <v>3784</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5" spans="1:15">
      <c r="A545" s="49" t="s">
        <v>3797</v>
      </c>
      <c r="B545" s="47" t="s">
        <v>1726</v>
      </c>
      <c r="C545" s="48" t="s">
        <v>3784</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5" spans="1:15">
      <c r="A546" s="49" t="s">
        <v>3798</v>
      </c>
      <c r="B546" s="47" t="s">
        <v>1726</v>
      </c>
      <c r="C546" s="48" t="s">
        <v>3784</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4.5" spans="1:15">
      <c r="A547" s="17" t="s">
        <v>3799</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4.5" spans="1:15">
      <c r="A548" s="17" t="s">
        <v>3800</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4.5" spans="1:15">
      <c r="A549" s="17" t="s">
        <v>3801</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4.5" spans="1:15">
      <c r="A550" s="17" t="s">
        <v>3802</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4.5" spans="1:15">
      <c r="A551" s="17" t="s">
        <v>3803</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4.5" spans="1:15">
      <c r="A552" s="17" t="s">
        <v>3804</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4.5" spans="1:15">
      <c r="A553" s="17" t="s">
        <v>3805</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5" spans="1:15">
      <c r="A554" s="49" t="s">
        <v>3806</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5" spans="1:15">
      <c r="A555" s="49" t="s">
        <v>3807</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5" spans="1:15">
      <c r="A556" s="49" t="s">
        <v>3808</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5" spans="1:15">
      <c r="A557" s="49" t="s">
        <v>3809</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5" spans="1:15">
      <c r="A558" s="49" t="s">
        <v>3810</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5" spans="1:15">
      <c r="A559" s="49" t="s">
        <v>3811</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5" spans="1:15">
      <c r="A560" s="49" t="s">
        <v>3812</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5" spans="1:15">
      <c r="A561" s="49" t="s">
        <v>3813</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5" spans="1:15">
      <c r="A562" s="49" t="s">
        <v>3814</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5" spans="1:15">
      <c r="A563" s="49" t="s">
        <v>3815</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5" spans="1:15">
      <c r="A564" s="49" t="s">
        <v>3816</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5" spans="1:15">
      <c r="A565" s="49" t="s">
        <v>3817</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4.5" spans="1:15">
      <c r="A566" s="17" t="s">
        <v>3818</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4.5" spans="1:15">
      <c r="A567" s="17" t="s">
        <v>3819</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5" spans="1:15">
      <c r="A568" s="49" t="s">
        <v>3820</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5" spans="1:15">
      <c r="A569" s="49" t="s">
        <v>3821</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5" spans="1:15">
      <c r="A570" s="49" t="s">
        <v>3822</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5" spans="1:15">
      <c r="A571" s="49" t="s">
        <v>3823</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5" spans="1:15">
      <c r="A572" s="49" t="s">
        <v>3824</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5" spans="1:15">
      <c r="A573" s="49" t="s">
        <v>3825</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5" spans="1:15">
      <c r="A574" s="49" t="s">
        <v>3826</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5" spans="1:15">
      <c r="A575" s="49" t="s">
        <v>3827</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5" spans="1:15">
      <c r="A576" s="49" t="s">
        <v>3828</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5" spans="1:15">
      <c r="A577" s="49" t="s">
        <v>3829</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4.5" spans="1:15">
      <c r="A578" s="17" t="s">
        <v>3830</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4.5" spans="1:15">
      <c r="A579" s="17" t="s">
        <v>3831</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4.5" spans="1:15">
      <c r="A580" s="17" t="s">
        <v>3832</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4.5" spans="1:15">
      <c r="A581" s="17" t="s">
        <v>3833</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4.5" spans="1:15">
      <c r="A582" s="17" t="s">
        <v>3834</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4.5" spans="1:15">
      <c r="A583" s="17" t="s">
        <v>3835</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5" spans="1:15">
      <c r="A584" s="49" t="s">
        <v>3836</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4.5" spans="1:15">
      <c r="A585" s="17" t="s">
        <v>3837</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4.5" spans="1:15">
      <c r="A586" s="17" t="s">
        <v>3838</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4.5" spans="1:15">
      <c r="A587" s="17" t="s">
        <v>3839</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4.5" spans="1:15">
      <c r="A588" s="17" t="s">
        <v>3840</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4.5" spans="1:15">
      <c r="A589" s="17" t="s">
        <v>3841</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4.5" spans="1:15">
      <c r="A590" s="17" t="s">
        <v>3842</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4.5" spans="1:15">
      <c r="A591" s="17" t="s">
        <v>3843</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4.5" spans="1:15">
      <c r="A592" s="17" t="s">
        <v>3844</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4.5" spans="1:15">
      <c r="A593" s="17" t="s">
        <v>3845</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4.5" spans="1:15">
      <c r="A594" s="17" t="s">
        <v>3846</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4.5" spans="1:15">
      <c r="A595" s="17" t="s">
        <v>3847</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4.5" spans="1:15">
      <c r="A596" s="17" t="s">
        <v>3848</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4.5" spans="1:15">
      <c r="A597" s="17" t="s">
        <v>3849</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4.5" spans="1:15">
      <c r="A598" s="17" t="s">
        <v>3850</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4.5" spans="1:15">
      <c r="A599" s="17" t="s">
        <v>3851</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4.5" spans="1:15">
      <c r="A600" s="17" t="s">
        <v>3852</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4.5" spans="1:15">
      <c r="A601" s="17" t="s">
        <v>3853</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4.5" spans="1:15">
      <c r="A602" s="17" t="s">
        <v>3854</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4.5" spans="1:15">
      <c r="A603" s="17" t="s">
        <v>3855</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4.5" spans="1:15">
      <c r="A604" s="17" t="s">
        <v>3856</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4.5" spans="1:15">
      <c r="A605" s="17" t="s">
        <v>3857</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4.5" spans="1:15">
      <c r="A606" s="17" t="s">
        <v>3858</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4.5" spans="1:15">
      <c r="A607" s="17" t="s">
        <v>3859</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5" spans="1:15">
      <c r="A608" s="36" t="s">
        <v>3860</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4.5" spans="1:15">
      <c r="A609" s="17" t="s">
        <v>3861</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4.5" spans="1:15">
      <c r="A610" s="17" t="s">
        <v>3862</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4.5" spans="1:15">
      <c r="A611" s="17" t="s">
        <v>3863</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4.5" spans="1:15">
      <c r="A612" s="17" t="s">
        <v>3864</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4.5" spans="1:15">
      <c r="A613" s="17" t="s">
        <v>3865</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4.5" spans="1:15">
      <c r="A614" s="17" t="s">
        <v>3866</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4.5" spans="1:15">
      <c r="A615" s="17" t="s">
        <v>3867</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4.5" spans="1:15">
      <c r="A616" s="17" t="s">
        <v>3868</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4.5" spans="1:15">
      <c r="A617" s="17" t="s">
        <v>3869</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4.5" spans="1:15">
      <c r="A618" s="17" t="s">
        <v>3870</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4.5" spans="1:15">
      <c r="A619" s="17" t="s">
        <v>3871</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4.5" spans="1:15">
      <c r="A620" s="17" t="s">
        <v>3872</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4.5" spans="1:15">
      <c r="A621" s="17" t="s">
        <v>3873</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4.5" spans="1:15">
      <c r="A622" s="17" t="s">
        <v>3874</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4.5" spans="1:15">
      <c r="A623" s="17" t="s">
        <v>3875</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4.5" spans="1:15">
      <c r="A624" s="17" t="s">
        <v>3876</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5" spans="1:15">
      <c r="A625" s="49" t="s">
        <v>3877</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4.5" spans="1:15">
      <c r="A626" s="17" t="s">
        <v>3878</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4.5" spans="1:15">
      <c r="A627" s="17" t="s">
        <v>3879</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4.5" spans="1:15">
      <c r="A628" s="17" t="s">
        <v>3880</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4.5" spans="1:15">
      <c r="A629" s="17" t="s">
        <v>3881</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4.5" spans="1:15">
      <c r="A630" s="17" t="s">
        <v>3882</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4.5" spans="1:15">
      <c r="A631" s="17" t="s">
        <v>3883</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4.5" spans="1:15">
      <c r="A632" s="17" t="s">
        <v>3884</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4.5" spans="1:15">
      <c r="A633" s="17" t="s">
        <v>3885</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4.5" spans="1:15">
      <c r="A634" s="17" t="s">
        <v>3886</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4.5" spans="1:15">
      <c r="A635" s="17" t="s">
        <v>3887</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4.5" spans="1:15">
      <c r="A636" s="17" t="s">
        <v>3888</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4.5" spans="1:15">
      <c r="A637" s="17" t="s">
        <v>3889</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4.5" spans="1:15">
      <c r="A638" s="17" t="s">
        <v>3890</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4.5" spans="1:15">
      <c r="A639" s="17" t="s">
        <v>3891</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4.5" spans="1:15">
      <c r="A640" s="17" t="s">
        <v>3892</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4.5" spans="1:15">
      <c r="A641" s="17" t="s">
        <v>3893</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4.5" spans="1:15">
      <c r="A642" s="17" t="s">
        <v>3894</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4.5" spans="1:15">
      <c r="A643" s="17" t="s">
        <v>3895</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4.5" spans="1:15">
      <c r="A644" s="17" t="s">
        <v>3896</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5" spans="1:15">
      <c r="A645" s="49" t="s">
        <v>3897</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4.5" spans="1:15">
      <c r="A646" s="17" t="s">
        <v>3898</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4.5" spans="1:15">
      <c r="A647" s="17" t="s">
        <v>3899</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4.5" spans="1:15">
      <c r="A648" s="17" t="s">
        <v>3900</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4.5" spans="1:15">
      <c r="A649" s="17" t="s">
        <v>3901</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4.5" spans="1:15">
      <c r="A650" s="17" t="s">
        <v>3902</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5" spans="1:15">
      <c r="A651" s="49" t="s">
        <v>3903</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5" spans="1:15">
      <c r="A652" s="49" t="s">
        <v>3904</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4.5" spans="1:15">
      <c r="A653" s="17" t="s">
        <v>3905</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5" spans="1:15">
      <c r="A654" s="49" t="s">
        <v>3906</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5" spans="1:15">
      <c r="A655" s="49" t="s">
        <v>3907</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5" spans="1:15">
      <c r="A656" s="49" t="s">
        <v>3908</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5" spans="1:15">
      <c r="A657" s="49" t="s">
        <v>3909</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5" spans="1:15">
      <c r="A658" s="49" t="s">
        <v>3910</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5" spans="1:15">
      <c r="A659" s="49" t="s">
        <v>3911</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4.5" spans="1:15">
      <c r="A660" s="17" t="s">
        <v>3912</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5" spans="1:15">
      <c r="A661" s="49" t="s">
        <v>3913</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5" spans="1:15">
      <c r="A662" s="49" t="s">
        <v>3914</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5" spans="1:15">
      <c r="A663" s="49" t="s">
        <v>3915</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4.5" spans="1:15">
      <c r="A664" s="17" t="s">
        <v>3916</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4.5" spans="1:15">
      <c r="A665" s="17" t="s">
        <v>3917</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5" spans="1:15">
      <c r="A666" s="49" t="s">
        <v>3918</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5" spans="1:15">
      <c r="A667" s="49" t="s">
        <v>3919</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4.5" spans="1:15">
      <c r="A668" s="17" t="s">
        <v>3920</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4.5" spans="1:15">
      <c r="A669" s="17" t="s">
        <v>3921</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5" spans="1:15">
      <c r="A670" s="49" t="s">
        <v>3922</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5" spans="1:15">
      <c r="A671" s="49" t="s">
        <v>3923</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5" spans="1:15">
      <c r="A672" s="49" t="s">
        <v>3924</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5" spans="1:15">
      <c r="A673" s="49" t="s">
        <v>3925</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30" spans="1:15">
      <c r="A674" s="49" t="s">
        <v>3926</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30" spans="1:15">
      <c r="A675" s="49" t="s">
        <v>3927</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5" spans="1:15">
      <c r="A676" s="49" t="s">
        <v>3928</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5" spans="1:15">
      <c r="A677" s="49" t="s">
        <v>3929</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5" spans="1:15">
      <c r="A678" s="49" t="s">
        <v>3930</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30" spans="1:15">
      <c r="A679" s="49" t="s">
        <v>3931</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30" spans="1:15">
      <c r="A680" s="49" t="s">
        <v>3932</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5" spans="1:15">
      <c r="A681" s="49" t="s">
        <v>3933</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5" spans="1:15">
      <c r="A682" s="49" t="s">
        <v>3934</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5" spans="1:15">
      <c r="A683" s="49" t="s">
        <v>3935</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30" spans="1:15">
      <c r="A684" s="49" t="s">
        <v>3936</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30" spans="1:15">
      <c r="A685" s="49" t="s">
        <v>3937</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5" spans="1:15">
      <c r="A686" s="49" t="s">
        <v>3938</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30" spans="1:15">
      <c r="A687" s="49" t="s">
        <v>3939</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5" spans="1:15">
      <c r="A688" s="49" t="s">
        <v>3940</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30" spans="1:15">
      <c r="A689" s="49" t="s">
        <v>3941</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30" spans="1:15">
      <c r="A690" s="49" t="s">
        <v>3942</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30" spans="1:15">
      <c r="A691" s="49" t="s">
        <v>3943</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5" spans="1:15">
      <c r="A692" s="49" t="s">
        <v>3944</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5" spans="1:15">
      <c r="A693" s="49" t="s">
        <v>3945</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5" spans="1:15">
      <c r="A694" s="49" t="s">
        <v>3946</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5" spans="1:15">
      <c r="A695" s="49" t="s">
        <v>3947</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5" spans="1:15">
      <c r="A696" s="49" t="s">
        <v>3948</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5" spans="1:15">
      <c r="A697" s="49" t="s">
        <v>3949</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5" spans="1:15">
      <c r="A698" s="49" t="s">
        <v>3950</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4.5" spans="1:15">
      <c r="A699" s="17" t="s">
        <v>3951</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4.5" spans="1:15">
      <c r="A700" s="17" t="s">
        <v>3952</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4.5" spans="1:15">
      <c r="A701" s="17" t="s">
        <v>3953</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4.5" spans="1:15">
      <c r="A702" s="17" t="s">
        <v>3954</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4.5" spans="1:15">
      <c r="A703" s="17" t="s">
        <v>3955</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5" spans="1:15">
      <c r="A704" s="49" t="s">
        <v>3956</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4.5" spans="1:15">
      <c r="A705" s="17" t="s">
        <v>3957</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4.5" spans="1:15">
      <c r="A706" s="17" t="s">
        <v>3958</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4.5" spans="1:15">
      <c r="A707" s="17" t="s">
        <v>3959</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4.5" spans="1:15">
      <c r="A708" s="17" t="s">
        <v>3960</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4.5" spans="1:15">
      <c r="A709" s="17" t="s">
        <v>3961</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4.5" spans="1:15">
      <c r="A710" s="17" t="s">
        <v>3962</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30" spans="1:15">
      <c r="A711" s="49" t="s">
        <v>3963</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30" spans="1:15">
      <c r="A712" s="49" t="s">
        <v>3964</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30" spans="1:15">
      <c r="A713" s="49" t="s">
        <v>3965</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4.5" spans="1:15">
      <c r="A714" s="17" t="s">
        <v>3966</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4.5" spans="1:15">
      <c r="A715" s="17" t="s">
        <v>3967</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4.5" spans="1:15">
      <c r="A716" s="17" t="s">
        <v>3968</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5" spans="1:15">
      <c r="A717" s="49" t="s">
        <v>3969</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4.5" spans="1:15">
      <c r="A718" s="17" t="s">
        <v>3970</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4.5" spans="1:15">
      <c r="A719" s="17" t="s">
        <v>3971</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4.5" spans="1:15">
      <c r="A720" s="17" t="s">
        <v>3972</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4.5" spans="1:15">
      <c r="A721" s="17" t="s">
        <v>3973</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4.5" spans="1:15">
      <c r="A722" s="17" t="s">
        <v>3974</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4.5" spans="1:15">
      <c r="A723" s="17" t="s">
        <v>3975</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30" spans="1:15">
      <c r="A724" s="49" t="s">
        <v>3976</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30" spans="1:15">
      <c r="A725" s="49" t="s">
        <v>3977</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30" spans="1:15">
      <c r="A726" s="49" t="s">
        <v>3978</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30" spans="1:15">
      <c r="A727" s="49" t="s">
        <v>3979</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30" spans="1:15">
      <c r="A728" s="49" t="s">
        <v>3980</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30" spans="1:15">
      <c r="A729" s="49" t="s">
        <v>3981</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30" spans="1:15">
      <c r="A730" s="49" t="s">
        <v>3982</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30" spans="1:15">
      <c r="A731" s="49" t="s">
        <v>3983</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30" spans="1:15">
      <c r="A732" s="49" t="s">
        <v>3984</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30" spans="1:15">
      <c r="A733" s="49" t="s">
        <v>3985</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30" spans="1:15">
      <c r="A734" s="49" t="s">
        <v>3986</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30" spans="1:15">
      <c r="A735" s="49" t="s">
        <v>3987</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30" spans="1:15">
      <c r="A736" s="49" t="s">
        <v>3988</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30" spans="1:15">
      <c r="A737" s="49" t="s">
        <v>3989</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30" spans="1:15">
      <c r="A738" s="49" t="s">
        <v>3990</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30" spans="1:15">
      <c r="A739" s="49" t="s">
        <v>3991</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30" spans="1:15">
      <c r="A740" s="49" t="s">
        <v>3992</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30" spans="1:15">
      <c r="A741" s="49" t="s">
        <v>3993</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30" spans="1:15">
      <c r="A742" s="49" t="s">
        <v>3994</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30" spans="1:15">
      <c r="A743" s="49" t="s">
        <v>3995</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30" spans="1:15">
      <c r="A744" s="49" t="s">
        <v>3996</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30" spans="1:15">
      <c r="A745" s="49" t="s">
        <v>3997</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30" spans="1:15">
      <c r="A746" s="49" t="s">
        <v>3998</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30" spans="1:15">
      <c r="A747" s="49" t="s">
        <v>3999</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30" spans="1:15">
      <c r="A748" s="49" t="s">
        <v>4000</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30" spans="1:15">
      <c r="A749" s="49" t="s">
        <v>4001</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4.5" spans="1:15">
      <c r="A750" s="17" t="s">
        <v>4002</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4.5" spans="1:15">
      <c r="A751" s="17" t="s">
        <v>4003</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4.5" spans="1:15">
      <c r="A752" s="17" t="s">
        <v>4004</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4.5" spans="1:15">
      <c r="A753" s="17" t="s">
        <v>4005</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4.5" spans="1:15">
      <c r="A754" s="17" t="s">
        <v>4006</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4.5" spans="1:15">
      <c r="A755" s="17" t="s">
        <v>4007</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4.5" spans="1:15">
      <c r="A756" s="17" t="s">
        <v>4008</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4.5" spans="1:15">
      <c r="A757" s="17" t="s">
        <v>4009</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4.5" spans="1:15">
      <c r="A758" s="17" t="s">
        <v>4010</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4.5" spans="1:15">
      <c r="A759" s="17" t="s">
        <v>4011</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4.5" spans="1:15">
      <c r="A760" s="17" t="s">
        <v>4012</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4.5" spans="1:15">
      <c r="A761" s="17" t="s">
        <v>4013</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4.5" spans="1:15">
      <c r="A762" s="17" t="s">
        <v>4014</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4.5" spans="1:15">
      <c r="A763" s="17" t="s">
        <v>4015</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4.5" spans="1:15">
      <c r="A764" s="39" t="s">
        <v>4016</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4.5" spans="1:15">
      <c r="A765" s="39" t="s">
        <v>4017</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4.5" spans="1:15">
      <c r="A766" s="39" t="s">
        <v>4018</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4.5" spans="1:15">
      <c r="A767" s="39" t="s">
        <v>4019</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4.5" spans="1:15">
      <c r="A768" s="39" t="s">
        <v>4020</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4.5" spans="1:15">
      <c r="A769" s="39" t="s">
        <v>4021</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4.5" spans="1:15">
      <c r="A770" s="39" t="s">
        <v>4022</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4.5" spans="1:15">
      <c r="A771" s="39" t="s">
        <v>4023</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4.5" spans="1:15">
      <c r="A772" s="39" t="s">
        <v>4024</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5" spans="1:15">
      <c r="A773" s="52" t="s">
        <v>4025</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4.5" spans="1:15">
      <c r="A774" s="39" t="s">
        <v>4026</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4.5" spans="1:15">
      <c r="A775" s="39" t="s">
        <v>4027</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4.5" spans="1:15">
      <c r="A776" s="39" t="s">
        <v>4028</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4.5" spans="1:15">
      <c r="A777" s="39" t="s">
        <v>4029</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4.5" spans="1:15">
      <c r="A778" s="39" t="s">
        <v>4030</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30" spans="1:15">
      <c r="A779" s="52" t="s">
        <v>4031</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30" spans="1:15">
      <c r="A780" s="52" t="s">
        <v>4032</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30" spans="1:15">
      <c r="A781" s="52" t="s">
        <v>4033</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30" spans="1:15">
      <c r="A782" s="52" t="s">
        <v>4034</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30" spans="1:15">
      <c r="A783" s="52" t="s">
        <v>4035</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30" spans="1:15">
      <c r="A784" s="52" t="s">
        <v>4036</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30" spans="1:15">
      <c r="A785" s="52" t="s">
        <v>4037</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30" spans="1:15">
      <c r="A786" s="52" t="s">
        <v>4038</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30" spans="1:15">
      <c r="A787" s="52" t="s">
        <v>4039</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4.5" spans="1:15">
      <c r="A788" s="39" t="s">
        <v>4040</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4.5" spans="1:15">
      <c r="A789" s="39" t="s">
        <v>4041</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4.5" spans="1:15">
      <c r="A790" s="39" t="s">
        <v>4042</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4.5" spans="1:15">
      <c r="A791" s="39" t="s">
        <v>4043</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4.5" spans="1:15">
      <c r="A792" s="39" t="s">
        <v>4044</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4.5" spans="1:15">
      <c r="A793" s="39" t="s">
        <v>4045</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4.5" spans="1:15">
      <c r="A794" s="39" t="s">
        <v>4046</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4.5" spans="1:15">
      <c r="A795" s="39" t="s">
        <v>4047</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4.5" spans="1:15">
      <c r="A796" s="39" t="s">
        <v>4048</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4.5" spans="1:15">
      <c r="A797" s="39" t="s">
        <v>4049</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4.5" spans="1:15">
      <c r="A798" s="39" t="s">
        <v>4050</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4.5" spans="1:15">
      <c r="A799" s="39" t="s">
        <v>4051</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4.5" spans="1:15">
      <c r="A800" s="39" t="s">
        <v>4052</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4.5" spans="1:15">
      <c r="A801" s="39" t="s">
        <v>4053</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4.5" spans="1:15">
      <c r="A802" s="39" t="s">
        <v>4054</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4.5" spans="1:15">
      <c r="A803" s="39" t="s">
        <v>4055</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4.5" spans="1:15">
      <c r="A804" s="39" t="s">
        <v>4056</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4.5" spans="1:15">
      <c r="A805" s="39" t="s">
        <v>4057</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4.5" spans="1:15">
      <c r="A806" s="39" t="s">
        <v>4058</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4.5" spans="1:15">
      <c r="A807" s="39" t="s">
        <v>4059</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4.5" spans="1:15">
      <c r="A808" s="39" t="s">
        <v>4060</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4.5" spans="1:15">
      <c r="A809" s="39" t="s">
        <v>4061</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4.5" spans="1:15">
      <c r="A810" s="39" t="s">
        <v>4062</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4.5" spans="1:15">
      <c r="A811" s="39" t="s">
        <v>4063</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4.5" spans="1:15">
      <c r="A812" s="39" t="s">
        <v>4064</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4.5" spans="1:15">
      <c r="A813" s="39" t="s">
        <v>4065</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4.5" spans="1:15">
      <c r="A814" s="39" t="s">
        <v>4066</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4.5" spans="1:15">
      <c r="A815" s="39" t="s">
        <v>4067</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4.5" spans="1:15">
      <c r="A816" s="39" t="s">
        <v>4068</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4.5" spans="1:15">
      <c r="A817" s="39" t="s">
        <v>4069</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4.5" spans="1:15">
      <c r="A818" s="39" t="s">
        <v>4070</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5" spans="1:15">
      <c r="A819" s="52" t="s">
        <v>4071</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4.5" spans="1:15">
      <c r="A820" s="39" t="s">
        <v>4072</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4.5" spans="1:15">
      <c r="A821" s="39" t="s">
        <v>4073</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4.5" spans="1:15">
      <c r="A822" s="39" t="s">
        <v>4074</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4.5" spans="1:15">
      <c r="A823" s="39" t="s">
        <v>4075</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4.5" spans="1:15">
      <c r="A824" s="39" t="s">
        <v>4076</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4.5" spans="1:15">
      <c r="A825" s="39" t="s">
        <v>4077</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4.5" spans="1:15">
      <c r="A826" s="39" t="s">
        <v>4078</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4.5" spans="1:15">
      <c r="A827" s="39" t="s">
        <v>4079</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4.5" spans="1:15">
      <c r="A828" s="39" t="s">
        <v>4080</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4.5" spans="1:15">
      <c r="A829" s="39" t="s">
        <v>4081</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4.5" spans="1:15">
      <c r="A830" s="39" t="s">
        <v>4082</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4.5" spans="1:15">
      <c r="A831" s="39" t="s">
        <v>4083</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4.5" spans="1:15">
      <c r="A832" s="39" t="s">
        <v>4084</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4.5" spans="1:15">
      <c r="A833" s="39" t="s">
        <v>4085</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4.5" spans="1:15">
      <c r="A834" s="39" t="s">
        <v>4086</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4.5" spans="1:15">
      <c r="A835" s="39" t="s">
        <v>4087</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4.5" spans="1:15">
      <c r="A836" s="39" t="s">
        <v>4088</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4.5" spans="1:15">
      <c r="A837" s="39" t="s">
        <v>4089</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4.5" spans="1:15">
      <c r="A838" s="39" t="s">
        <v>4090</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5" spans="1:15">
      <c r="A839" s="52" t="s">
        <v>4091</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4.5" spans="1:15">
      <c r="A840" s="39" t="s">
        <v>4092</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4.5" spans="1:15">
      <c r="A841" s="39" t="s">
        <v>4093</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5" spans="1:15">
      <c r="A842" s="52" t="s">
        <v>4094</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4.5" spans="1:15">
      <c r="A843" s="39" t="s">
        <v>4095</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4.5" spans="1:15">
      <c r="A844" s="39" t="s">
        <v>4096</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4.5" spans="1:15">
      <c r="A845" s="39" t="s">
        <v>4097</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4.5" spans="1:15">
      <c r="A846" s="39" t="s">
        <v>4098</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4.5" spans="1:15">
      <c r="A847" s="39" t="s">
        <v>4099</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4.5" spans="1:15">
      <c r="A848" s="39" t="s">
        <v>4100</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4.5" spans="1:15">
      <c r="A849" s="39" t="s">
        <v>4101</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4.5" spans="1:15">
      <c r="A850" s="39" t="s">
        <v>4102</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4.5" spans="1:15">
      <c r="A851" s="39" t="s">
        <v>4103</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4.5" spans="1:15">
      <c r="A852" s="39" t="s">
        <v>4104</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4.5" spans="1:15">
      <c r="A853" s="39" t="s">
        <v>4105</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4.5" spans="1:15">
      <c r="A854" s="39" t="s">
        <v>4106</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4.5" spans="1:15">
      <c r="A855" s="39" t="s">
        <v>4107</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4.5" spans="1:15">
      <c r="A856" s="39" t="s">
        <v>4108</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4.5" spans="1:15">
      <c r="A857" s="39" t="s">
        <v>4109</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4.5" spans="1:15">
      <c r="A858" s="39" t="s">
        <v>4110</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4.5" spans="1:15">
      <c r="A859" s="39" t="s">
        <v>4111</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4.5" spans="1:15">
      <c r="A860" s="39" t="s">
        <v>4112</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4.5" spans="1:15">
      <c r="A861" s="39" t="s">
        <v>4113</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4.5" spans="1:15">
      <c r="A862" s="39" t="s">
        <v>4114</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4.5" spans="1:15">
      <c r="A863" s="39" t="s">
        <v>4115</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4.5" spans="1:15">
      <c r="A864" s="39" t="s">
        <v>4116</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4.5" spans="1:15">
      <c r="A865" s="39" t="s">
        <v>4117</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4.5" spans="1:15">
      <c r="A866" s="39" t="s">
        <v>4118</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4.5" spans="1:15">
      <c r="A867" s="39" t="s">
        <v>4119</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4.5" spans="1:15">
      <c r="A868" s="39" t="s">
        <v>4120</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4.5" spans="1:15">
      <c r="A869" s="39" t="s">
        <v>4121</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4.5" spans="1:15">
      <c r="A870" s="39" t="s">
        <v>4122</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4.5" spans="1:15">
      <c r="A871" s="39" t="s">
        <v>4123</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4.5" spans="1:15">
      <c r="A872" s="39" t="s">
        <v>4124</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4.5" spans="1:15">
      <c r="A873" s="39" t="s">
        <v>4125</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4.5" spans="1:15">
      <c r="A874" s="39" t="s">
        <v>4126</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4.5" spans="1:15">
      <c r="A875" s="39" t="s">
        <v>4127</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4.5" spans="1:15">
      <c r="A876" s="39" t="s">
        <v>4128</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4.5" spans="1:15">
      <c r="A877" s="39" t="s">
        <v>4129</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4.5" spans="1:15">
      <c r="A878" s="39" t="s">
        <v>4130</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5" spans="1:15">
      <c r="A879" s="52" t="s">
        <v>4131</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4.5" spans="1:15">
      <c r="A880" s="39" t="s">
        <v>4132</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4.5" spans="1:15">
      <c r="A881" s="39" t="s">
        <v>4133</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4.5" spans="1:15">
      <c r="A882" s="39" t="s">
        <v>4134</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4.5" spans="1:15">
      <c r="A883" s="39" t="s">
        <v>4135</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4.5" spans="1:15">
      <c r="A884" s="39" t="s">
        <v>4136</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4.5" spans="1:15">
      <c r="A885" s="39" t="s">
        <v>4137</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4.5" spans="1:15">
      <c r="A886" s="39" t="s">
        <v>4138</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4.5" spans="1:15">
      <c r="A887" s="39" t="s">
        <v>4139</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4.5" spans="1:15">
      <c r="A888" s="39" t="s">
        <v>4140</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4.5" spans="1:15">
      <c r="A889" s="39" t="s">
        <v>4141</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4.5" spans="1:15">
      <c r="A890" s="39" t="s">
        <v>4142</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4.5" spans="1:15">
      <c r="A891" s="39" t="s">
        <v>4143</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4.5" spans="1:15">
      <c r="A892" s="39" t="s">
        <v>4144</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4.5" spans="1:15">
      <c r="A893" s="39" t="s">
        <v>4145</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4.5" spans="1:15">
      <c r="A894" s="39" t="s">
        <v>4146</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4.5" spans="1:15">
      <c r="A895" s="39" t="s">
        <v>4147</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4.5" spans="1:15">
      <c r="A896" s="39" t="s">
        <v>4148</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4.5" spans="1:15">
      <c r="A897" s="39" t="s">
        <v>4149</v>
      </c>
      <c r="B897" s="50" t="s">
        <v>1726</v>
      </c>
      <c r="C897" s="51" t="s">
        <v>3784</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4.5" spans="1:15">
      <c r="A898" s="39" t="s">
        <v>4150</v>
      </c>
      <c r="B898" s="50" t="s">
        <v>1726</v>
      </c>
      <c r="C898" s="51" t="s">
        <v>3784</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4.5" spans="1:15">
      <c r="A899" s="39" t="s">
        <v>4151</v>
      </c>
      <c r="B899" s="50" t="s">
        <v>1726</v>
      </c>
      <c r="C899" s="51" t="s">
        <v>3784</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4.5" spans="1:15">
      <c r="A900" s="39" t="s">
        <v>4152</v>
      </c>
      <c r="B900" s="50" t="s">
        <v>1726</v>
      </c>
      <c r="C900" s="51" t="s">
        <v>3784</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4.5" spans="1:15">
      <c r="A901" s="39" t="s">
        <v>4153</v>
      </c>
      <c r="B901" s="50" t="s">
        <v>1726</v>
      </c>
      <c r="C901" s="51" t="s">
        <v>3784</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4.5" spans="1:15">
      <c r="A902" s="39" t="s">
        <v>4154</v>
      </c>
      <c r="B902" s="50" t="s">
        <v>1726</v>
      </c>
      <c r="C902" s="51" t="s">
        <v>3784</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4.5" spans="1:15">
      <c r="A903" s="39" t="s">
        <v>4155</v>
      </c>
      <c r="B903" s="50" t="s">
        <v>1726</v>
      </c>
      <c r="C903" s="51" t="s">
        <v>3784</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4.5" spans="1:15">
      <c r="A904" s="39" t="s">
        <v>4156</v>
      </c>
      <c r="B904" s="50" t="s">
        <v>1726</v>
      </c>
      <c r="C904" s="51" t="s">
        <v>3784</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4.5" spans="1:15">
      <c r="A905" s="39" t="s">
        <v>4157</v>
      </c>
      <c r="B905" s="50" t="s">
        <v>1726</v>
      </c>
      <c r="C905" s="51" t="s">
        <v>3784</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4.5" spans="1:15">
      <c r="A906" s="39" t="s">
        <v>4158</v>
      </c>
      <c r="B906" s="50" t="s">
        <v>1726</v>
      </c>
      <c r="C906" s="51" t="s">
        <v>3784</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4.5" spans="1:15">
      <c r="A907" s="39" t="s">
        <v>4159</v>
      </c>
      <c r="B907" s="50" t="s">
        <v>1726</v>
      </c>
      <c r="C907" s="51" t="s">
        <v>3784</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4.5" spans="1:15">
      <c r="A908" s="39" t="s">
        <v>4160</v>
      </c>
      <c r="B908" s="50" t="s">
        <v>1726</v>
      </c>
      <c r="C908" s="51" t="s">
        <v>3784</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4.5" spans="1:15">
      <c r="A909" s="39" t="s">
        <v>4161</v>
      </c>
      <c r="B909" s="50" t="s">
        <v>1726</v>
      </c>
      <c r="C909" s="51" t="s">
        <v>3784</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4.5" spans="1:15">
      <c r="A910" s="39" t="s">
        <v>4162</v>
      </c>
      <c r="B910" s="50" t="s">
        <v>1726</v>
      </c>
      <c r="C910" s="51" t="s">
        <v>3784</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4.5" spans="1:15">
      <c r="A911" s="39" t="s">
        <v>4163</v>
      </c>
      <c r="B911" s="50" t="s">
        <v>1726</v>
      </c>
      <c r="C911" s="51" t="s">
        <v>3784</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4.5" spans="1:15">
      <c r="A912" s="39" t="s">
        <v>4164</v>
      </c>
      <c r="B912" s="50" t="s">
        <v>1726</v>
      </c>
      <c r="C912" s="51" t="s">
        <v>3784</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5" spans="1:15">
      <c r="A913" s="52" t="s">
        <v>4165</v>
      </c>
      <c r="B913" s="50" t="s">
        <v>1726</v>
      </c>
      <c r="C913" s="51" t="s">
        <v>3784</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4.5" spans="1:15">
      <c r="A914" s="39" t="s">
        <v>4166</v>
      </c>
      <c r="B914" s="50" t="s">
        <v>1726</v>
      </c>
      <c r="C914" s="51" t="s">
        <v>3784</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4.5" spans="1:15">
      <c r="A915" s="39" t="s">
        <v>4167</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4.5" spans="1:15">
      <c r="A916" s="39" t="s">
        <v>4168</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4.5" spans="1:15">
      <c r="A917" s="39" t="s">
        <v>4169</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4.5" spans="1:15">
      <c r="A918" s="39" t="s">
        <v>4170</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4.5" spans="1:15">
      <c r="A919" s="39" t="s">
        <v>4171</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4.5" spans="1:15">
      <c r="A920" s="39" t="s">
        <v>4172</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4.5" spans="1:15">
      <c r="A921" s="39" t="s">
        <v>4173</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4.5" spans="1:15">
      <c r="A922" s="39" t="s">
        <v>4174</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4.5" spans="1:15">
      <c r="A923" s="39" t="s">
        <v>4175</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4.5" spans="1:15">
      <c r="A924" s="39" t="s">
        <v>4176</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4.5" spans="1:15">
      <c r="A925" s="39" t="s">
        <v>4177</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4.5" spans="1:15">
      <c r="A926" s="39" t="s">
        <v>4178</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4.5" spans="1:15">
      <c r="A927" s="39" t="s">
        <v>4179</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4.5" spans="1:15">
      <c r="A928" s="39" t="s">
        <v>4180</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4.5" spans="1:15">
      <c r="A929" s="39" t="s">
        <v>4181</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4.5" spans="1:15">
      <c r="A930" s="39" t="s">
        <v>4182</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4.5" spans="1:15">
      <c r="A931" s="39" t="s">
        <v>4183</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4.5" spans="1:15">
      <c r="A932" s="39" t="s">
        <v>4184</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5" spans="1:15">
      <c r="A933" s="41" t="s">
        <v>4185</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4186</v>
      </c>
      <c r="C934" s="42" t="s">
        <v>3280</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5" spans="1:15">
      <c r="A935" s="41" t="s">
        <v>4187</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5" spans="1:15">
      <c r="A936" s="41" t="s">
        <v>4188</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5" spans="1:15">
      <c r="A937" s="41" t="s">
        <v>4189</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5" spans="1:15">
      <c r="A938" s="41" t="s">
        <v>4190</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5" spans="1:15">
      <c r="A939" s="41" t="s">
        <v>4191</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5" spans="1:15">
      <c r="A940" s="41" t="s">
        <v>4192</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5" spans="1:15">
      <c r="A941" s="41" t="s">
        <v>4193</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5" spans="1:15">
      <c r="A942" s="41" t="s">
        <v>4194</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5" spans="1:15">
      <c r="A943" s="41" t="s">
        <v>4195</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5" spans="1:15">
      <c r="A944" s="41" t="s">
        <v>4196</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5" spans="1:15">
      <c r="A945" s="41" t="s">
        <v>4197</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5" spans="1:15">
      <c r="A946" s="41" t="s">
        <v>4198</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5" spans="1:15">
      <c r="A947" s="41" t="s">
        <v>4199</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5" spans="1:15">
      <c r="A948" s="41" t="s">
        <v>4200</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5" spans="1:15">
      <c r="A949" s="41" t="s">
        <v>4201</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5" spans="1:15">
      <c r="A950" s="41" t="s">
        <v>4202</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5" spans="1:15">
      <c r="A951" s="41" t="s">
        <v>4203</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5" spans="1:15">
      <c r="A952" s="41" t="s">
        <v>4204</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3" t="s">
        <v>4205</v>
      </c>
      <c r="B1" s="43" t="s">
        <v>4206</v>
      </c>
      <c r="C1" s="44" t="s">
        <v>4207</v>
      </c>
      <c r="D1" s="44" t="s">
        <v>4208</v>
      </c>
      <c r="E1" s="44" t="s">
        <v>4209</v>
      </c>
      <c r="F1" s="44" t="s">
        <v>4210</v>
      </c>
      <c r="G1" s="43" t="s">
        <v>4211</v>
      </c>
      <c r="H1" s="43" t="s">
        <v>4212</v>
      </c>
      <c r="I1" s="1"/>
      <c r="J1" s="1"/>
      <c r="K1" s="1"/>
      <c r="L1" s="1"/>
      <c r="M1" s="1"/>
    </row>
    <row r="2" spans="1:8">
      <c r="A2" s="19" t="str">
        <f>'2 过程管理表单'!$BE$1</f>
        <v>2025年</v>
      </c>
      <c r="B2" s="43" t="s">
        <v>766</v>
      </c>
      <c r="C2" s="44">
        <f>'2 过程管理表单'!Z4</f>
        <v>25479.4520547945</v>
      </c>
      <c r="D2" s="44">
        <f>C2</f>
        <v>25479.4520547945</v>
      </c>
      <c r="E2" s="45">
        <f>'2 过程管理表单'!X4</f>
        <v>126125.513333333</v>
      </c>
      <c r="F2" s="45">
        <f>E2</f>
        <v>126125.513333333</v>
      </c>
      <c r="G2" s="46">
        <f>表1[[#This Row],[发生费用]]/表1[[#This Row],[预算费用]]</f>
        <v>0.202016637089561</v>
      </c>
      <c r="H2" s="46">
        <f>表1[[#This Row],[累计发生费用]]/表1[[#This Row],[累计预算费用]]</f>
        <v>0.202016637089561</v>
      </c>
    </row>
    <row r="3" spans="1:8">
      <c r="A3" s="19" t="str">
        <f>'2 过程管理表单'!$BE$1</f>
        <v>2025年</v>
      </c>
      <c r="B3" s="43" t="s">
        <v>767</v>
      </c>
      <c r="C3" s="44">
        <f>'2 过程管理表单'!AC4</f>
        <v>23013.698630137</v>
      </c>
      <c r="D3" s="44">
        <f>D2+C3</f>
        <v>48493.1506849315</v>
      </c>
      <c r="E3" s="45">
        <f>'2 过程管理表单'!AA4</f>
        <v>121960.793333333</v>
      </c>
      <c r="F3" s="45">
        <f>F2+E3</f>
        <v>248086.306666667</v>
      </c>
      <c r="G3" s="46">
        <f>表1[[#This Row],[发生费用]]/表1[[#This Row],[预算费用]]</f>
        <v>0.188697515005809</v>
      </c>
      <c r="H3" s="46">
        <f>表1[[#This Row],[累计发生费用]]/表1[[#This Row],[累计预算费用]]</f>
        <v>0.195468872653611</v>
      </c>
    </row>
    <row r="4" spans="1:8">
      <c r="A4" s="19" t="str">
        <f>'2 过程管理表单'!$BE$1</f>
        <v>2025年</v>
      </c>
      <c r="B4" s="43" t="s">
        <v>768</v>
      </c>
      <c r="C4" s="44">
        <f>'2 过程管理表单'!AF4</f>
        <v>25479.4520547945</v>
      </c>
      <c r="D4" s="44">
        <f t="shared" ref="D4:D13" si="0">D3+C4</f>
        <v>73972.602739726</v>
      </c>
      <c r="E4" s="45">
        <f>'2 过程管理表单'!AD4</f>
        <v>121960.793333333</v>
      </c>
      <c r="F4" s="45">
        <f t="shared" ref="F4:F13" si="1">F3+E4</f>
        <v>370047.1</v>
      </c>
      <c r="G4" s="46">
        <f>表1[[#This Row],[发生费用]]/表1[[#This Row],[预算费用]]</f>
        <v>0.208915105899288</v>
      </c>
      <c r="H4" s="46">
        <f>表1[[#This Row],[累计发生费用]]/表1[[#This Row],[累计预算费用]]</f>
        <v>0.199900506556398</v>
      </c>
    </row>
    <row r="5" spans="1:8">
      <c r="A5" s="19" t="str">
        <f>'2 过程管理表单'!$BE$1</f>
        <v>2025年</v>
      </c>
      <c r="B5" s="43" t="s">
        <v>769</v>
      </c>
      <c r="C5" s="44">
        <f>'2 过程管理表单'!AI4</f>
        <v>24657.5342465754</v>
      </c>
      <c r="D5" s="44">
        <f t="shared" si="0"/>
        <v>98630.1369863014</v>
      </c>
      <c r="E5" s="45">
        <f>'2 过程管理表单'!AG4</f>
        <v>121960.793333333</v>
      </c>
      <c r="F5" s="45">
        <f t="shared" si="1"/>
        <v>492007.893333333</v>
      </c>
      <c r="G5" s="46">
        <f>表1[[#This Row],[发生费用]]/表1[[#This Row],[预算费用]]</f>
        <v>0.202175908934796</v>
      </c>
      <c r="H5" s="46">
        <f>表1[[#This Row],[累计发生费用]]/表1[[#This Row],[累计预算费用]]</f>
        <v>0.200464541977338</v>
      </c>
    </row>
    <row r="6" spans="1:8">
      <c r="A6" s="19" t="str">
        <f>'2 过程管理表单'!$BE$1</f>
        <v>2025年</v>
      </c>
      <c r="B6" s="43" t="s">
        <v>770</v>
      </c>
      <c r="C6" s="44">
        <f>'2 过程管理表单'!AL4</f>
        <v>25479.4520547945</v>
      </c>
      <c r="D6" s="44">
        <f t="shared" si="0"/>
        <v>124109.589041096</v>
      </c>
      <c r="E6" s="45">
        <f>'2 过程管理表单'!AJ4</f>
        <v>121960.793333333</v>
      </c>
      <c r="F6" s="45">
        <f t="shared" si="1"/>
        <v>613968.686666667</v>
      </c>
      <c r="G6" s="46">
        <f>表1[[#This Row],[发生费用]]/表1[[#This Row],[预算费用]]</f>
        <v>0.208915105899288</v>
      </c>
      <c r="H6" s="46">
        <f>表1[[#This Row],[累计发生费用]]/表1[[#This Row],[累计预算费用]]</f>
        <v>0.202143190257644</v>
      </c>
    </row>
    <row r="7" spans="1:8">
      <c r="A7" s="19" t="str">
        <f>'2 过程管理表单'!$BE$1</f>
        <v>2025年</v>
      </c>
      <c r="B7" s="43" t="s">
        <v>771</v>
      </c>
      <c r="C7" s="44">
        <f>'2 过程管理表单'!AO4</f>
        <v>24657.5342465754</v>
      </c>
      <c r="D7" s="44">
        <f t="shared" si="0"/>
        <v>148767.123287671</v>
      </c>
      <c r="E7" s="45">
        <f>'2 过程管理表单'!AM4</f>
        <v>121960.793333333</v>
      </c>
      <c r="F7" s="45">
        <f t="shared" si="1"/>
        <v>735929.48</v>
      </c>
      <c r="G7" s="46">
        <f>表1[[#This Row],[发生费用]]/表1[[#This Row],[预算费用]]</f>
        <v>0.202175908934796</v>
      </c>
      <c r="H7" s="46">
        <f>表1[[#This Row],[累计发生费用]]/表1[[#This Row],[累计预算费用]]</f>
        <v>0.202148612510632</v>
      </c>
    </row>
    <row r="8" spans="1:8">
      <c r="A8" s="19" t="str">
        <f>'2 过程管理表单'!$BE$1</f>
        <v>2025年</v>
      </c>
      <c r="B8" s="43" t="s">
        <v>772</v>
      </c>
      <c r="C8" s="44">
        <f>'2 过程管理表单'!AR4</f>
        <v>25479.4520547945</v>
      </c>
      <c r="D8" s="44">
        <f t="shared" si="0"/>
        <v>174246.575342466</v>
      </c>
      <c r="E8" s="45">
        <f>'2 过程管理表单'!AP4</f>
        <v>121960.793333333</v>
      </c>
      <c r="F8" s="45">
        <f t="shared" si="1"/>
        <v>857890.273333333</v>
      </c>
      <c r="G8" s="46">
        <f>表1[[#This Row],[发生费用]]/表1[[#This Row],[预算费用]]</f>
        <v>0.208915105899288</v>
      </c>
      <c r="H8" s="46">
        <f>表1[[#This Row],[累计发生费用]]/表1[[#This Row],[累计预算费用]]</f>
        <v>0.203110561756844</v>
      </c>
    </row>
    <row r="9" spans="1:8">
      <c r="A9" s="19" t="str">
        <f>'2 过程管理表单'!$BE$1</f>
        <v>2025年</v>
      </c>
      <c r="B9" s="43" t="s">
        <v>773</v>
      </c>
      <c r="C9" s="44">
        <f>'2 过程管理表单'!AU4</f>
        <v>0</v>
      </c>
      <c r="D9" s="44">
        <f t="shared" si="0"/>
        <v>174246.575342466</v>
      </c>
      <c r="E9" s="45">
        <f>'2 过程管理表单'!AS4</f>
        <v>121960.793333333</v>
      </c>
      <c r="F9" s="45">
        <f t="shared" si="1"/>
        <v>979851.066666667</v>
      </c>
      <c r="G9" s="46">
        <f>表1[[#This Row],[发生费用]]/表1[[#This Row],[预算费用]]</f>
        <v>0</v>
      </c>
      <c r="H9" s="46">
        <f>表1[[#This Row],[累计发生费用]]/表1[[#This Row],[累计预算费用]]</f>
        <v>0.177829653168855</v>
      </c>
    </row>
    <row r="10" spans="1:8">
      <c r="A10" s="19" t="str">
        <f>'2 过程管理表单'!$BE$1</f>
        <v>2025年</v>
      </c>
      <c r="B10" s="43" t="s">
        <v>774</v>
      </c>
      <c r="C10" s="44">
        <f>'2 过程管理表单'!AX4</f>
        <v>0</v>
      </c>
      <c r="D10" s="44">
        <f t="shared" si="0"/>
        <v>174246.575342466</v>
      </c>
      <c r="E10" s="45">
        <f>'2 过程管理表单'!AV4</f>
        <v>121960.793333333</v>
      </c>
      <c r="F10" s="45">
        <f t="shared" si="1"/>
        <v>1101811.86</v>
      </c>
      <c r="G10" s="46">
        <f>表1[[#This Row],[发生费用]]/表1[[#This Row],[预算费用]]</f>
        <v>0</v>
      </c>
      <c r="H10" s="46">
        <f>表1[[#This Row],[累计发生费用]]/表1[[#This Row],[累计预算费用]]</f>
        <v>0.158145488960761</v>
      </c>
    </row>
    <row r="11" spans="1:8">
      <c r="A11" s="19" t="str">
        <f>'2 过程管理表单'!$BE$1</f>
        <v>2025年</v>
      </c>
      <c r="B11" s="43" t="s">
        <v>775</v>
      </c>
      <c r="C11" s="44">
        <f>'2 过程管理表单'!BA4</f>
        <v>0</v>
      </c>
      <c r="D11" s="44">
        <f t="shared" si="0"/>
        <v>174246.575342466</v>
      </c>
      <c r="E11" s="45">
        <f>'2 过程管理表单'!AY4</f>
        <v>121960.793333333</v>
      </c>
      <c r="F11" s="45">
        <f t="shared" si="1"/>
        <v>1223772.65333333</v>
      </c>
      <c r="G11" s="46">
        <f>表1[[#This Row],[发生费用]]/表1[[#This Row],[预算费用]]</f>
        <v>0</v>
      </c>
      <c r="H11" s="46">
        <f>表1[[#This Row],[累计发生费用]]/表1[[#This Row],[累计预算费用]]</f>
        <v>0.142384759839052</v>
      </c>
    </row>
    <row r="12" spans="1:8">
      <c r="A12" s="19" t="str">
        <f>'2 过程管理表单'!$BE$1</f>
        <v>2025年</v>
      </c>
      <c r="B12" s="43" t="s">
        <v>776</v>
      </c>
      <c r="C12" s="44">
        <f>'2 过程管理表单'!BD4</f>
        <v>0</v>
      </c>
      <c r="D12" s="44">
        <f t="shared" si="0"/>
        <v>174246.575342466</v>
      </c>
      <c r="E12" s="45">
        <f>'2 过程管理表单'!BB4</f>
        <v>121960.793333333</v>
      </c>
      <c r="F12" s="45">
        <f t="shared" si="1"/>
        <v>1345733.44666667</v>
      </c>
      <c r="G12" s="46">
        <f>表1[[#This Row],[发生费用]]/表1[[#This Row],[预算费用]]</f>
        <v>0</v>
      </c>
      <c r="H12" s="46">
        <f>表1[[#This Row],[累计发生费用]]/表1[[#This Row],[累计预算费用]]</f>
        <v>0.129480749530353</v>
      </c>
    </row>
    <row r="13" spans="1:8">
      <c r="A13" s="19" t="str">
        <f>'2 过程管理表单'!$BE$1</f>
        <v>2025年</v>
      </c>
      <c r="B13" s="43" t="s">
        <v>777</v>
      </c>
      <c r="C13" s="44">
        <f>'2 过程管理表单'!BG4</f>
        <v>0</v>
      </c>
      <c r="D13" s="44">
        <f t="shared" si="0"/>
        <v>174246.575342466</v>
      </c>
      <c r="E13" s="45">
        <f>'2 过程管理表单'!BE4</f>
        <v>154987.493333333</v>
      </c>
      <c r="F13" s="45">
        <f t="shared" si="1"/>
        <v>1500720.94</v>
      </c>
      <c r="G13" s="46">
        <f>表1[[#This Row],[发生费用]]/表1[[#This Row],[预算费用]]</f>
        <v>0</v>
      </c>
      <c r="H13" s="46">
        <f>表1[[#This Row],[累计发生费用]]/表1[[#This Row],[累计预算费用]]</f>
        <v>0.1161085786825</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G21" sqref="G21"/>
    </sheetView>
  </sheetViews>
  <sheetFormatPr defaultColWidth="9" defaultRowHeight="14"/>
  <cols>
    <col min="1" max="1" width="14.3727272727273" customWidth="1"/>
    <col min="2" max="2" width="23.5" customWidth="1"/>
    <col min="3" max="14" width="12.6272727272727"/>
  </cols>
  <sheetData>
    <row r="1" spans="1:14">
      <c r="A1" s="11" t="s">
        <v>4213</v>
      </c>
      <c r="B1" s="17" t="s">
        <v>4214</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17" t="s">
        <v>4215</v>
      </c>
      <c r="C2">
        <f>'2 过程管理表单'!Z5</f>
        <v>25479.4520547945</v>
      </c>
      <c r="D2">
        <f>'2 过程管理表单'!AC5</f>
        <v>23013.698630137</v>
      </c>
      <c r="E2">
        <f>'2 过程管理表单'!AF5</f>
        <v>25479.4520547945</v>
      </c>
      <c r="F2">
        <f>'2 过程管理表单'!AI5</f>
        <v>24657.5342465754</v>
      </c>
      <c r="G2">
        <f>'2 过程管理表单'!AL5</f>
        <v>25479.4520547945</v>
      </c>
      <c r="H2">
        <f>'2 过程管理表单'!AO5</f>
        <v>24657.5342465754</v>
      </c>
      <c r="I2">
        <f>'2 过程管理表单'!AR5</f>
        <v>25479.4520547945</v>
      </c>
      <c r="J2">
        <f>'2 过程管理表单'!AU5</f>
        <v>0</v>
      </c>
      <c r="K2">
        <f>'2 过程管理表单'!AX5</f>
        <v>0</v>
      </c>
      <c r="L2">
        <f>'2 过程管理表单'!BA5</f>
        <v>0</v>
      </c>
      <c r="M2">
        <f>'2 过程管理表单'!BD5</f>
        <v>0</v>
      </c>
      <c r="N2">
        <f>'2 过程管理表单'!BG4</f>
        <v>0</v>
      </c>
    </row>
    <row r="3" hidden="1" spans="1:14">
      <c r="A3" s="6" t="s">
        <v>214</v>
      </c>
      <c r="B3" s="17" t="s">
        <v>4216</v>
      </c>
      <c r="C3">
        <f t="shared" ref="C3:C7" si="0">C2</f>
        <v>25479.4520547945</v>
      </c>
      <c r="D3">
        <f t="shared" ref="D3:N3" si="1">C3+D2</f>
        <v>48493.1506849315</v>
      </c>
      <c r="E3">
        <f t="shared" si="1"/>
        <v>73972.602739726</v>
      </c>
      <c r="F3">
        <f t="shared" si="1"/>
        <v>98630.1369863014</v>
      </c>
      <c r="G3">
        <f t="shared" si="1"/>
        <v>124109.589041096</v>
      </c>
      <c r="H3">
        <f t="shared" si="1"/>
        <v>148767.123287671</v>
      </c>
      <c r="I3">
        <f t="shared" si="1"/>
        <v>174246.575342466</v>
      </c>
      <c r="J3">
        <f t="shared" si="1"/>
        <v>174246.575342466</v>
      </c>
      <c r="K3">
        <f t="shared" si="1"/>
        <v>174246.575342466</v>
      </c>
      <c r="L3">
        <f t="shared" si="1"/>
        <v>174246.575342466</v>
      </c>
      <c r="M3">
        <f t="shared" si="1"/>
        <v>174246.575342466</v>
      </c>
      <c r="N3">
        <f t="shared" si="1"/>
        <v>174246.575342466</v>
      </c>
    </row>
    <row r="4" hidden="1" spans="1:14">
      <c r="A4" s="6" t="s">
        <v>214</v>
      </c>
      <c r="B4" s="17" t="s">
        <v>4217</v>
      </c>
      <c r="C4">
        <f>'2 过程管理表单'!X5-'2 过程管理表单'!X8-'2 过程管理表单'!X27-'2 过程管理表单'!X46-'2 过程管理表单'!X71-'2 过程管理表单'!X96-'2 过程管理表单'!X115-'2 过程管理表单'!X140-'2 过程管理表单'!X159</f>
        <v>27333.333333333</v>
      </c>
      <c r="D4">
        <f>'2 过程管理表单'!AA5-'2 过程管理表单'!AA8-'2 过程管理表单'!AA27-'2 过程管理表单'!AA46-'2 过程管理表单'!AA71-'2 过程管理表单'!AA96-'2 过程管理表单'!AA115-'2 过程管理表单'!AA140-'2 过程管理表单'!AA159</f>
        <v>27333.333333333</v>
      </c>
      <c r="E4">
        <f>'2 过程管理表单'!AD5-'2 过程管理表单'!AD8-'2 过程管理表单'!AD27-'2 过程管理表单'!AD46-'2 过程管理表单'!AD71-'2 过程管理表单'!AD96-'2 过程管理表单'!AD115-'2 过程管理表单'!AD140-'2 过程管理表单'!AD159</f>
        <v>27333.333333333</v>
      </c>
      <c r="F4">
        <f>'2 过程管理表单'!AG5-'2 过程管理表单'!AG8-'2 过程管理表单'!AG27-'2 过程管理表单'!AG46-'2 过程管理表单'!AG71-'2 过程管理表单'!AG96-'2 过程管理表单'!AG115-'2 过程管理表单'!AG140-'2 过程管理表单'!AG159</f>
        <v>27333.333333333</v>
      </c>
      <c r="G4">
        <f>'2 过程管理表单'!AJ5-'2 过程管理表单'!AJ8-'2 过程管理表单'!AJ27-'2 过程管理表单'!AJ46-'2 过程管理表单'!AJ71-'2 过程管理表单'!AJ96-'2 过程管理表单'!AJ115-'2 过程管理表单'!AJ140-'2 过程管理表单'!AJ159</f>
        <v>27333.333333333</v>
      </c>
      <c r="H4">
        <f>'2 过程管理表单'!AM5-'2 过程管理表单'!AM8-'2 过程管理表单'!AM27-'2 过程管理表单'!AM46-'2 过程管理表单'!AM71-'2 过程管理表单'!AM96-'2 过程管理表单'!AM115-'2 过程管理表单'!AM140-'2 过程管理表单'!AM159</f>
        <v>27333.333333333</v>
      </c>
      <c r="I4">
        <f>'2 过程管理表单'!AP5-'2 过程管理表单'!AP8-'2 过程管理表单'!AP27-'2 过程管理表单'!AP46-'2 过程管理表单'!AP71-'2 过程管理表单'!AP96-'2 过程管理表单'!AP115-'2 过程管理表单'!AP140-'2 过程管理表单'!AP159</f>
        <v>27333.333333333</v>
      </c>
      <c r="J4">
        <f>'2 过程管理表单'!AS5-'2 过程管理表单'!AS8-'2 过程管理表单'!AS27-'2 过程管理表单'!AS46-'2 过程管理表单'!AS71-'2 过程管理表单'!AS96-'2 过程管理表单'!AS115-'2 过程管理表单'!AS140-'2 过程管理表单'!AS159</f>
        <v>27333.333333333</v>
      </c>
      <c r="K4">
        <f>'2 过程管理表单'!AV5-'2 过程管理表单'!AV8-'2 过程管理表单'!AV27-'2 过程管理表单'!AV46-'2 过程管理表单'!AV71-'2 过程管理表单'!AV96-'2 过程管理表单'!AV115-'2 过程管理表单'!AV140-'2 过程管理表单'!AV159</f>
        <v>27333.333333333</v>
      </c>
      <c r="L4">
        <f>'2 过程管理表单'!AY5-'2 过程管理表单'!AY8-'2 过程管理表单'!AY27-'2 过程管理表单'!AY46-'2 过程管理表单'!AY71-'2 过程管理表单'!AY96-'2 过程管理表单'!AY115-'2 过程管理表单'!AY140-'2 过程管理表单'!AY159</f>
        <v>27333.333333333</v>
      </c>
      <c r="M4">
        <f>'2 过程管理表单'!BB5-'2 过程管理表单'!BB8-'2 过程管理表单'!BB27-'2 过程管理表单'!BB46-'2 过程管理表单'!BB71-'2 过程管理表单'!BB96-'2 过程管理表单'!BB115-'2 过程管理表单'!BB140-'2 过程管理表单'!BB159</f>
        <v>27333.333333333</v>
      </c>
      <c r="N4">
        <f>'2 过程管理表单'!BE5-'2 过程管理表单'!BE8-'2 过程管理表单'!BE27-'2 过程管理表单'!BE46-'2 过程管理表单'!BE71-'2 过程管理表单'!BE96-'2 过程管理表单'!BE115-'2 过程管理表单'!BE140-'2 过程管理表单'!BE159</f>
        <v>27333.333333333</v>
      </c>
    </row>
    <row r="5" hidden="1" spans="1:14">
      <c r="A5" s="6" t="s">
        <v>214</v>
      </c>
      <c r="B5" s="17" t="s">
        <v>4218</v>
      </c>
      <c r="C5">
        <f t="shared" si="0"/>
        <v>27333.333333333</v>
      </c>
      <c r="D5">
        <f t="shared" ref="D5:N5" si="2">C5+D4</f>
        <v>54666.666666666</v>
      </c>
      <c r="E5">
        <f t="shared" si="2"/>
        <v>81999.999999999</v>
      </c>
      <c r="F5">
        <f t="shared" si="2"/>
        <v>109333.333333332</v>
      </c>
      <c r="G5">
        <f t="shared" si="2"/>
        <v>136666.666666665</v>
      </c>
      <c r="H5">
        <f t="shared" si="2"/>
        <v>163999.999999998</v>
      </c>
      <c r="I5">
        <f t="shared" si="2"/>
        <v>191333.333333331</v>
      </c>
      <c r="J5">
        <f t="shared" si="2"/>
        <v>218666.666666664</v>
      </c>
      <c r="K5">
        <f t="shared" si="2"/>
        <v>245999.999999997</v>
      </c>
      <c r="L5">
        <f t="shared" si="2"/>
        <v>273333.33333333</v>
      </c>
      <c r="M5">
        <f t="shared" si="2"/>
        <v>300666.666666663</v>
      </c>
      <c r="N5">
        <f t="shared" si="2"/>
        <v>327999.999999996</v>
      </c>
    </row>
    <row r="6" hidden="1" spans="1:14">
      <c r="A6" s="6" t="s">
        <v>9</v>
      </c>
      <c r="B6" s="18" t="s">
        <v>4219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4220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4221</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4222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4223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4225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4226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17" t="s">
        <v>4227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4228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4229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4230</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4231</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4232</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4233</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6" t="s">
        <v>216</v>
      </c>
      <c r="B21" s="17" t="s">
        <v>4234</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6" t="s">
        <v>217</v>
      </c>
      <c r="B22" s="17" t="s">
        <v>4235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4236</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4237</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4238</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4213</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0</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4239</v>
      </c>
      <c r="B8" s="6">
        <f>B2+B3+B4+B5+B6+B7</f>
        <v>4</v>
      </c>
      <c r="C8" s="6">
        <f t="shared" ref="C8:M8" si="0">SUM(C2:C7)</f>
        <v>0</v>
      </c>
      <c r="D8" s="6">
        <f t="shared" si="0"/>
        <v>4</v>
      </c>
      <c r="E8" s="6">
        <f t="shared" si="0"/>
        <v>4</v>
      </c>
      <c r="F8" s="6">
        <f t="shared" si="0"/>
        <v>4</v>
      </c>
      <c r="G8" s="6">
        <f t="shared" si="0"/>
        <v>4</v>
      </c>
      <c r="H8" s="6">
        <f t="shared" si="0"/>
        <v>4</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11" t="s">
        <v>4213</v>
      </c>
      <c r="B1" s="17" t="s">
        <v>4214</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4215</v>
      </c>
      <c r="C2">
        <f>'2 过程管理表单'!Z5</f>
        <v>25479.4520547945</v>
      </c>
      <c r="D2">
        <f>'2 过程管理表单'!AC5</f>
        <v>23013.698630137</v>
      </c>
      <c r="E2">
        <f>'2 过程管理表单'!AF5</f>
        <v>25479.4520547945</v>
      </c>
      <c r="F2">
        <f>'2 过程管理表单'!AI5</f>
        <v>24657.5342465754</v>
      </c>
      <c r="G2">
        <f>'2 过程管理表单'!AL5</f>
        <v>25479.4520547945</v>
      </c>
      <c r="H2">
        <f>'2 过程管理表单'!AO5</f>
        <v>24657.5342465754</v>
      </c>
      <c r="I2">
        <f>'2 过程管理表单'!AR5</f>
        <v>25479.4520547945</v>
      </c>
      <c r="J2">
        <f>'2 过程管理表单'!AU5</f>
        <v>0</v>
      </c>
      <c r="K2">
        <f>'2 过程管理表单'!AX5</f>
        <v>0</v>
      </c>
      <c r="L2">
        <f>'2 过程管理表单'!BA5</f>
        <v>0</v>
      </c>
      <c r="M2">
        <f>'2 过程管理表单'!BD5</f>
        <v>0</v>
      </c>
      <c r="N2">
        <f>'2 过程管理表单'!BG4</f>
        <v>0</v>
      </c>
    </row>
    <row r="3" spans="1:14">
      <c r="A3" s="6" t="s">
        <v>214</v>
      </c>
      <c r="B3" s="17" t="s">
        <v>4216</v>
      </c>
      <c r="C3">
        <f>C2</f>
        <v>25479.4520547945</v>
      </c>
      <c r="D3">
        <f t="shared" ref="D3:N3" si="0">C3+D2</f>
        <v>48493.1506849315</v>
      </c>
      <c r="E3">
        <f t="shared" si="0"/>
        <v>73972.602739726</v>
      </c>
      <c r="F3">
        <f t="shared" si="0"/>
        <v>98630.1369863014</v>
      </c>
      <c r="G3">
        <f t="shared" si="0"/>
        <v>124109.589041096</v>
      </c>
      <c r="H3">
        <f t="shared" si="0"/>
        <v>148767.123287671</v>
      </c>
      <c r="I3">
        <f t="shared" si="0"/>
        <v>174246.575342466</v>
      </c>
      <c r="J3">
        <f t="shared" si="0"/>
        <v>174246.575342466</v>
      </c>
      <c r="K3">
        <f t="shared" si="0"/>
        <v>174246.575342466</v>
      </c>
      <c r="L3">
        <f t="shared" si="0"/>
        <v>174246.575342466</v>
      </c>
      <c r="M3">
        <f t="shared" si="0"/>
        <v>174246.575342466</v>
      </c>
      <c r="N3">
        <f t="shared" si="0"/>
        <v>174246.575342466</v>
      </c>
    </row>
    <row r="4" spans="1:14">
      <c r="A4" s="6" t="s">
        <v>214</v>
      </c>
      <c r="B4" s="17" t="s">
        <v>4217</v>
      </c>
      <c r="C4">
        <f>'2 过程管理表单'!X5</f>
        <v>126125.513333333</v>
      </c>
      <c r="D4">
        <f>'2 过程管理表单'!AA5</f>
        <v>121960.793333333</v>
      </c>
      <c r="E4">
        <f>'2 过程管理表单'!AD5</f>
        <v>121960.793333333</v>
      </c>
      <c r="F4">
        <f>'2 过程管理表单'!AG5</f>
        <v>121960.793333333</v>
      </c>
      <c r="G4">
        <f>'2 过程管理表单'!AJ5</f>
        <v>121960.793333333</v>
      </c>
      <c r="H4">
        <f>'2 过程管理表单'!AM5</f>
        <v>121960.793333333</v>
      </c>
      <c r="I4">
        <f>'2 过程管理表单'!AP5</f>
        <v>121960.793333333</v>
      </c>
      <c r="J4">
        <f>'2 过程管理表单'!AS5</f>
        <v>121960.793333333</v>
      </c>
      <c r="K4">
        <f>'2 过程管理表单'!AV5</f>
        <v>121960.793333333</v>
      </c>
      <c r="L4">
        <f>'2 过程管理表单'!AY5</f>
        <v>121960.793333333</v>
      </c>
      <c r="M4">
        <f>'2 过程管理表单'!BB5</f>
        <v>121960.793333333</v>
      </c>
      <c r="N4">
        <f>'2 过程管理表单'!BE5</f>
        <v>154987.493333333</v>
      </c>
    </row>
    <row r="5" spans="1:14">
      <c r="A5" s="6" t="s">
        <v>214</v>
      </c>
      <c r="B5" s="17" t="s">
        <v>4218</v>
      </c>
      <c r="C5">
        <f>C4</f>
        <v>126125.513333333</v>
      </c>
      <c r="D5">
        <f t="shared" ref="D5:N5" si="1">C5+D4</f>
        <v>248086.306666667</v>
      </c>
      <c r="E5">
        <f t="shared" si="1"/>
        <v>370047.1</v>
      </c>
      <c r="F5">
        <f t="shared" si="1"/>
        <v>492007.893333333</v>
      </c>
      <c r="G5">
        <f t="shared" si="1"/>
        <v>613968.686666667</v>
      </c>
      <c r="H5">
        <f t="shared" si="1"/>
        <v>735929.48</v>
      </c>
      <c r="I5">
        <f t="shared" si="1"/>
        <v>857890.273333333</v>
      </c>
      <c r="J5">
        <f t="shared" si="1"/>
        <v>979851.066666667</v>
      </c>
      <c r="K5">
        <f t="shared" si="1"/>
        <v>1101811.86</v>
      </c>
      <c r="L5">
        <f t="shared" si="1"/>
        <v>1223772.65333333</v>
      </c>
      <c r="M5">
        <f t="shared" si="1"/>
        <v>1345733.44666667</v>
      </c>
      <c r="N5">
        <f t="shared" si="1"/>
        <v>1500720.94</v>
      </c>
    </row>
    <row r="6" spans="1:14">
      <c r="A6" s="6" t="s">
        <v>9</v>
      </c>
      <c r="B6" s="18" t="s">
        <v>4219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4220</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4221</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4222</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4223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4224</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4225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4226</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4227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4228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4229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4230</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4231</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4232</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4233</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4234</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17" t="s">
        <v>4235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4236</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4237</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4238</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20" t="s">
        <v>4240</v>
      </c>
      <c r="B26" s="21" t="s">
        <v>4241</v>
      </c>
      <c r="C26">
        <f>'2 过程管理表单'!Z6</f>
        <v>25479.4520547945</v>
      </c>
      <c r="D26">
        <f>'2 过程管理表单'!AC6</f>
        <v>23013.698630137</v>
      </c>
      <c r="E26">
        <f>'2 过程管理表单'!AF6</f>
        <v>25479.4520547945</v>
      </c>
      <c r="F26">
        <f>'2 过程管理表单'!AI6</f>
        <v>24657.5342465754</v>
      </c>
      <c r="G26">
        <f>'2 过程管理表单'!AL6</f>
        <v>25479.4520547945</v>
      </c>
      <c r="H26">
        <f>'2 过程管理表单'!AO6</f>
        <v>24657.5342465754</v>
      </c>
      <c r="I26">
        <f>'2 过程管理表单'!AR6</f>
        <v>25479.4520547945</v>
      </c>
      <c r="J26">
        <f>'2 过程管理表单'!AU6</f>
        <v>0</v>
      </c>
      <c r="K26">
        <f>'2 过程管理表单'!AX6</f>
        <v>0</v>
      </c>
      <c r="L26">
        <f>'2 过程管理表单'!BA6</f>
        <v>0</v>
      </c>
      <c r="M26">
        <f>'2 过程管理表单'!BD6</f>
        <v>0</v>
      </c>
      <c r="N26">
        <f>'2 过程管理表单'!BG6</f>
        <v>0</v>
      </c>
    </row>
    <row r="27" spans="1:14">
      <c r="A27" s="20" t="s">
        <v>4240</v>
      </c>
      <c r="B27" s="21" t="s">
        <v>4242</v>
      </c>
      <c r="C27">
        <f>C26</f>
        <v>25479.4520547945</v>
      </c>
      <c r="D27">
        <f>表3_3[[#This Row],[1月]]+D26</f>
        <v>48493.1506849315</v>
      </c>
      <c r="E27">
        <f>表3_3[[#This Row],[2月]]+E26</f>
        <v>73972.602739726</v>
      </c>
      <c r="F27">
        <f>表3_3[[#This Row],[3月]]+F26</f>
        <v>98630.1369863014</v>
      </c>
      <c r="G27">
        <f>表3_3[[#This Row],[4月]]+G26</f>
        <v>124109.589041096</v>
      </c>
      <c r="H27">
        <f>表3_3[[#This Row],[5月]]+H26</f>
        <v>148767.123287671</v>
      </c>
      <c r="I27">
        <f>表3_3[[#This Row],[6月]]+I26</f>
        <v>174246.575342466</v>
      </c>
      <c r="J27">
        <f>表3_3[[#This Row],[7月]]+J26</f>
        <v>174246.575342466</v>
      </c>
      <c r="K27">
        <f>表3_3[[#This Row],[8月]]+K26</f>
        <v>174246.575342466</v>
      </c>
      <c r="L27">
        <f>表3_3[[#This Row],[9月]]+L26</f>
        <v>174246.575342466</v>
      </c>
      <c r="M27">
        <f>表3_3[[#This Row],[10月]]+M26</f>
        <v>174246.575342466</v>
      </c>
      <c r="N27">
        <f>表3_3[[#This Row],[11月]]+N26</f>
        <v>174246.575342466</v>
      </c>
    </row>
    <row r="28" spans="1:14">
      <c r="A28" s="20" t="s">
        <v>4240</v>
      </c>
      <c r="B28" s="21" t="s">
        <v>4243</v>
      </c>
      <c r="C28">
        <f>'2 过程管理表单'!X6</f>
        <v>126125.513333333</v>
      </c>
      <c r="D28">
        <f>'2 过程管理表单'!AA6</f>
        <v>121960.793333333</v>
      </c>
      <c r="E28">
        <f>'2 过程管理表单'!AD6</f>
        <v>121960.793333333</v>
      </c>
      <c r="F28">
        <f>'2 过程管理表单'!AG6</f>
        <v>121960.793333333</v>
      </c>
      <c r="G28">
        <f>'2 过程管理表单'!AJ6</f>
        <v>121960.793333333</v>
      </c>
      <c r="H28">
        <f>'2 过程管理表单'!AM6</f>
        <v>121960.793333333</v>
      </c>
      <c r="I28">
        <f>'2 过程管理表单'!AP6</f>
        <v>121960.793333333</v>
      </c>
      <c r="J28">
        <f>'2 过程管理表单'!AS6</f>
        <v>121960.793333333</v>
      </c>
      <c r="K28">
        <f>'2 过程管理表单'!AV6</f>
        <v>121960.793333333</v>
      </c>
      <c r="L28">
        <f>'2 过程管理表单'!AY6</f>
        <v>121960.793333333</v>
      </c>
      <c r="M28">
        <f>'2 过程管理表单'!BB6</f>
        <v>121960.793333333</v>
      </c>
      <c r="N28">
        <f>'2 过程管理表单'!BE6</f>
        <v>154987.493333333</v>
      </c>
    </row>
    <row r="29" spans="1:14">
      <c r="A29" s="20" t="s">
        <v>4240</v>
      </c>
      <c r="B29" s="21" t="s">
        <v>4244</v>
      </c>
      <c r="C29">
        <f>C28</f>
        <v>126125.513333333</v>
      </c>
      <c r="D29">
        <f>表3_3[[#This Row],[1月]]+D28</f>
        <v>248086.306666667</v>
      </c>
      <c r="E29">
        <f>表3_3[[#This Row],[2月]]+E28</f>
        <v>370047.1</v>
      </c>
      <c r="F29">
        <f>表3_3[[#This Row],[3月]]+F28</f>
        <v>492007.893333333</v>
      </c>
      <c r="G29">
        <f>表3_3[[#This Row],[4月]]+G28</f>
        <v>613968.686666667</v>
      </c>
      <c r="H29">
        <f>表3_3[[#This Row],[5月]]+H28</f>
        <v>735929.48</v>
      </c>
      <c r="I29">
        <f>表3_3[[#This Row],[6月]]+I28</f>
        <v>857890.273333333</v>
      </c>
      <c r="J29">
        <f>表3_3[[#This Row],[7月]]+J28</f>
        <v>979851.066666667</v>
      </c>
      <c r="K29">
        <f>表3_3[[#This Row],[8月]]+K28</f>
        <v>1101811.86</v>
      </c>
      <c r="L29">
        <f>表3_3[[#This Row],[9月]]+L28</f>
        <v>1223772.65333333</v>
      </c>
      <c r="M29">
        <f>表3_3[[#This Row],[10月]]+M28</f>
        <v>1345733.44666667</v>
      </c>
      <c r="N29">
        <f>表3_3[[#This Row],[11月]]+N28</f>
        <v>1500720.94</v>
      </c>
    </row>
    <row r="30" spans="1:14">
      <c r="A30" s="20" t="s">
        <v>4245</v>
      </c>
      <c r="B30" s="21" t="s">
        <v>4241</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4245</v>
      </c>
      <c r="B31" s="21" t="s">
        <v>4242</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4245</v>
      </c>
      <c r="B32" s="21" t="s">
        <v>4243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4245</v>
      </c>
      <c r="B33" s="21" t="s">
        <v>4244</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4246</v>
      </c>
      <c r="B34" s="21" t="s">
        <v>4241</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4246</v>
      </c>
      <c r="B35" s="21" t="s">
        <v>4242</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4246</v>
      </c>
      <c r="B36" s="21" t="s">
        <v>4243</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4246</v>
      </c>
      <c r="B37" s="21" t="s">
        <v>4244</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3" t="s">
        <v>4247</v>
      </c>
      <c r="B38" s="17" t="s">
        <v>4248</v>
      </c>
      <c r="C38">
        <f>C5+C9+C13+C17+C21+C25</f>
        <v>126125.513333333</v>
      </c>
      <c r="D38">
        <f t="shared" ref="D38:N38" si="9">D5+D9+D13+D17+D21+D25</f>
        <v>248086.306666667</v>
      </c>
      <c r="E38">
        <f t="shared" si="9"/>
        <v>370047.1</v>
      </c>
      <c r="F38">
        <f t="shared" si="9"/>
        <v>492007.893333333</v>
      </c>
      <c r="G38">
        <f t="shared" si="9"/>
        <v>613968.686666667</v>
      </c>
      <c r="H38">
        <f t="shared" si="9"/>
        <v>735929.48</v>
      </c>
      <c r="I38">
        <f t="shared" si="9"/>
        <v>857890.273333333</v>
      </c>
      <c r="J38">
        <f t="shared" si="9"/>
        <v>979851.066666667</v>
      </c>
      <c r="K38">
        <f t="shared" si="9"/>
        <v>1101811.86</v>
      </c>
      <c r="L38">
        <f t="shared" si="9"/>
        <v>1223772.65333333</v>
      </c>
      <c r="M38">
        <f t="shared" si="9"/>
        <v>1345733.44666667</v>
      </c>
      <c r="N38">
        <f t="shared" si="9"/>
        <v>1500720.94</v>
      </c>
    </row>
    <row r="39" spans="1:14">
      <c r="A39" s="23" t="s">
        <v>4247</v>
      </c>
      <c r="B39" s="17" t="s">
        <v>4249</v>
      </c>
      <c r="C39">
        <f>C3+C7+C11+C15+C19+C23</f>
        <v>25479.4520547945</v>
      </c>
      <c r="D39">
        <f t="shared" ref="D39:N39" si="10">D3+D7+D11+D15+D19+D23</f>
        <v>48493.1506849315</v>
      </c>
      <c r="E39">
        <f t="shared" si="10"/>
        <v>73972.602739726</v>
      </c>
      <c r="F39">
        <f t="shared" si="10"/>
        <v>98630.1369863014</v>
      </c>
      <c r="G39">
        <f t="shared" si="10"/>
        <v>124109.589041096</v>
      </c>
      <c r="H39">
        <f t="shared" si="10"/>
        <v>148767.123287671</v>
      </c>
      <c r="I39">
        <f t="shared" si="10"/>
        <v>174246.575342466</v>
      </c>
      <c r="J39">
        <f t="shared" si="10"/>
        <v>174246.575342466</v>
      </c>
      <c r="K39">
        <f t="shared" si="10"/>
        <v>174246.575342466</v>
      </c>
      <c r="L39">
        <f t="shared" si="10"/>
        <v>174246.575342466</v>
      </c>
      <c r="M39">
        <f t="shared" si="10"/>
        <v>174246.575342466</v>
      </c>
      <c r="N39">
        <f t="shared" si="10"/>
        <v>174246.575342466</v>
      </c>
    </row>
    <row r="42" spans="1:14">
      <c r="A42" s="12" t="s">
        <v>214</v>
      </c>
      <c r="B42" t="s">
        <v>4250</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4250</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4250</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4250</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4250</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4250</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D2" sqref="D2:O952"/>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25" t="s">
        <v>3250</v>
      </c>
      <c r="B1" s="26"/>
      <c r="C1" s="26" t="s">
        <v>3251</v>
      </c>
      <c r="D1" s="27" t="s">
        <v>3214</v>
      </c>
      <c r="E1" s="27" t="s">
        <v>3215</v>
      </c>
      <c r="F1" s="27" t="s">
        <v>3216</v>
      </c>
      <c r="G1" s="27" t="s">
        <v>3217</v>
      </c>
      <c r="H1" s="27" t="s">
        <v>3218</v>
      </c>
      <c r="I1" s="27" t="s">
        <v>3219</v>
      </c>
      <c r="J1" s="27" t="s">
        <v>3220</v>
      </c>
      <c r="K1" s="27" t="s">
        <v>3221</v>
      </c>
      <c r="L1" s="27" t="s">
        <v>3222</v>
      </c>
      <c r="M1" s="27" t="s">
        <v>3223</v>
      </c>
      <c r="N1" s="27" t="s">
        <v>3224</v>
      </c>
      <c r="O1" s="27" t="s">
        <v>3225</v>
      </c>
    </row>
    <row r="2" ht="14.5" spans="1:15">
      <c r="A2" s="17" t="s">
        <v>3252</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4.5" spans="1:15">
      <c r="A3" s="17" t="s">
        <v>3253</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4.5" spans="1:15">
      <c r="A4" s="17" t="s">
        <v>3254</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4.5" spans="1:15">
      <c r="A5" s="17" t="s">
        <v>3255</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4.5" spans="1:15">
      <c r="A6" s="17" t="s">
        <v>3256</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4.5" spans="1:15">
      <c r="A7" s="17" t="s">
        <v>3257</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4.5" spans="1:15">
      <c r="A8" s="17" t="s">
        <v>3258</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4.5" spans="1:15">
      <c r="A9" s="17" t="s">
        <v>3259</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4.5" spans="1:15">
      <c r="A10" s="17" t="s">
        <v>3260</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4.5" spans="1:15">
      <c r="A11" s="17" t="s">
        <v>3261</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4.5" spans="1:15">
      <c r="A12" s="17" t="s">
        <v>3262</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4.5" spans="1:15">
      <c r="A13" s="17" t="s">
        <v>3263</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4.5" spans="1:15">
      <c r="A14" s="17" t="s">
        <v>3264</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4.5" spans="1:15">
      <c r="A15" s="17" t="s">
        <v>3265</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29" spans="1:15">
      <c r="A16" s="17" t="s">
        <v>3266</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29" spans="1:15">
      <c r="A17" s="17" t="s">
        <v>3267</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29" spans="1:15">
      <c r="A18" s="17" t="s">
        <v>3268</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29" spans="1:15">
      <c r="A19" s="17" t="s">
        <v>3269</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29" spans="1:15">
      <c r="A20" s="17" t="s">
        <v>3270</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29" spans="1:15">
      <c r="A21" s="17" t="s">
        <v>3271</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29" spans="1:15">
      <c r="A22" s="17" t="s">
        <v>3272</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29" spans="1:15">
      <c r="A23" s="17" t="s">
        <v>3273</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29" spans="1:15">
      <c r="A24" s="17" t="s">
        <v>3274</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29" spans="1:15">
      <c r="A25" s="17" t="s">
        <v>3275</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29" spans="1:15">
      <c r="A26" s="17" t="s">
        <v>3276</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29" spans="1:15">
      <c r="A27" s="17" t="s">
        <v>3277</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29" spans="1:15">
      <c r="A28" s="17" t="s">
        <v>3278</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3279</v>
      </c>
      <c r="B29" s="31"/>
      <c r="C29" s="31" t="s">
        <v>3280</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3281</v>
      </c>
      <c r="B30" s="31"/>
      <c r="C30" s="31" t="s">
        <v>3280</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3282</v>
      </c>
      <c r="B31" s="31"/>
      <c r="C31" s="31" t="s">
        <v>3280</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3283</v>
      </c>
      <c r="B32" s="31"/>
      <c r="C32" s="31" t="s">
        <v>3280</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3284</v>
      </c>
      <c r="B33" s="31"/>
      <c r="C33" s="31" t="s">
        <v>3280</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3285</v>
      </c>
      <c r="B34" s="31"/>
      <c r="C34" s="31" t="s">
        <v>3280</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5" spans="1:15">
      <c r="A35" s="32" t="s">
        <v>3286</v>
      </c>
      <c r="B35" s="31"/>
      <c r="C35" s="31" t="s">
        <v>3280</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5" spans="1:15">
      <c r="A36" s="32" t="s">
        <v>3287</v>
      </c>
      <c r="B36" s="31"/>
      <c r="C36" s="31" t="s">
        <v>3280</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3288</v>
      </c>
      <c r="B37" s="31"/>
      <c r="C37" s="31" t="s">
        <v>3280</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3289</v>
      </c>
      <c r="B38" s="31"/>
      <c r="C38" s="31" t="s">
        <v>3280</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3290</v>
      </c>
      <c r="B39" s="31"/>
      <c r="C39" s="31" t="s">
        <v>3280</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3291</v>
      </c>
      <c r="B40" s="31"/>
      <c r="C40" s="31" t="s">
        <v>3280</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3292</v>
      </c>
      <c r="B41" s="31"/>
      <c r="C41" s="31" t="s">
        <v>3280</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3293</v>
      </c>
      <c r="B42" s="31"/>
      <c r="C42" s="31" t="s">
        <v>3280</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3294</v>
      </c>
      <c r="B43" s="31"/>
      <c r="C43" s="31" t="s">
        <v>3280</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3295</v>
      </c>
      <c r="B44" s="31"/>
      <c r="C44" s="31" t="s">
        <v>3280</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3296</v>
      </c>
      <c r="B45" s="31"/>
      <c r="C45" s="31" t="s">
        <v>3280</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3297</v>
      </c>
      <c r="B46" s="31"/>
      <c r="C46" s="31" t="s">
        <v>3280</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3298</v>
      </c>
      <c r="B47" s="31"/>
      <c r="C47" s="31" t="s">
        <v>3280</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3299</v>
      </c>
      <c r="B48" s="31"/>
      <c r="C48" s="31" t="s">
        <v>3280</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3300</v>
      </c>
      <c r="B49" s="31"/>
      <c r="C49" s="31" t="s">
        <v>3280</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3301</v>
      </c>
      <c r="B50" s="31"/>
      <c r="C50" s="31" t="s">
        <v>3280</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3302</v>
      </c>
      <c r="B51" s="31"/>
      <c r="C51" s="31" t="s">
        <v>3280</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3303</v>
      </c>
      <c r="B52" s="31"/>
      <c r="C52" s="31" t="s">
        <v>3280</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3304</v>
      </c>
      <c r="B53" s="31"/>
      <c r="C53" s="31" t="s">
        <v>3280</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3305</v>
      </c>
      <c r="B54" s="31"/>
      <c r="C54" s="31" t="s">
        <v>3280</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3306</v>
      </c>
      <c r="B55" s="31"/>
      <c r="C55" s="31" t="s">
        <v>3280</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3307</v>
      </c>
      <c r="B56" s="31"/>
      <c r="C56" s="31" t="s">
        <v>3280</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3308</v>
      </c>
      <c r="B57" s="31"/>
      <c r="C57" s="31" t="s">
        <v>3280</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3309</v>
      </c>
      <c r="B58" s="31"/>
      <c r="C58" s="31" t="s">
        <v>3280</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3310</v>
      </c>
      <c r="B59" s="31"/>
      <c r="C59" s="31" t="s">
        <v>3280</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3311</v>
      </c>
      <c r="B60" s="31"/>
      <c r="C60" s="31" t="s">
        <v>3280</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3312</v>
      </c>
      <c r="B61" s="31"/>
      <c r="C61" s="31" t="s">
        <v>3280</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3313</v>
      </c>
      <c r="B62" s="31"/>
      <c r="C62" s="31" t="s">
        <v>3280</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3314</v>
      </c>
      <c r="B63" s="31"/>
      <c r="C63" s="31" t="s">
        <v>3280</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3315</v>
      </c>
      <c r="B64" s="31"/>
      <c r="C64" s="31" t="s">
        <v>3280</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3316</v>
      </c>
      <c r="B65" s="31"/>
      <c r="C65" s="31" t="s">
        <v>3280</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3317</v>
      </c>
      <c r="B66" s="31"/>
      <c r="C66" s="31" t="s">
        <v>3280</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3318</v>
      </c>
      <c r="B67" s="31"/>
      <c r="C67" s="31" t="s">
        <v>3280</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3319</v>
      </c>
      <c r="B68" s="31"/>
      <c r="C68" s="31" t="s">
        <v>3280</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3320</v>
      </c>
      <c r="B69" s="31"/>
      <c r="C69" s="31" t="s">
        <v>3280</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3321</v>
      </c>
      <c r="B70" s="31"/>
      <c r="C70" s="31" t="s">
        <v>3280</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3322</v>
      </c>
      <c r="B71" s="31"/>
      <c r="C71" s="31" t="s">
        <v>3280</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3323</v>
      </c>
      <c r="B72" s="31"/>
      <c r="C72" s="31" t="s">
        <v>3280</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3324</v>
      </c>
      <c r="B73" s="31"/>
      <c r="C73" s="31" t="s">
        <v>3280</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3325</v>
      </c>
      <c r="B74" s="31"/>
      <c r="C74" s="31" t="s">
        <v>3280</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3326</v>
      </c>
      <c r="B75" s="31"/>
      <c r="C75" s="31" t="s">
        <v>3280</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3327</v>
      </c>
      <c r="B76" s="31"/>
      <c r="C76" s="31" t="s">
        <v>3280</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3328</v>
      </c>
      <c r="B77" s="31"/>
      <c r="C77" s="31" t="s">
        <v>3280</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3329</v>
      </c>
      <c r="B78" s="31"/>
      <c r="C78" s="31" t="s">
        <v>3280</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3330</v>
      </c>
      <c r="B79" s="31"/>
      <c r="C79" s="31" t="s">
        <v>3280</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3331</v>
      </c>
      <c r="B80" s="31"/>
      <c r="C80" s="31" t="s">
        <v>3280</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3332</v>
      </c>
      <c r="B81" s="31"/>
      <c r="C81" s="31" t="s">
        <v>3280</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3333</v>
      </c>
      <c r="B82" s="31"/>
      <c r="C82" s="31" t="s">
        <v>3280</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3334</v>
      </c>
      <c r="B83" s="31"/>
      <c r="C83" s="31" t="s">
        <v>3280</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3335</v>
      </c>
      <c r="B84" s="31"/>
      <c r="C84" s="31" t="s">
        <v>3280</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3336</v>
      </c>
      <c r="B85" s="31"/>
      <c r="C85" s="31" t="s">
        <v>3280</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3337</v>
      </c>
      <c r="B86" s="31"/>
      <c r="C86" s="31" t="s">
        <v>3280</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3338</v>
      </c>
      <c r="B87" s="31"/>
      <c r="C87" s="31" t="s">
        <v>3280</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3339</v>
      </c>
      <c r="B88" s="31"/>
      <c r="C88" s="31" t="s">
        <v>3280</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3340</v>
      </c>
      <c r="B89" s="31"/>
      <c r="C89" s="31" t="s">
        <v>3280</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3341</v>
      </c>
      <c r="B90" s="31"/>
      <c r="C90" s="31" t="s">
        <v>3280</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29" spans="1:15">
      <c r="A91" s="17" t="s">
        <v>3342</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29" spans="1:15">
      <c r="A92" s="17" t="s">
        <v>3343</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29" spans="1:15">
      <c r="A93" s="17" t="s">
        <v>3344</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29" spans="1:15">
      <c r="A94" s="17" t="s">
        <v>3345</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29" spans="1:15">
      <c r="A95" s="17" t="s">
        <v>3346</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29" spans="1:15">
      <c r="A96" s="17" t="s">
        <v>3347</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29" spans="1:15">
      <c r="A97" s="17" t="s">
        <v>3348</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29" spans="1:15">
      <c r="A98" s="17" t="s">
        <v>3349</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29" spans="1:15">
      <c r="A99" s="17" t="s">
        <v>3350</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29" spans="1:15">
      <c r="A100" s="17" t="s">
        <v>3351</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29" spans="1:15">
      <c r="A101" s="17" t="s">
        <v>3352</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29" spans="1:15">
      <c r="A102" s="17" t="s">
        <v>3353</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29" spans="1:15">
      <c r="A103" s="17" t="s">
        <v>3354</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29" spans="1:15">
      <c r="A104" s="17" t="s">
        <v>3355</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29" spans="1:15">
      <c r="A105" s="35" t="s">
        <v>3356</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29" spans="1:15">
      <c r="A106" s="17" t="s">
        <v>3357</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29" spans="1:15">
      <c r="A107" s="17" t="s">
        <v>3358</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29" spans="1:15">
      <c r="A108" s="35" t="s">
        <v>3359</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29" spans="1:15">
      <c r="A109" s="17" t="s">
        <v>3360</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29" spans="1:15">
      <c r="A110" s="17" t="s">
        <v>3361</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29" spans="1:15">
      <c r="A111" s="17" t="s">
        <v>3362</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29" spans="1:15">
      <c r="A112" s="17" t="s">
        <v>3363</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29" spans="1:15">
      <c r="A113" s="17" t="s">
        <v>3364</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29" spans="1:15">
      <c r="A114" s="17" t="s">
        <v>3365</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29" spans="1:15">
      <c r="A115" s="17" t="s">
        <v>3366</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29" spans="1:15">
      <c r="A116" s="17" t="s">
        <v>3367</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29" spans="1:15">
      <c r="A117" s="17" t="s">
        <v>3368</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29" spans="1:15">
      <c r="A118" s="17" t="s">
        <v>3369</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29" spans="1:15">
      <c r="A119" s="17" t="s">
        <v>3370</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29" spans="1:15">
      <c r="A120" s="17" t="s">
        <v>3371</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29" spans="1:15">
      <c r="A121" s="17" t="s">
        <v>3372</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29" spans="1:15">
      <c r="A122" s="17" t="s">
        <v>3373</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29" spans="1:15">
      <c r="A123" s="17" t="s">
        <v>3374</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29" spans="1:15">
      <c r="A124" s="17" t="s">
        <v>3375</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29" spans="1:15">
      <c r="A125" s="17" t="s">
        <v>3376</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29" spans="1:15">
      <c r="A126" s="17" t="s">
        <v>3377</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29" spans="1:15">
      <c r="A127" s="17" t="s">
        <v>3378</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29" spans="1:15">
      <c r="A128" s="17" t="s">
        <v>3379</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29" spans="1:15">
      <c r="A129" s="17" t="s">
        <v>3380</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29" spans="1:15">
      <c r="A130" s="17" t="s">
        <v>3381</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29" spans="1:15">
      <c r="A131" s="17" t="s">
        <v>3382</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29" spans="1:15">
      <c r="A132" s="17" t="s">
        <v>3383</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29" spans="1:15">
      <c r="A133" s="17" t="s">
        <v>3384</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29" spans="1:15">
      <c r="A134" s="17" t="s">
        <v>3385</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29" spans="1:15">
      <c r="A135" s="17" t="s">
        <v>3386</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29" spans="1:15">
      <c r="A136" s="17" t="s">
        <v>3387</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29" spans="1:15">
      <c r="A137" s="17" t="s">
        <v>3388</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29" spans="1:15">
      <c r="A138" s="17" t="s">
        <v>3389</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29" spans="1:15">
      <c r="A139" s="17" t="s">
        <v>3390</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29" spans="1:15">
      <c r="A140" s="17" t="s">
        <v>3391</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29" spans="1:15">
      <c r="A141" s="17" t="s">
        <v>3392</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29" spans="1:15">
      <c r="A142" s="17" t="s">
        <v>3393</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29" spans="1:15">
      <c r="A143" s="17" t="s">
        <v>3394</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29" spans="1:15">
      <c r="A144" s="17" t="s">
        <v>3395</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29" spans="1:15">
      <c r="A145" s="17" t="s">
        <v>3396</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29" spans="1:15">
      <c r="A146" s="17" t="s">
        <v>3397</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29" spans="1:15">
      <c r="A147" s="17" t="s">
        <v>3398</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29" spans="1:15">
      <c r="A148" s="17" t="s">
        <v>3399</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29" spans="1:15">
      <c r="A149" s="17" t="s">
        <v>3400</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29" spans="1:15">
      <c r="A150" s="17" t="s">
        <v>3401</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29" spans="1:15">
      <c r="A151" s="17" t="s">
        <v>3402</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29" spans="1:15">
      <c r="A152" s="17" t="s">
        <v>3403</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29" spans="1:15">
      <c r="A153" s="17" t="s">
        <v>3404</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29" spans="1:15">
      <c r="A154" s="17" t="s">
        <v>3405</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29" spans="1:15">
      <c r="A155" s="17" t="s">
        <v>3406</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29" spans="1:15">
      <c r="A156" s="17" t="s">
        <v>3407</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29" spans="1:15">
      <c r="A157" s="17" t="s">
        <v>3408</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29" spans="1:15">
      <c r="A158" s="17" t="s">
        <v>3409</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29" spans="1:15">
      <c r="A159" s="17" t="s">
        <v>3410</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29" spans="1:15">
      <c r="A160" s="17" t="s">
        <v>3411</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29" spans="1:15">
      <c r="A161" s="17" t="s">
        <v>3412</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29" spans="1:15">
      <c r="A162" s="17" t="s">
        <v>3413</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29" spans="1:15">
      <c r="A163" s="17" t="s">
        <v>3414</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29" spans="1:15">
      <c r="A164" s="17" t="s">
        <v>3415</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29" spans="1:15">
      <c r="A165" s="17" t="s">
        <v>3416</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29" spans="1:15">
      <c r="A166" s="17" t="s">
        <v>3417</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29" spans="1:15">
      <c r="A167" s="17" t="s">
        <v>3418</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29" spans="1:15">
      <c r="A168" s="17" t="s">
        <v>3419</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29" spans="1:15">
      <c r="A169" s="17" t="s">
        <v>3420</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29" spans="1:15">
      <c r="A170" s="17" t="s">
        <v>3421</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29" spans="1:15">
      <c r="A171" s="17" t="s">
        <v>3422</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29" spans="1:15">
      <c r="A172" s="17" t="s">
        <v>3423</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29" spans="1:15">
      <c r="A173" s="17" t="s">
        <v>3424</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29" spans="1:15">
      <c r="A174" s="17" t="s">
        <v>3425</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29" spans="1:15">
      <c r="A175" s="17" t="s">
        <v>3426</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29" spans="1:15">
      <c r="A176" s="17" t="s">
        <v>3427</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29" spans="1:15">
      <c r="A177" s="17" t="s">
        <v>3428</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29" spans="1:15">
      <c r="A178" s="17" t="s">
        <v>3429</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29" spans="1:15">
      <c r="A179" s="17" t="s">
        <v>3430</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29" spans="1:15">
      <c r="A180" s="17" t="s">
        <v>3431</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29" spans="1:15">
      <c r="A181" s="17" t="s">
        <v>3432</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29" spans="1:15">
      <c r="A182" s="17" t="s">
        <v>3433</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29" spans="1:15">
      <c r="A183" s="17" t="s">
        <v>3434</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29" spans="1:15">
      <c r="A184" s="17" t="s">
        <v>3435</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29" spans="1:15">
      <c r="A185" s="17" t="s">
        <v>3436</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29" spans="1:15">
      <c r="A186" s="17" t="s">
        <v>3437</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29" spans="1:15">
      <c r="A187" s="17" t="s">
        <v>3438</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29" spans="1:15">
      <c r="A188" s="17" t="s">
        <v>3439</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29" spans="1:15">
      <c r="A189" s="17" t="s">
        <v>3440</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29" spans="1:15">
      <c r="A190" s="17" t="s">
        <v>3441</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29" spans="1:15">
      <c r="A191" s="17" t="s">
        <v>3442</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29" spans="1:15">
      <c r="A192" s="17" t="s">
        <v>3443</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29" spans="1:15">
      <c r="A193" s="17" t="s">
        <v>3444</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29" spans="1:15">
      <c r="A194" s="17" t="s">
        <v>3445</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29" spans="1:15">
      <c r="A195" s="17" t="s">
        <v>3446</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29" spans="1:15">
      <c r="A196" s="17" t="s">
        <v>3447</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29" spans="1:15">
      <c r="A197" s="17" t="s">
        <v>3448</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29" spans="1:15">
      <c r="A198" s="17" t="s">
        <v>3449</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29" spans="1:15">
      <c r="A199" s="17" t="s">
        <v>3450</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29" spans="1:15">
      <c r="A200" s="17" t="s">
        <v>3451</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29" spans="1:15">
      <c r="A201" s="17" t="s">
        <v>3452</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29" spans="1:15">
      <c r="A202" s="17" t="s">
        <v>3453</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29" spans="1:15">
      <c r="A203" s="17" t="s">
        <v>3454</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29" spans="1:15">
      <c r="A204" s="35" t="s">
        <v>3455</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29" spans="1:15">
      <c r="A205" s="17" t="s">
        <v>3456</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29" spans="1:15">
      <c r="A206" s="17" t="s">
        <v>3457</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29" spans="1:15">
      <c r="A207" s="17" t="s">
        <v>3458</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29" spans="1:15">
      <c r="A208" s="17" t="s">
        <v>3459</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29" spans="1:15">
      <c r="A209" s="17" t="s">
        <v>3460</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29" spans="1:15">
      <c r="A210" s="17" t="s">
        <v>3461</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29" spans="1:15">
      <c r="A211" s="17" t="s">
        <v>3462</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29" spans="1:15">
      <c r="A212" s="17" t="s">
        <v>3463</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29" spans="1:15">
      <c r="A213" s="17" t="s">
        <v>3464</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29" spans="1:15">
      <c r="A214" s="17" t="s">
        <v>3465</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29" spans="1:15">
      <c r="A215" s="17" t="s">
        <v>3466</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29" spans="1:15">
      <c r="A216" s="17" t="s">
        <v>3467</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29" spans="1:15">
      <c r="A217" s="17" t="s">
        <v>3468</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29" spans="1:15">
      <c r="A218" s="17" t="s">
        <v>3469</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29" spans="1:15">
      <c r="A219" s="17" t="s">
        <v>3470</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29" spans="1:15">
      <c r="A220" s="17" t="s">
        <v>3471</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29" spans="1:15">
      <c r="A221" s="17" t="s">
        <v>3472</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29" spans="1:15">
      <c r="A222" s="17" t="s">
        <v>3473</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29" spans="1:15">
      <c r="A223" s="17" t="s">
        <v>3474</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29" spans="1:15">
      <c r="A224" s="17" t="s">
        <v>3475</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29" spans="1:15">
      <c r="A225" s="17" t="s">
        <v>3476</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29" spans="1:15">
      <c r="A226" s="17" t="s">
        <v>3477</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29" spans="1:15">
      <c r="A227" s="17" t="s">
        <v>3478</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29" spans="1:15">
      <c r="A228" s="17" t="s">
        <v>3479</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29" spans="1:15">
      <c r="A229" s="17" t="s">
        <v>3480</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29" spans="1:15">
      <c r="A230" s="17" t="s">
        <v>3481</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29" spans="1:15">
      <c r="A231" s="17" t="s">
        <v>3482</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29" spans="1:15">
      <c r="A232" s="17" t="s">
        <v>3483</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29" spans="1:15">
      <c r="A233" s="17" t="s">
        <v>3484</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29" spans="1:15">
      <c r="A234" s="35" t="s">
        <v>3485</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29" spans="1:15">
      <c r="A235" s="35" t="s">
        <v>3486</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29" spans="1:15">
      <c r="A236" s="35" t="s">
        <v>3487</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29" spans="1:15">
      <c r="A237" s="35" t="s">
        <v>3488</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29" spans="1:15">
      <c r="A238" s="35" t="s">
        <v>3489</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29" spans="1:15">
      <c r="A239" s="35" t="s">
        <v>3490</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29" spans="1:15">
      <c r="A240" s="35" t="s">
        <v>3491</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29" spans="1:15">
      <c r="A241" s="17" t="s">
        <v>3492</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29" spans="1:15">
      <c r="A242" s="17" t="s">
        <v>3493</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29" spans="1:15">
      <c r="A243" s="35" t="s">
        <v>3494</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30" spans="1:15">
      <c r="A244" s="35" t="s">
        <v>3495</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29" spans="1:15">
      <c r="A245" s="35" t="s">
        <v>3496</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29" spans="1:15">
      <c r="A246" s="17" t="s">
        <v>3497</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29" spans="1:15">
      <c r="A247" s="35" t="s">
        <v>3498</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29" spans="1:15">
      <c r="A248" s="35" t="s">
        <v>3499</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29" spans="1:15">
      <c r="A249" s="35" t="s">
        <v>3500</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29" spans="1:15">
      <c r="A250" s="35" t="s">
        <v>3501</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29" spans="1:15">
      <c r="A251" s="35" t="s">
        <v>3502</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29" spans="1:15">
      <c r="A252" s="17" t="s">
        <v>3503</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29" spans="1:15">
      <c r="A253" s="17" t="s">
        <v>3504</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29" spans="1:15">
      <c r="A254" s="17" t="s">
        <v>3505</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29" spans="1:15">
      <c r="A255" s="17" t="s">
        <v>3506</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29" spans="1:15">
      <c r="A256" s="17" t="s">
        <v>3507</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29" spans="1:15">
      <c r="A257" s="17" t="s">
        <v>3508</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29" spans="1:15">
      <c r="A258" s="17" t="s">
        <v>3509</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29" spans="1:15">
      <c r="A259" s="17" t="s">
        <v>3510</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29" spans="1:15">
      <c r="A260" s="17" t="s">
        <v>3511</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29" spans="1:15">
      <c r="A261" s="17" t="s">
        <v>3512</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29" spans="1:15">
      <c r="A262" s="17" t="s">
        <v>3513</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29" spans="1:15">
      <c r="A263" s="17" t="s">
        <v>3514</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29" spans="1:15">
      <c r="A264" s="17" t="s">
        <v>3515</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29" spans="1:15">
      <c r="A265" s="17" t="s">
        <v>3516</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29" spans="1:15">
      <c r="A266" s="17" t="s">
        <v>3517</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29" spans="1:15">
      <c r="A267" s="17" t="s">
        <v>3518</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29" spans="1:15">
      <c r="A268" s="17" t="s">
        <v>3519</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29" spans="1:15">
      <c r="A269" s="17" t="s">
        <v>3520</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29" spans="1:15">
      <c r="A270" s="17" t="s">
        <v>3521</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29" spans="1:15">
      <c r="A271" s="17" t="s">
        <v>3522</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29" spans="1:15">
      <c r="A272" s="17" t="s">
        <v>3523</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29" spans="1:15">
      <c r="A273" s="17" t="s">
        <v>3524</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29" spans="1:15">
      <c r="A274" s="17" t="s">
        <v>3525</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29" spans="1:15">
      <c r="A275" s="17" t="s">
        <v>3526</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29" spans="1:15">
      <c r="A276" s="17" t="s">
        <v>3527</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29" spans="1:15">
      <c r="A277" s="17" t="s">
        <v>3528</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29" spans="1:15">
      <c r="A278" s="17" t="s">
        <v>3529</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29" spans="1:15">
      <c r="A279" s="17" t="s">
        <v>3530</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29" spans="1:15">
      <c r="A280" s="17" t="s">
        <v>3531</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29" spans="1:15">
      <c r="A281" s="17" t="s">
        <v>3532</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29" spans="1:15">
      <c r="A282" s="17" t="s">
        <v>3533</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29" spans="1:15">
      <c r="A283" s="17" t="s">
        <v>3534</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29" spans="1:15">
      <c r="A284" s="17" t="s">
        <v>3535</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29" spans="1:15">
      <c r="A285" s="17" t="s">
        <v>3536</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29" spans="1:15">
      <c r="A286" s="17" t="s">
        <v>3537</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29" spans="1:15">
      <c r="A287" s="17" t="s">
        <v>3538</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29" spans="1:15">
      <c r="A288" s="17" t="s">
        <v>3539</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29" spans="1:15">
      <c r="A289" s="17" t="s">
        <v>3540</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29" spans="1:15">
      <c r="A290" s="35" t="s">
        <v>3541</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29" spans="1:15">
      <c r="A291" s="17" t="s">
        <v>3542</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29" spans="1:15">
      <c r="A292" s="17" t="s">
        <v>3543</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29" spans="1:15">
      <c r="A293" s="17" t="s">
        <v>3544</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29" spans="1:15">
      <c r="A294" s="17" t="s">
        <v>3545</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29" spans="1:15">
      <c r="A295" s="17" t="s">
        <v>3546</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29" spans="1:15">
      <c r="A296" s="17" t="s">
        <v>3547</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29" spans="1:15">
      <c r="A297" s="17" t="s">
        <v>3548</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29" spans="1:15">
      <c r="A298" s="17" t="s">
        <v>3549</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29" spans="1:15">
      <c r="A299" s="17" t="s">
        <v>3550</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29" spans="1:15">
      <c r="A300" s="17" t="s">
        <v>3551</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29" spans="1:15">
      <c r="A301" s="17" t="s">
        <v>3552</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29" spans="1:15">
      <c r="A302" s="17" t="s">
        <v>3553</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29" spans="1:15">
      <c r="A303" s="17" t="s">
        <v>3554</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29" spans="1:15">
      <c r="A304" s="17" t="s">
        <v>3555</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29" spans="1:15">
      <c r="A305" s="17" t="s">
        <v>3556</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29" spans="1:15">
      <c r="A306" s="17" t="s">
        <v>3557</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29" spans="1:15">
      <c r="A307" s="17" t="s">
        <v>3558</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29" spans="1:15">
      <c r="A308" s="17" t="s">
        <v>3559</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29" spans="1:15">
      <c r="A309" s="17" t="s">
        <v>3560</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29" spans="1:15">
      <c r="A310" s="17" t="s">
        <v>3561</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29" spans="1:15">
      <c r="A311" s="17" t="s">
        <v>3562</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29" spans="1:15">
      <c r="A312" s="17" t="s">
        <v>3563</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29" spans="1:15">
      <c r="A313" s="17" t="s">
        <v>3564</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29" spans="1:15">
      <c r="A314" s="17" t="s">
        <v>3565</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29" spans="1:15">
      <c r="A315" s="17" t="s">
        <v>3566</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29" spans="1:15">
      <c r="A316" s="17" t="s">
        <v>3567</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29" spans="1:15">
      <c r="A317" s="17" t="s">
        <v>3568</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29" spans="1:15">
      <c r="A318" s="17" t="s">
        <v>3569</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29" spans="1:15">
      <c r="A319" s="17" t="s">
        <v>3570</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29" spans="1:15">
      <c r="A320" s="17" t="s">
        <v>3571</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29" spans="1:15">
      <c r="A321" s="17" t="s">
        <v>3572</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29" spans="1:15">
      <c r="A322" s="17" t="s">
        <v>3573</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29" spans="1:15">
      <c r="A323" s="17" t="s">
        <v>3574</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29" spans="1:15">
      <c r="A324" s="17" t="s">
        <v>3575</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29" spans="1:15">
      <c r="A325" s="17" t="s">
        <v>3576</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29" spans="1:15">
      <c r="A326" s="17" t="s">
        <v>3577</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29" spans="1:15">
      <c r="A327" s="17" t="s">
        <v>3578</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29" spans="1:15">
      <c r="A328" s="17" t="s">
        <v>3579</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29" spans="1:15">
      <c r="A329" s="17" t="s">
        <v>3580</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29" spans="1:15">
      <c r="A330" s="17" t="s">
        <v>3581</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29" spans="1:15">
      <c r="A331" s="17" t="s">
        <v>3582</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29" spans="1:15">
      <c r="A332" s="17" t="s">
        <v>3583</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29" spans="1:15">
      <c r="A333" s="17" t="s">
        <v>3584</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29" spans="1:15">
      <c r="A334" s="17" t="s">
        <v>3585</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29" spans="1:15">
      <c r="A335" s="17" t="s">
        <v>3586</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29" spans="1:15">
      <c r="A336" s="17" t="s">
        <v>3587</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29" spans="1:15">
      <c r="A337" s="17" t="s">
        <v>3588</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29" spans="1:15">
      <c r="A338" s="17" t="s">
        <v>3589</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29" spans="1:15">
      <c r="A339" s="17" t="s">
        <v>3590</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29" spans="1:15">
      <c r="A340" s="17" t="s">
        <v>3591</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29" spans="1:15">
      <c r="A341" s="17" t="s">
        <v>3592</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29" spans="1:15">
      <c r="A342" s="17" t="s">
        <v>3593</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29" spans="1:15">
      <c r="A343" s="17" t="s">
        <v>3594</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29" spans="1:15">
      <c r="A344" s="17" t="s">
        <v>3595</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29" spans="1:15">
      <c r="A345" s="17" t="s">
        <v>3596</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29" spans="1:15">
      <c r="A346" s="17" t="s">
        <v>3597</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29" spans="1:15">
      <c r="A347" s="17" t="s">
        <v>3598</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29" spans="1:15">
      <c r="A348" s="17" t="s">
        <v>3599</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29" spans="1:15">
      <c r="A349" s="17" t="s">
        <v>3600</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29" spans="1:15">
      <c r="A350" s="17" t="s">
        <v>3601</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29" spans="1:15">
      <c r="A351" s="17" t="s">
        <v>3602</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29" spans="1:15">
      <c r="A352" s="17" t="s">
        <v>3603</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29" spans="1:15">
      <c r="A353" s="17" t="s">
        <v>3604</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29" spans="1:15">
      <c r="A354" s="17" t="s">
        <v>3605</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29" spans="1:15">
      <c r="A355" s="17" t="s">
        <v>3606</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29" spans="1:15">
      <c r="A356" s="17" t="s">
        <v>3607</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29" spans="1:15">
      <c r="A357" s="17" t="s">
        <v>3608</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29" spans="1:15">
      <c r="A358" s="17" t="s">
        <v>3609</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29" spans="1:15">
      <c r="A359" s="17" t="s">
        <v>3610</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29" spans="1:15">
      <c r="A360" s="17" t="s">
        <v>3611</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29" spans="1:15">
      <c r="A361" s="17" t="s">
        <v>3612</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29" spans="1:15">
      <c r="A362" s="17" t="s">
        <v>3613</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29" spans="1:15">
      <c r="A363" s="17" t="s">
        <v>3614</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29" spans="1:15">
      <c r="A364" s="17" t="s">
        <v>3615</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29" spans="1:15">
      <c r="A365" s="17" t="s">
        <v>3616</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29" spans="1:15">
      <c r="A366" s="35" t="s">
        <v>3617</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29" spans="1:15">
      <c r="A367" s="17" t="s">
        <v>3618</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29" spans="1:15">
      <c r="A368" s="17" t="s">
        <v>3619</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29" spans="1:15">
      <c r="A369" s="35" t="s">
        <v>3620</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29" spans="1:15">
      <c r="A370" s="17" t="s">
        <v>3621</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29" spans="1:15">
      <c r="A371" s="17" t="s">
        <v>3622</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29" spans="1:15">
      <c r="A372" s="17" t="s">
        <v>3623</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29" spans="1:15">
      <c r="A373" s="17" t="s">
        <v>3624</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29" spans="1:15">
      <c r="A374" s="17" t="s">
        <v>3625</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29" spans="1:15">
      <c r="A375" s="17" t="s">
        <v>3626</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29" spans="1:15">
      <c r="A376" s="35" t="s">
        <v>3627</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29" spans="1:15">
      <c r="A377" s="17" t="s">
        <v>3628</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29" spans="1:15">
      <c r="A378" s="17" t="s">
        <v>3629</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29" spans="1:15">
      <c r="A379" s="17" t="s">
        <v>3630</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29" spans="1:15">
      <c r="A380" s="17" t="s">
        <v>3631</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29" spans="1:15">
      <c r="A381" s="17" t="s">
        <v>3632</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29" spans="1:15">
      <c r="A382" s="17" t="s">
        <v>3633</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29" spans="1:15">
      <c r="A383" s="17" t="s">
        <v>3634</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29" spans="1:15">
      <c r="A384" s="35" t="s">
        <v>3635</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29" spans="1:15">
      <c r="A385" s="35" t="s">
        <v>3636</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29" spans="1:15">
      <c r="A386" s="17" t="s">
        <v>3637</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29" spans="1:15">
      <c r="A387" s="17" t="s">
        <v>3638</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29" spans="1:15">
      <c r="A388" s="17" t="s">
        <v>3639</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29" spans="1:15">
      <c r="A389" s="17" t="s">
        <v>3640</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29" spans="1:15">
      <c r="A390" s="17" t="s">
        <v>3641</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29" spans="1:15">
      <c r="A391" s="35" t="s">
        <v>3642</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29" spans="1:15">
      <c r="A392" s="35" t="s">
        <v>3643</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29" spans="1:15">
      <c r="A393" s="35" t="s">
        <v>3644</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29" spans="1:15">
      <c r="A394" s="35" t="s">
        <v>3645</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29" spans="1:15">
      <c r="A395" s="17" t="s">
        <v>3646</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29" spans="1:15">
      <c r="A396" s="17" t="s">
        <v>3647</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29" spans="1:15">
      <c r="A397" s="17" t="s">
        <v>3648</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29" spans="1:15">
      <c r="A398" s="17" t="s">
        <v>3649</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29" spans="1:15">
      <c r="A399" s="17" t="s">
        <v>3650</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29" spans="1:15">
      <c r="A400" s="17" t="s">
        <v>3651</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29" spans="1:15">
      <c r="A401" s="35" t="s">
        <v>3652</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29" spans="1:15">
      <c r="A402" s="17" t="s">
        <v>3653</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29" spans="1:15">
      <c r="A403" s="17" t="s">
        <v>3654</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29" spans="1:15">
      <c r="A404" s="17" t="s">
        <v>3655</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29" spans="1:15">
      <c r="A405" s="17" t="s">
        <v>3656</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29" spans="1:15">
      <c r="A406" s="17" t="s">
        <v>3657</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29" spans="1:15">
      <c r="A407" s="17" t="s">
        <v>3658</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29" spans="1:15">
      <c r="A408" s="17" t="s">
        <v>3659</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29" spans="1:15">
      <c r="A409" s="17" t="s">
        <v>3660</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29" spans="1:15">
      <c r="A410" s="17" t="s">
        <v>3661</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29" spans="1:15">
      <c r="A411" s="17" t="s">
        <v>3662</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29" spans="1:15">
      <c r="A412" s="35" t="s">
        <v>3663</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29" spans="1:15">
      <c r="A413" s="35" t="s">
        <v>3664</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29" spans="1:15">
      <c r="A414" s="17" t="s">
        <v>3665</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29" spans="1:15">
      <c r="A415" s="17" t="s">
        <v>3666</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29" spans="1:15">
      <c r="A416" s="17" t="s">
        <v>3667</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29" spans="1:15">
      <c r="A417" s="17" t="s">
        <v>3668</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29" spans="1:15">
      <c r="A418" s="17" t="s">
        <v>3669</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29" spans="1:15">
      <c r="A419" s="35" t="s">
        <v>3670</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29" spans="1:15">
      <c r="A420" s="35" t="s">
        <v>3671</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29" spans="1:15">
      <c r="A421" s="17" t="s">
        <v>3672</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29" spans="1:15">
      <c r="A422" s="17" t="s">
        <v>3673</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29" spans="1:15">
      <c r="A423" s="17" t="s">
        <v>3674</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29" spans="1:15">
      <c r="A424" s="35" t="s">
        <v>3675</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29" spans="1:15">
      <c r="A425" s="17" t="s">
        <v>3676</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29" spans="1:15">
      <c r="A426" s="35" t="s">
        <v>3677</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29" spans="1:15">
      <c r="A427" s="35" t="s">
        <v>3678</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29" spans="1:15">
      <c r="A428" s="17" t="s">
        <v>3679</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29" spans="1:15">
      <c r="A429" s="17" t="s">
        <v>3680</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29" spans="1:15">
      <c r="A430" s="17" t="s">
        <v>3681</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29" spans="1:15">
      <c r="A431" s="17" t="s">
        <v>3682</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29" spans="1:15">
      <c r="A432" s="17" t="s">
        <v>3683</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29" spans="1:15">
      <c r="A433" s="17" t="s">
        <v>3684</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29" spans="1:15">
      <c r="A434" s="17" t="s">
        <v>3685</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29" spans="1:15">
      <c r="A435" s="35" t="s">
        <v>3686</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29" spans="1:15">
      <c r="A436" s="35" t="s">
        <v>3687</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29" spans="1:15">
      <c r="A437" s="17" t="s">
        <v>3688</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29" spans="1:15">
      <c r="A438" s="17" t="s">
        <v>3689</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29" spans="1:15">
      <c r="A439" s="17" t="s">
        <v>3690</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29" spans="1:15">
      <c r="A440" s="17" t="s">
        <v>3691</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29" spans="1:15">
      <c r="A441" s="17" t="s">
        <v>3692</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29" spans="1:15">
      <c r="A442" s="17" t="s">
        <v>3693</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29" spans="1:15">
      <c r="A443" s="17" t="s">
        <v>3694</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29" spans="1:15">
      <c r="A444" s="17" t="s">
        <v>3695</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29" spans="1:15">
      <c r="A445" s="35" t="s">
        <v>3696</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29" spans="1:15">
      <c r="A446" s="17" t="s">
        <v>3697</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29" spans="1:15">
      <c r="A447" s="17" t="s">
        <v>3698</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29" spans="1:15">
      <c r="A448" s="36" t="s">
        <v>3699</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29" spans="1:15">
      <c r="A449" s="17" t="s">
        <v>3700</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29" spans="1:15">
      <c r="A450" s="17" t="s">
        <v>3701</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29" spans="1:15">
      <c r="A451" s="17" t="s">
        <v>3702</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29" spans="1:15">
      <c r="A452" s="17" t="s">
        <v>3703</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29" spans="1:15">
      <c r="A453" s="17" t="s">
        <v>3704</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29" spans="1:15">
      <c r="A454" s="17" t="s">
        <v>3705</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29" spans="1:15">
      <c r="A455" s="17" t="s">
        <v>3706</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29" spans="1:15">
      <c r="A456" s="17" t="s">
        <v>3707</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29" spans="1:15">
      <c r="A457" s="17" t="s">
        <v>3708</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29" spans="1:15">
      <c r="A458" s="17" t="s">
        <v>3709</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29" spans="1:15">
      <c r="A459" s="17" t="s">
        <v>3710</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29" spans="1:15">
      <c r="A460" s="17" t="s">
        <v>3711</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29" spans="1:15">
      <c r="A461" s="17" t="s">
        <v>3712</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29" spans="1:15">
      <c r="A462" s="35" t="s">
        <v>3713</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29" spans="1:15">
      <c r="A463" s="17" t="s">
        <v>3714</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29" spans="1:15">
      <c r="A464" s="17" t="s">
        <v>3715</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29" spans="1:15">
      <c r="A465" s="17" t="s">
        <v>3716</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29" spans="1:15">
      <c r="A466" s="17" t="s">
        <v>3717</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29" spans="1:15">
      <c r="A467" s="17" t="s">
        <v>3718</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29" spans="1:15">
      <c r="A468" s="17" t="s">
        <v>3719</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29" spans="1:15">
      <c r="A469" s="17" t="s">
        <v>3720</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29" spans="1:15">
      <c r="A470" s="17" t="s">
        <v>3721</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29" spans="1:15">
      <c r="A471" s="17" t="s">
        <v>3722</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29" spans="1:15">
      <c r="A472" s="35" t="s">
        <v>3723</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29" spans="1:15">
      <c r="A473" s="17" t="s">
        <v>3724</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29" spans="1:15">
      <c r="A474" s="17" t="s">
        <v>3725</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29" spans="1:15">
      <c r="A475" s="17" t="s">
        <v>3726</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29" spans="1:15">
      <c r="A476" s="17" t="s">
        <v>3727</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29" spans="1:15">
      <c r="A477" s="35" t="s">
        <v>3728</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29" spans="1:15">
      <c r="A478" s="35" t="s">
        <v>3729</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29" spans="1:15">
      <c r="A479" s="17" t="s">
        <v>3730</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29" spans="1:15">
      <c r="A480" s="35" t="s">
        <v>3731</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29" spans="1:15">
      <c r="A481" s="17" t="s">
        <v>3732</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29" spans="1:15">
      <c r="A482" s="17" t="s">
        <v>3733</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29" spans="1:15">
      <c r="A483" s="17" t="s">
        <v>3734</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29" spans="1:15">
      <c r="A484" s="17" t="s">
        <v>3735</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29" spans="1:15">
      <c r="A485" s="17" t="s">
        <v>3736</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29" spans="1:15">
      <c r="A486" s="17" t="s">
        <v>3737</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29" spans="1:15">
      <c r="A487" s="17" t="s">
        <v>3738</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29" spans="1:15">
      <c r="A488" s="17" t="s">
        <v>3739</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29" spans="1:15">
      <c r="A489" s="17" t="s">
        <v>3740</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29" spans="1:15">
      <c r="A490" s="17" t="s">
        <v>3741</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29" spans="1:15">
      <c r="A491" s="17" t="s">
        <v>3742</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29" spans="1:15">
      <c r="A492" s="17" t="s">
        <v>3743</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29" spans="1:15">
      <c r="A493" s="17" t="s">
        <v>3744</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29" spans="1:15">
      <c r="A494" s="17" t="s">
        <v>3745</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29" spans="1:15">
      <c r="A495" s="17" t="s">
        <v>3746</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29" spans="1:15">
      <c r="A496" s="17" t="s">
        <v>3747</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29" spans="1:15">
      <c r="A497" s="17" t="s">
        <v>3748</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29" spans="1:15">
      <c r="A498" s="17" t="s">
        <v>3749</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29" spans="1:15">
      <c r="A499" s="17" t="s">
        <v>3750</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29" spans="1:15">
      <c r="A500" s="17" t="s">
        <v>3751</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29" spans="1:15">
      <c r="A501" s="17" t="s">
        <v>3752</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29" spans="1:15">
      <c r="A502" s="17" t="s">
        <v>3753</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29" spans="1:15">
      <c r="A503" s="17" t="s">
        <v>3754</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29" spans="1:15">
      <c r="A504" s="17" t="s">
        <v>3755</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29" spans="1:15">
      <c r="A505" s="17" t="s">
        <v>3756</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29" spans="1:15">
      <c r="A506" s="17" t="s">
        <v>3757</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29" spans="1:15">
      <c r="A507" s="17" t="s">
        <v>3758</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29" spans="1:15">
      <c r="A508" s="17" t="s">
        <v>3759</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29" spans="1:15">
      <c r="A509" s="17" t="s">
        <v>3760</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29" spans="1:15">
      <c r="A510" s="17" t="s">
        <v>3761</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29" spans="1:15">
      <c r="A511" s="17" t="s">
        <v>3762</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29" spans="1:15">
      <c r="A512" s="17" t="s">
        <v>3763</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29" spans="1:15">
      <c r="A513" s="17" t="s">
        <v>3764</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29" spans="1:15">
      <c r="A514" s="17" t="s">
        <v>3765</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29" spans="1:15">
      <c r="A515" s="17" t="s">
        <v>3766</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29" spans="1:15">
      <c r="A516" s="17" t="s">
        <v>3767</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29" spans="1:15">
      <c r="A517" s="35" t="s">
        <v>3768</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29" spans="1:15">
      <c r="A518" s="17" t="s">
        <v>3769</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29" spans="1:15">
      <c r="A519" s="17" t="s">
        <v>3770</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29" spans="1:15">
      <c r="A520" s="35" t="s">
        <v>3771</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29" spans="1:15">
      <c r="A521" s="17" t="s">
        <v>3772</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29" spans="1:15">
      <c r="A522" s="17" t="s">
        <v>3773</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29" spans="1:15">
      <c r="A523" s="17" t="s">
        <v>3774</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29" spans="1:15">
      <c r="A524" s="17" t="s">
        <v>3775</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29" spans="1:15">
      <c r="A525" s="17" t="s">
        <v>3776</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29" spans="1:15">
      <c r="A526" s="17" t="s">
        <v>3777</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29" spans="1:15">
      <c r="A527" s="17" t="s">
        <v>3778</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29" spans="1:15">
      <c r="A528" s="17" t="s">
        <v>3779</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29" spans="1:15">
      <c r="A529" s="17" t="s">
        <v>3780</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29" spans="1:15">
      <c r="A530" s="17" t="s">
        <v>3781</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29" spans="1:15">
      <c r="A531" s="17" t="s">
        <v>3782</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29" spans="1:15">
      <c r="A532" s="17" t="s">
        <v>3783</v>
      </c>
      <c r="B532" s="33" t="s">
        <v>1726</v>
      </c>
      <c r="C532" s="34" t="s">
        <v>3784</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29" spans="1:15">
      <c r="A533" s="17" t="s">
        <v>3785</v>
      </c>
      <c r="B533" s="33" t="s">
        <v>1726</v>
      </c>
      <c r="C533" s="34" t="s">
        <v>3784</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29" spans="1:15">
      <c r="A534" s="35" t="s">
        <v>3786</v>
      </c>
      <c r="B534" s="33" t="s">
        <v>1726</v>
      </c>
      <c r="C534" s="34" t="s">
        <v>3784</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29" spans="1:15">
      <c r="A535" s="36" t="s">
        <v>3787</v>
      </c>
      <c r="B535" s="33" t="s">
        <v>1726</v>
      </c>
      <c r="C535" s="34" t="s">
        <v>3784</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29" spans="1:15">
      <c r="A536" s="17" t="s">
        <v>3788</v>
      </c>
      <c r="B536" s="33" t="s">
        <v>1726</v>
      </c>
      <c r="C536" s="34" t="s">
        <v>3784</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29" spans="1:15">
      <c r="A537" s="17" t="s">
        <v>3789</v>
      </c>
      <c r="B537" s="33" t="s">
        <v>1726</v>
      </c>
      <c r="C537" s="34" t="s">
        <v>3784</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29" spans="1:15">
      <c r="A538" s="17" t="s">
        <v>3790</v>
      </c>
      <c r="B538" s="33" t="s">
        <v>1726</v>
      </c>
      <c r="C538" s="34" t="s">
        <v>3784</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29" spans="1:15">
      <c r="A539" s="17" t="s">
        <v>3791</v>
      </c>
      <c r="B539" s="33" t="s">
        <v>1726</v>
      </c>
      <c r="C539" s="34" t="s">
        <v>3784</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29" spans="1:15">
      <c r="A540" s="17" t="s">
        <v>3792</v>
      </c>
      <c r="B540" s="33" t="s">
        <v>1726</v>
      </c>
      <c r="C540" s="34" t="s">
        <v>3784</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29" spans="1:15">
      <c r="A541" s="17" t="s">
        <v>3793</v>
      </c>
      <c r="B541" s="33" t="s">
        <v>1726</v>
      </c>
      <c r="C541" s="34" t="s">
        <v>3784</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29" spans="1:15">
      <c r="A542" s="35" t="s">
        <v>3794</v>
      </c>
      <c r="B542" s="33" t="s">
        <v>1726</v>
      </c>
      <c r="C542" s="34" t="s">
        <v>3784</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29" spans="1:15">
      <c r="A543" s="35" t="s">
        <v>3795</v>
      </c>
      <c r="B543" s="33" t="s">
        <v>1726</v>
      </c>
      <c r="C543" s="34" t="s">
        <v>3784</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29" spans="1:15">
      <c r="A544" s="35" t="s">
        <v>3796</v>
      </c>
      <c r="B544" s="33" t="s">
        <v>1726</v>
      </c>
      <c r="C544" s="34" t="s">
        <v>3784</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29" spans="1:15">
      <c r="A545" s="35" t="s">
        <v>3797</v>
      </c>
      <c r="B545" s="33" t="s">
        <v>1726</v>
      </c>
      <c r="C545" s="34" t="s">
        <v>3784</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29" spans="1:15">
      <c r="A546" s="35" t="s">
        <v>3798</v>
      </c>
      <c r="B546" s="33" t="s">
        <v>1726</v>
      </c>
      <c r="C546" s="34" t="s">
        <v>3784</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29" spans="1:15">
      <c r="A547" s="17" t="s">
        <v>3799</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29" spans="1:15">
      <c r="A548" s="17" t="s">
        <v>3800</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29" spans="1:15">
      <c r="A549" s="17" t="s">
        <v>3801</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29" spans="1:15">
      <c r="A550" s="17" t="s">
        <v>3802</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29" spans="1:15">
      <c r="A551" s="17" t="s">
        <v>3803</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29" spans="1:15">
      <c r="A552" s="17" t="s">
        <v>3804</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29" spans="1:15">
      <c r="A553" s="17" t="s">
        <v>3805</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29" spans="1:15">
      <c r="A554" s="35" t="s">
        <v>3806</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29" spans="1:15">
      <c r="A555" s="35" t="s">
        <v>3807</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29" spans="1:15">
      <c r="A556" s="35" t="s">
        <v>3808</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29" spans="1:15">
      <c r="A557" s="35" t="s">
        <v>3809</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29" spans="1:15">
      <c r="A558" s="35" t="s">
        <v>3810</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29" spans="1:15">
      <c r="A559" s="35" t="s">
        <v>3811</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29" spans="1:15">
      <c r="A560" s="35" t="s">
        <v>3812</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29" spans="1:15">
      <c r="A561" s="35" t="s">
        <v>3813</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29" spans="1:15">
      <c r="A562" s="35" t="s">
        <v>3814</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29" spans="1:15">
      <c r="A563" s="35" t="s">
        <v>3815</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29" spans="1:15">
      <c r="A564" s="35" t="s">
        <v>3816</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29" spans="1:15">
      <c r="A565" s="35" t="s">
        <v>3817</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29" spans="1:15">
      <c r="A566" s="17" t="s">
        <v>3818</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29" spans="1:15">
      <c r="A567" s="17" t="s">
        <v>3819</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29" spans="1:15">
      <c r="A568" s="35" t="s">
        <v>3820</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29" spans="1:15">
      <c r="A569" s="35" t="s">
        <v>3821</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29" spans="1:15">
      <c r="A570" s="35" t="s">
        <v>3822</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29" spans="1:15">
      <c r="A571" s="35" t="s">
        <v>3823</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29" spans="1:15">
      <c r="A572" s="35" t="s">
        <v>3824</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29" spans="1:15">
      <c r="A573" s="35" t="s">
        <v>3825</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29" spans="1:15">
      <c r="A574" s="35" t="s">
        <v>3826</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29" spans="1:15">
      <c r="A575" s="35" t="s">
        <v>3827</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29" spans="1:15">
      <c r="A576" s="35" t="s">
        <v>3828</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29" spans="1:15">
      <c r="A577" s="35" t="s">
        <v>3829</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29" spans="1:15">
      <c r="A578" s="17" t="s">
        <v>3830</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29" spans="1:15">
      <c r="A579" s="17" t="s">
        <v>3831</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29" spans="1:15">
      <c r="A580" s="17" t="s">
        <v>3832</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29" spans="1:15">
      <c r="A581" s="17" t="s">
        <v>3833</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29" spans="1:15">
      <c r="A582" s="17" t="s">
        <v>3834</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29" spans="1:15">
      <c r="A583" s="17" t="s">
        <v>3835</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29" spans="1:15">
      <c r="A584" s="35" t="s">
        <v>3836</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29" spans="1:15">
      <c r="A585" s="17" t="s">
        <v>3837</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29" spans="1:15">
      <c r="A586" s="17" t="s">
        <v>3838</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29" spans="1:15">
      <c r="A587" s="17" t="s">
        <v>3839</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29" spans="1:15">
      <c r="A588" s="17" t="s">
        <v>3840</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29" spans="1:15">
      <c r="A589" s="17" t="s">
        <v>3841</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29" spans="1:15">
      <c r="A590" s="17" t="s">
        <v>3842</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29" spans="1:15">
      <c r="A591" s="17" t="s">
        <v>3843</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29" spans="1:15">
      <c r="A592" s="17" t="s">
        <v>3844</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29" spans="1:15">
      <c r="A593" s="17" t="s">
        <v>3845</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29" spans="1:15">
      <c r="A594" s="17" t="s">
        <v>3846</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29" spans="1:15">
      <c r="A595" s="17" t="s">
        <v>3847</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29" spans="1:15">
      <c r="A596" s="17" t="s">
        <v>3848</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29" spans="1:15">
      <c r="A597" s="17" t="s">
        <v>3849</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29" spans="1:15">
      <c r="A598" s="17" t="s">
        <v>3850</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29" spans="1:15">
      <c r="A599" s="17" t="s">
        <v>3851</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29" spans="1:15">
      <c r="A600" s="17" t="s">
        <v>3852</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29" spans="1:15">
      <c r="A601" s="17" t="s">
        <v>3853</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29" spans="1:15">
      <c r="A602" s="17" t="s">
        <v>3854</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29" spans="1:15">
      <c r="A603" s="17" t="s">
        <v>3855</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29" spans="1:15">
      <c r="A604" s="17" t="s">
        <v>3856</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29" spans="1:15">
      <c r="A605" s="17" t="s">
        <v>3857</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29" spans="1:15">
      <c r="A606" s="17" t="s">
        <v>3858</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29" spans="1:15">
      <c r="A607" s="17" t="s">
        <v>3859</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29" spans="1:15">
      <c r="A608" s="36" t="s">
        <v>3860</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29" spans="1:15">
      <c r="A609" s="17" t="s">
        <v>3861</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29" spans="1:15">
      <c r="A610" s="17" t="s">
        <v>3862</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29" spans="1:15">
      <c r="A611" s="17" t="s">
        <v>3863</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29" spans="1:15">
      <c r="A612" s="17" t="s">
        <v>3864</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29" spans="1:15">
      <c r="A613" s="17" t="s">
        <v>3865</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29" spans="1:15">
      <c r="A614" s="17" t="s">
        <v>3866</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29" spans="1:15">
      <c r="A615" s="17" t="s">
        <v>3867</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29" spans="1:15">
      <c r="A616" s="17" t="s">
        <v>3868</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29" spans="1:15">
      <c r="A617" s="17" t="s">
        <v>3869</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29" spans="1:15">
      <c r="A618" s="17" t="s">
        <v>3870</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29" spans="1:15">
      <c r="A619" s="17" t="s">
        <v>3871</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29" spans="1:15">
      <c r="A620" s="17" t="s">
        <v>3872</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29" spans="1:15">
      <c r="A621" s="17" t="s">
        <v>3873</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29" spans="1:15">
      <c r="A622" s="17" t="s">
        <v>3874</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29" spans="1:15">
      <c r="A623" s="17" t="s">
        <v>3875</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29" spans="1:15">
      <c r="A624" s="17" t="s">
        <v>3876</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29" spans="1:15">
      <c r="A625" s="35" t="s">
        <v>3877</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29" spans="1:15">
      <c r="A626" s="17" t="s">
        <v>3878</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29" spans="1:15">
      <c r="A627" s="17" t="s">
        <v>3879</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29" spans="1:15">
      <c r="A628" s="17" t="s">
        <v>3880</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29" spans="1:15">
      <c r="A629" s="17" t="s">
        <v>3881</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29" spans="1:15">
      <c r="A630" s="17" t="s">
        <v>3882</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29" spans="1:15">
      <c r="A631" s="17" t="s">
        <v>3883</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29" spans="1:15">
      <c r="A632" s="17" t="s">
        <v>3884</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29" spans="1:15">
      <c r="A633" s="17" t="s">
        <v>3885</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29" spans="1:15">
      <c r="A634" s="17" t="s">
        <v>3886</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29" spans="1:15">
      <c r="A635" s="17" t="s">
        <v>3887</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29" spans="1:15">
      <c r="A636" s="17" t="s">
        <v>3888</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29" spans="1:15">
      <c r="A637" s="17" t="s">
        <v>3889</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29" spans="1:15">
      <c r="A638" s="17" t="s">
        <v>3890</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29" spans="1:15">
      <c r="A639" s="17" t="s">
        <v>3891</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29" spans="1:15">
      <c r="A640" s="17" t="s">
        <v>3892</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29" spans="1:15">
      <c r="A641" s="17" t="s">
        <v>3893</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29" spans="1:15">
      <c r="A642" s="17" t="s">
        <v>3894</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29" spans="1:15">
      <c r="A643" s="17" t="s">
        <v>3895</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29" spans="1:15">
      <c r="A644" s="17" t="s">
        <v>3896</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29" spans="1:15">
      <c r="A645" s="35" t="s">
        <v>3897</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29" spans="1:15">
      <c r="A646" s="17" t="s">
        <v>3898</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29" spans="1:15">
      <c r="A647" s="17" t="s">
        <v>3899</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29" spans="1:15">
      <c r="A648" s="17" t="s">
        <v>3900</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29" spans="1:15">
      <c r="A649" s="17" t="s">
        <v>3901</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29" spans="1:15">
      <c r="A650" s="17" t="s">
        <v>3902</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29" spans="1:15">
      <c r="A651" s="35" t="s">
        <v>3903</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29" spans="1:15">
      <c r="A652" s="35" t="s">
        <v>3904</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29" spans="1:15">
      <c r="A653" s="17" t="s">
        <v>3905</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29" spans="1:15">
      <c r="A654" s="35" t="s">
        <v>3906</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29" spans="1:15">
      <c r="A655" s="35" t="s">
        <v>3907</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29" spans="1:15">
      <c r="A656" s="35" t="s">
        <v>3908</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29" spans="1:15">
      <c r="A657" s="35" t="s">
        <v>3909</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29" spans="1:15">
      <c r="A658" s="35" t="s">
        <v>3910</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29" spans="1:15">
      <c r="A659" s="35" t="s">
        <v>3911</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29" spans="1:15">
      <c r="A660" s="17" t="s">
        <v>3912</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29" spans="1:15">
      <c r="A661" s="35" t="s">
        <v>3913</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29" spans="1:15">
      <c r="A662" s="35" t="s">
        <v>3914</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29" spans="1:15">
      <c r="A663" s="35" t="s">
        <v>3915</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29" spans="1:15">
      <c r="A664" s="17" t="s">
        <v>3916</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29" spans="1:15">
      <c r="A665" s="17" t="s">
        <v>3917</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29" spans="1:15">
      <c r="A666" s="35" t="s">
        <v>3918</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29" spans="1:15">
      <c r="A667" s="35" t="s">
        <v>3919</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29" spans="1:15">
      <c r="A668" s="17" t="s">
        <v>3920</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29" spans="1:15">
      <c r="A669" s="17" t="s">
        <v>3921</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29" spans="1:15">
      <c r="A670" s="35" t="s">
        <v>3922</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29" spans="1:15">
      <c r="A671" s="35" t="s">
        <v>3923</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29" spans="1:15">
      <c r="A672" s="35" t="s">
        <v>3924</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29" spans="1:15">
      <c r="A673" s="35" t="s">
        <v>3925</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29" spans="1:15">
      <c r="A674" s="35" t="s">
        <v>3926</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30" spans="1:15">
      <c r="A675" s="35" t="s">
        <v>3927</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29" spans="1:15">
      <c r="A676" s="35" t="s">
        <v>3928</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29" spans="1:15">
      <c r="A677" s="35" t="s">
        <v>3929</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29" spans="1:15">
      <c r="A678" s="35" t="s">
        <v>3930</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29" spans="1:15">
      <c r="A679" s="35" t="s">
        <v>3931</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30" spans="1:15">
      <c r="A680" s="35" t="s">
        <v>3932</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29" spans="1:15">
      <c r="A681" s="35" t="s">
        <v>3933</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29" spans="1:15">
      <c r="A682" s="35" t="s">
        <v>3934</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29" spans="1:15">
      <c r="A683" s="35" t="s">
        <v>3935</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29" spans="1:15">
      <c r="A684" s="35" t="s">
        <v>3936</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29" spans="1:15">
      <c r="A685" s="35" t="s">
        <v>3937</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29" spans="1:15">
      <c r="A686" s="35" t="s">
        <v>3938</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29" spans="1:15">
      <c r="A687" s="35" t="s">
        <v>3939</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29" spans="1:15">
      <c r="A688" s="35" t="s">
        <v>3940</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29" spans="1:15">
      <c r="A689" s="35" t="s">
        <v>3941</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30" spans="1:15">
      <c r="A690" s="35" t="s">
        <v>3942</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29" spans="1:15">
      <c r="A691" s="35" t="s">
        <v>3943</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29" spans="1:15">
      <c r="A692" s="35" t="s">
        <v>3944</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29" spans="1:15">
      <c r="A693" s="35" t="s">
        <v>3945</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29" spans="1:15">
      <c r="A694" s="35" t="s">
        <v>3946</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29" spans="1:15">
      <c r="A695" s="35" t="s">
        <v>3947</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29" spans="1:15">
      <c r="A696" s="35" t="s">
        <v>3948</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29" spans="1:15">
      <c r="A697" s="35" t="s">
        <v>3949</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29" spans="1:15">
      <c r="A698" s="35" t="s">
        <v>3950</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29" spans="1:15">
      <c r="A699" s="17" t="s">
        <v>3951</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29" spans="1:15">
      <c r="A700" s="17" t="s">
        <v>3952</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29" spans="1:15">
      <c r="A701" s="17" t="s">
        <v>3953</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29" spans="1:15">
      <c r="A702" s="17" t="s">
        <v>3954</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29" spans="1:15">
      <c r="A703" s="17" t="s">
        <v>3955</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29" spans="1:15">
      <c r="A704" s="35" t="s">
        <v>3956</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29" spans="1:15">
      <c r="A705" s="17" t="s">
        <v>3957</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29" spans="1:15">
      <c r="A706" s="17" t="s">
        <v>3958</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29" spans="1:15">
      <c r="A707" s="17" t="s">
        <v>3959</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29" spans="1:15">
      <c r="A708" s="17" t="s">
        <v>3960</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29" spans="1:15">
      <c r="A709" s="17" t="s">
        <v>3961</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29" spans="1:15">
      <c r="A710" s="17" t="s">
        <v>3962</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30" spans="1:15">
      <c r="A711" s="35" t="s">
        <v>3963</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30" spans="1:15">
      <c r="A712" s="35" t="s">
        <v>3964</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30" spans="1:15">
      <c r="A713" s="35" t="s">
        <v>3965</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29" spans="1:15">
      <c r="A714" s="17" t="s">
        <v>3966</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29" spans="1:15">
      <c r="A715" s="17" t="s">
        <v>3967</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29" spans="1:15">
      <c r="A716" s="17" t="s">
        <v>3968</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29" spans="1:15">
      <c r="A717" s="35" t="s">
        <v>3969</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29" spans="1:15">
      <c r="A718" s="17" t="s">
        <v>3970</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29" spans="1:15">
      <c r="A719" s="17" t="s">
        <v>3971</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29" spans="1:15">
      <c r="A720" s="17" t="s">
        <v>3972</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29" spans="1:15">
      <c r="A721" s="17" t="s">
        <v>3973</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29" spans="1:15">
      <c r="A722" s="17" t="s">
        <v>3974</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29" spans="1:15">
      <c r="A723" s="17" t="s">
        <v>3975</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30" spans="1:15">
      <c r="A724" s="35" t="s">
        <v>3976</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30" spans="1:15">
      <c r="A725" s="35" t="s">
        <v>3977</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29" spans="1:15">
      <c r="A726" s="35" t="s">
        <v>3978</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29" spans="1:15">
      <c r="A727" s="35" t="s">
        <v>3979</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29" spans="1:15">
      <c r="A728" s="35" t="s">
        <v>3980</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30" spans="1:15">
      <c r="A729" s="35" t="s">
        <v>3981</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30" spans="1:15">
      <c r="A730" s="35" t="s">
        <v>3982</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30" spans="1:15">
      <c r="A731" s="35" t="s">
        <v>3983</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30" spans="1:15">
      <c r="A732" s="35" t="s">
        <v>3984</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30" spans="1:15">
      <c r="A733" s="35" t="s">
        <v>3985</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29" spans="1:15">
      <c r="A734" s="35" t="s">
        <v>3986</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29" spans="1:15">
      <c r="A735" s="35" t="s">
        <v>3987</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30" spans="1:15">
      <c r="A736" s="35" t="s">
        <v>3988</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30" spans="1:15">
      <c r="A737" s="35" t="s">
        <v>3989</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30" spans="1:15">
      <c r="A738" s="35" t="s">
        <v>3990</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30" spans="1:15">
      <c r="A739" s="35" t="s">
        <v>3991</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30" spans="1:15">
      <c r="A740" s="35" t="s">
        <v>3992</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30" spans="1:15">
      <c r="A741" s="35" t="s">
        <v>3993</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30" spans="1:15">
      <c r="A742" s="35" t="s">
        <v>3994</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30" spans="1:15">
      <c r="A743" s="35" t="s">
        <v>3995</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29" spans="1:15">
      <c r="A744" s="35" t="s">
        <v>3996</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30" spans="1:15">
      <c r="A745" s="35" t="s">
        <v>3997</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30" spans="1:15">
      <c r="A746" s="35" t="s">
        <v>3998</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30" spans="1:15">
      <c r="A747" s="35" t="s">
        <v>3999</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30" spans="1:15">
      <c r="A748" s="35" t="s">
        <v>4000</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30" spans="1:15">
      <c r="A749" s="35" t="s">
        <v>4001</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29" spans="1:15">
      <c r="A750" s="17" t="s">
        <v>4002</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29" spans="1:15">
      <c r="A751" s="17" t="s">
        <v>4003</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29" spans="1:15">
      <c r="A752" s="17" t="s">
        <v>4004</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29" spans="1:15">
      <c r="A753" s="17" t="s">
        <v>4005</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29" spans="1:15">
      <c r="A754" s="17" t="s">
        <v>4006</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29" spans="1:15">
      <c r="A755" s="17" t="s">
        <v>4007</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29" spans="1:15">
      <c r="A756" s="17" t="s">
        <v>4008</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29" spans="1:15">
      <c r="A757" s="17" t="s">
        <v>4009</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29" spans="1:15">
      <c r="A758" s="17" t="s">
        <v>4010</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29" spans="1:15">
      <c r="A759" s="17" t="s">
        <v>4011</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29" spans="1:15">
      <c r="A760" s="17" t="s">
        <v>4012</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29" spans="1:15">
      <c r="A761" s="17" t="s">
        <v>4013</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29" spans="1:15">
      <c r="A762" s="17" t="s">
        <v>4014</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29" spans="1:15">
      <c r="A763" s="17" t="s">
        <v>4015</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29" spans="1:15">
      <c r="A764" s="39" t="s">
        <v>4016</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29" spans="1:15">
      <c r="A765" s="39" t="s">
        <v>4017</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29" spans="1:15">
      <c r="A766" s="39" t="s">
        <v>4018</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29" spans="1:15">
      <c r="A767" s="39" t="s">
        <v>4019</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29" spans="1:15">
      <c r="A768" s="39" t="s">
        <v>4020</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29" spans="1:15">
      <c r="A769" s="39" t="s">
        <v>4021</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29" spans="1:15">
      <c r="A770" s="39" t="s">
        <v>4022</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29" spans="1:15">
      <c r="A771" s="39" t="s">
        <v>4023</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29" spans="1:15">
      <c r="A772" s="39" t="s">
        <v>4024</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29" spans="1:15">
      <c r="A773" s="40" t="s">
        <v>4025</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29" spans="1:15">
      <c r="A774" s="39" t="s">
        <v>4026</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29" spans="1:15">
      <c r="A775" s="39" t="s">
        <v>4027</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29" spans="1:15">
      <c r="A776" s="39" t="s">
        <v>4028</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29" spans="1:15">
      <c r="A777" s="39" t="s">
        <v>4029</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29" spans="1:15">
      <c r="A778" s="39" t="s">
        <v>4030</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0" spans="1:15">
      <c r="A779" s="40" t="s">
        <v>4031</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0" spans="1:15">
      <c r="A780" s="40" t="s">
        <v>4032</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0" spans="1:15">
      <c r="A781" s="40" t="s">
        <v>4033</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0" spans="1:15">
      <c r="A782" s="40" t="s">
        <v>4034</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0" spans="1:15">
      <c r="A783" s="40" t="s">
        <v>4035</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0" spans="1:15">
      <c r="A784" s="40" t="s">
        <v>4036</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0" spans="1:15">
      <c r="A785" s="40" t="s">
        <v>4037</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0" spans="1:15">
      <c r="A786" s="40" t="s">
        <v>4038</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0" spans="1:15">
      <c r="A787" s="40" t="s">
        <v>4039</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29" spans="1:15">
      <c r="A788" s="39" t="s">
        <v>4040</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29" spans="1:15">
      <c r="A789" s="39" t="s">
        <v>4041</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29" spans="1:15">
      <c r="A790" s="39" t="s">
        <v>4042</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29" spans="1:15">
      <c r="A791" s="39" t="s">
        <v>4043</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29" spans="1:15">
      <c r="A792" s="39" t="s">
        <v>4044</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29" spans="1:15">
      <c r="A793" s="39" t="s">
        <v>4045</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29" spans="1:15">
      <c r="A794" s="39" t="s">
        <v>4046</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29" spans="1:15">
      <c r="A795" s="39" t="s">
        <v>4047</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29" spans="1:15">
      <c r="A796" s="39" t="s">
        <v>4048</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29" spans="1:15">
      <c r="A797" s="39" t="s">
        <v>4049</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29" spans="1:15">
      <c r="A798" s="39" t="s">
        <v>4050</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29" spans="1:15">
      <c r="A799" s="39" t="s">
        <v>4051</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29" spans="1:15">
      <c r="A800" s="39" t="s">
        <v>4052</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29" spans="1:15">
      <c r="A801" s="39" t="s">
        <v>4053</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29" spans="1:15">
      <c r="A802" s="39" t="s">
        <v>4054</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29" spans="1:15">
      <c r="A803" s="39" t="s">
        <v>4055</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29" spans="1:15">
      <c r="A804" s="39" t="s">
        <v>4056</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29" spans="1:15">
      <c r="A805" s="39" t="s">
        <v>4057</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29" spans="1:15">
      <c r="A806" s="39" t="s">
        <v>4058</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29" spans="1:15">
      <c r="A807" s="39" t="s">
        <v>4059</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29" spans="1:15">
      <c r="A808" s="39" t="s">
        <v>4060</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29" spans="1:15">
      <c r="A809" s="39" t="s">
        <v>4061</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29" spans="1:15">
      <c r="A810" s="39" t="s">
        <v>4062</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29" spans="1:15">
      <c r="A811" s="39" t="s">
        <v>4063</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29" spans="1:15">
      <c r="A812" s="39" t="s">
        <v>4064</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29" spans="1:15">
      <c r="A813" s="39" t="s">
        <v>4065</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29" spans="1:15">
      <c r="A814" s="39" t="s">
        <v>4066</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29" spans="1:15">
      <c r="A815" s="39" t="s">
        <v>4067</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29" spans="1:15">
      <c r="A816" s="39" t="s">
        <v>4068</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29" spans="1:15">
      <c r="A817" s="39" t="s">
        <v>4069</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29" spans="1:15">
      <c r="A818" s="39" t="s">
        <v>4070</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29" spans="1:15">
      <c r="A819" s="40" t="s">
        <v>4071</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29" spans="1:15">
      <c r="A820" s="39" t="s">
        <v>4072</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29" spans="1:15">
      <c r="A821" s="39" t="s">
        <v>4073</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29" spans="1:15">
      <c r="A822" s="39" t="s">
        <v>4074</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29" spans="1:15">
      <c r="A823" s="39" t="s">
        <v>4075</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29" spans="1:15">
      <c r="A824" s="39" t="s">
        <v>4076</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29" spans="1:15">
      <c r="A825" s="39" t="s">
        <v>4077</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29" spans="1:15">
      <c r="A826" s="39" t="s">
        <v>4078</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29" spans="1:15">
      <c r="A827" s="39" t="s">
        <v>4079</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29" spans="1:15">
      <c r="A828" s="39" t="s">
        <v>4080</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29" spans="1:15">
      <c r="A829" s="39" t="s">
        <v>4081</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29" spans="1:15">
      <c r="A830" s="39" t="s">
        <v>4082</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29" spans="1:15">
      <c r="A831" s="39" t="s">
        <v>4083</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29" spans="1:15">
      <c r="A832" s="39" t="s">
        <v>4084</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29" spans="1:15">
      <c r="A833" s="39" t="s">
        <v>4085</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29" spans="1:15">
      <c r="A834" s="39" t="s">
        <v>4086</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29" spans="1:15">
      <c r="A835" s="39" t="s">
        <v>4087</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29" spans="1:15">
      <c r="A836" s="39" t="s">
        <v>4088</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29" spans="1:15">
      <c r="A837" s="39" t="s">
        <v>4089</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29" spans="1:15">
      <c r="A838" s="39" t="s">
        <v>4090</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29" spans="1:15">
      <c r="A839" s="40" t="s">
        <v>4091</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29" spans="1:15">
      <c r="A840" s="39" t="s">
        <v>4092</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29" spans="1:15">
      <c r="A841" s="39" t="s">
        <v>4093</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29" spans="1:15">
      <c r="A842" s="40" t="s">
        <v>4094</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29" spans="1:15">
      <c r="A843" s="39" t="s">
        <v>4095</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29" spans="1:15">
      <c r="A844" s="39" t="s">
        <v>4096</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29" spans="1:15">
      <c r="A845" s="39" t="s">
        <v>4097</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29" spans="1:15">
      <c r="A846" s="39" t="s">
        <v>4098</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29" spans="1:15">
      <c r="A847" s="39" t="s">
        <v>4099</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29" spans="1:15">
      <c r="A848" s="39" t="s">
        <v>4100</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29" spans="1:15">
      <c r="A849" s="39" t="s">
        <v>4101</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29" spans="1:15">
      <c r="A850" s="39" t="s">
        <v>4102</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29" spans="1:15">
      <c r="A851" s="39" t="s">
        <v>4103</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29" spans="1:15">
      <c r="A852" s="39" t="s">
        <v>4104</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29" spans="1:15">
      <c r="A853" s="39" t="s">
        <v>4105</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29" spans="1:15">
      <c r="A854" s="39" t="s">
        <v>4106</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29" spans="1:15">
      <c r="A855" s="39" t="s">
        <v>4107</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29" spans="1:15">
      <c r="A856" s="39" t="s">
        <v>4108</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29" spans="1:15">
      <c r="A857" s="39" t="s">
        <v>4109</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29" spans="1:15">
      <c r="A858" s="39" t="s">
        <v>4110</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29" spans="1:15">
      <c r="A859" s="39" t="s">
        <v>4111</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29" spans="1:15">
      <c r="A860" s="39" t="s">
        <v>4112</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29" spans="1:15">
      <c r="A861" s="39" t="s">
        <v>4113</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29" spans="1:15">
      <c r="A862" s="39" t="s">
        <v>4114</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29" spans="1:15">
      <c r="A863" s="39" t="s">
        <v>4115</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29" spans="1:15">
      <c r="A864" s="39" t="s">
        <v>4116</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29" spans="1:15">
      <c r="A865" s="39" t="s">
        <v>4117</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29" spans="1:15">
      <c r="A866" s="39" t="s">
        <v>4118</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29" spans="1:15">
      <c r="A867" s="39" t="s">
        <v>4119</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29" spans="1:15">
      <c r="A868" s="39" t="s">
        <v>4120</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29" spans="1:15">
      <c r="A869" s="39" t="s">
        <v>4121</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29" spans="1:15">
      <c r="A870" s="39" t="s">
        <v>4122</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29" spans="1:15">
      <c r="A871" s="39" t="s">
        <v>4123</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29" spans="1:15">
      <c r="A872" s="39" t="s">
        <v>4124</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29" spans="1:15">
      <c r="A873" s="39" t="s">
        <v>4125</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29" spans="1:15">
      <c r="A874" s="39" t="s">
        <v>4126</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29" spans="1:15">
      <c r="A875" s="39" t="s">
        <v>4127</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29" spans="1:15">
      <c r="A876" s="39" t="s">
        <v>4128</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29" spans="1:15">
      <c r="A877" s="39" t="s">
        <v>4129</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29" spans="1:15">
      <c r="A878" s="39" t="s">
        <v>4130</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29" spans="1:15">
      <c r="A879" s="40" t="s">
        <v>4131</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29" spans="1:15">
      <c r="A880" s="39" t="s">
        <v>4132</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29" spans="1:15">
      <c r="A881" s="39" t="s">
        <v>4133</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29" spans="1:15">
      <c r="A882" s="39" t="s">
        <v>4134</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29" spans="1:15">
      <c r="A883" s="39" t="s">
        <v>4135</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29" spans="1:15">
      <c r="A884" s="39" t="s">
        <v>4136</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29" spans="1:15">
      <c r="A885" s="39" t="s">
        <v>4137</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29" spans="1:15">
      <c r="A886" s="39" t="s">
        <v>4138</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29" spans="1:15">
      <c r="A887" s="39" t="s">
        <v>4139</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29" spans="1:15">
      <c r="A888" s="39" t="s">
        <v>4140</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29" spans="1:15">
      <c r="A889" s="39" t="s">
        <v>4141</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29" spans="1:15">
      <c r="A890" s="39" t="s">
        <v>4142</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29" spans="1:15">
      <c r="A891" s="39" t="s">
        <v>4143</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29" spans="1:15">
      <c r="A892" s="39" t="s">
        <v>4144</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29" spans="1:15">
      <c r="A893" s="39" t="s">
        <v>4145</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29" spans="1:15">
      <c r="A894" s="39" t="s">
        <v>4146</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29" spans="1:15">
      <c r="A895" s="39" t="s">
        <v>4147</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29" spans="1:15">
      <c r="A896" s="39" t="s">
        <v>4148</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29" spans="1:15">
      <c r="A897" s="39" t="s">
        <v>4149</v>
      </c>
      <c r="B897" s="37" t="s">
        <v>1726</v>
      </c>
      <c r="C897" s="38" t="s">
        <v>3784</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29" spans="1:15">
      <c r="A898" s="39" t="s">
        <v>4150</v>
      </c>
      <c r="B898" s="37" t="s">
        <v>1726</v>
      </c>
      <c r="C898" s="38" t="s">
        <v>3784</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29" spans="1:15">
      <c r="A899" s="39" t="s">
        <v>4151</v>
      </c>
      <c r="B899" s="37" t="s">
        <v>1726</v>
      </c>
      <c r="C899" s="38" t="s">
        <v>3784</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29" spans="1:15">
      <c r="A900" s="39" t="s">
        <v>4152</v>
      </c>
      <c r="B900" s="37" t="s">
        <v>1726</v>
      </c>
      <c r="C900" s="38" t="s">
        <v>3784</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29" spans="1:15">
      <c r="A901" s="39" t="s">
        <v>4153</v>
      </c>
      <c r="B901" s="37" t="s">
        <v>1726</v>
      </c>
      <c r="C901" s="38" t="s">
        <v>3784</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29" spans="1:15">
      <c r="A902" s="39" t="s">
        <v>4154</v>
      </c>
      <c r="B902" s="37" t="s">
        <v>1726</v>
      </c>
      <c r="C902" s="38" t="s">
        <v>3784</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29" spans="1:15">
      <c r="A903" s="39" t="s">
        <v>4155</v>
      </c>
      <c r="B903" s="37" t="s">
        <v>1726</v>
      </c>
      <c r="C903" s="38" t="s">
        <v>3784</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29" spans="1:15">
      <c r="A904" s="39" t="s">
        <v>4156</v>
      </c>
      <c r="B904" s="37" t="s">
        <v>1726</v>
      </c>
      <c r="C904" s="38" t="s">
        <v>3784</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29" spans="1:15">
      <c r="A905" s="39" t="s">
        <v>4157</v>
      </c>
      <c r="B905" s="37" t="s">
        <v>1726</v>
      </c>
      <c r="C905" s="38" t="s">
        <v>3784</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29" spans="1:15">
      <c r="A906" s="39" t="s">
        <v>4158</v>
      </c>
      <c r="B906" s="37" t="s">
        <v>1726</v>
      </c>
      <c r="C906" s="38" t="s">
        <v>3784</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29" spans="1:15">
      <c r="A907" s="39" t="s">
        <v>4159</v>
      </c>
      <c r="B907" s="37" t="s">
        <v>1726</v>
      </c>
      <c r="C907" s="38" t="s">
        <v>3784</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29" spans="1:15">
      <c r="A908" s="39" t="s">
        <v>4160</v>
      </c>
      <c r="B908" s="37" t="s">
        <v>1726</v>
      </c>
      <c r="C908" s="38" t="s">
        <v>3784</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29" spans="1:15">
      <c r="A909" s="39" t="s">
        <v>4161</v>
      </c>
      <c r="B909" s="37" t="s">
        <v>1726</v>
      </c>
      <c r="C909" s="38" t="s">
        <v>3784</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29" spans="1:15">
      <c r="A910" s="39" t="s">
        <v>4162</v>
      </c>
      <c r="B910" s="37" t="s">
        <v>1726</v>
      </c>
      <c r="C910" s="38" t="s">
        <v>3784</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29" spans="1:15">
      <c r="A911" s="39" t="s">
        <v>4163</v>
      </c>
      <c r="B911" s="37" t="s">
        <v>1726</v>
      </c>
      <c r="C911" s="38" t="s">
        <v>3784</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29" spans="1:15">
      <c r="A912" s="39" t="s">
        <v>4164</v>
      </c>
      <c r="B912" s="37" t="s">
        <v>1726</v>
      </c>
      <c r="C912" s="38" t="s">
        <v>3784</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29" spans="1:15">
      <c r="A913" s="40" t="s">
        <v>4165</v>
      </c>
      <c r="B913" s="37" t="s">
        <v>1726</v>
      </c>
      <c r="C913" s="38" t="s">
        <v>3784</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29" spans="1:15">
      <c r="A914" s="39" t="s">
        <v>4166</v>
      </c>
      <c r="B914" s="37" t="s">
        <v>1726</v>
      </c>
      <c r="C914" s="38" t="s">
        <v>3784</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29" spans="1:15">
      <c r="A915" s="39" t="s">
        <v>4167</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29" spans="1:15">
      <c r="A916" s="39" t="s">
        <v>4168</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29" spans="1:15">
      <c r="A917" s="39" t="s">
        <v>4169</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29" spans="1:15">
      <c r="A918" s="39" t="s">
        <v>4170</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29" spans="1:15">
      <c r="A919" s="39" t="s">
        <v>4171</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29" spans="1:15">
      <c r="A920" s="39" t="s">
        <v>4172</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29" spans="1:15">
      <c r="A921" s="39" t="s">
        <v>4173</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29" spans="1:15">
      <c r="A922" s="39" t="s">
        <v>4174</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29" spans="1:15">
      <c r="A923" s="39" t="s">
        <v>4175</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29" spans="1:15">
      <c r="A924" s="39" t="s">
        <v>4176</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29" spans="1:15">
      <c r="A925" s="39" t="s">
        <v>4177</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29" spans="1:15">
      <c r="A926" s="39" t="s">
        <v>4178</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29" spans="1:15">
      <c r="A927" s="39" t="s">
        <v>4179</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29" spans="1:15">
      <c r="A928" s="39" t="s">
        <v>4180</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29" spans="1:15">
      <c r="A929" s="39" t="s">
        <v>4181</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29" spans="1:15">
      <c r="A930" s="39" t="s">
        <v>4182</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29" spans="1:15">
      <c r="A931" s="39" t="s">
        <v>4183</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29" spans="1:15">
      <c r="A932" s="39" t="s">
        <v>4184</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5" spans="1:15">
      <c r="A933" s="41" t="s">
        <v>4185</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4186</v>
      </c>
      <c r="B934" s="26"/>
      <c r="C934" s="42" t="s">
        <v>3280</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29" spans="1:15">
      <c r="A935" s="41" t="s">
        <v>4187</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29" spans="1:15">
      <c r="A936" s="41" t="s">
        <v>4188</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29" spans="1:15">
      <c r="A937" s="41" t="s">
        <v>4189</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29" spans="1:15">
      <c r="A938" s="41" t="s">
        <v>4190</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29" spans="1:15">
      <c r="A939" s="41" t="s">
        <v>4191</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29" spans="1:15">
      <c r="A940" s="41" t="s">
        <v>4192</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29" spans="1:15">
      <c r="A941" s="41" t="s">
        <v>4193</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29" spans="1:15">
      <c r="A942" s="41" t="s">
        <v>4194</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29" spans="1:15">
      <c r="A943" s="41" t="s">
        <v>4195</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29" spans="1:15">
      <c r="A944" s="41" t="s">
        <v>4196</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29" spans="1:15">
      <c r="A945" s="41" t="s">
        <v>4197</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29" spans="1:15">
      <c r="A946" s="41" t="s">
        <v>4198</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29" spans="1:15">
      <c r="A947" s="41" t="s">
        <v>4199</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29" spans="1:15">
      <c r="A948" s="41" t="s">
        <v>4200</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29" spans="1:15">
      <c r="A949" s="41" t="s">
        <v>4201</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29" spans="1:15">
      <c r="A950" s="41" t="s">
        <v>4202</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29" spans="1:15">
      <c r="A951" s="41" t="s">
        <v>4203</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29" spans="1:15">
      <c r="A952" s="41" t="s">
        <v>4204</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D14" sqref="D14"/>
    </sheetView>
  </sheetViews>
  <sheetFormatPr defaultColWidth="9" defaultRowHeight="14"/>
  <cols>
    <col min="1" max="1" width="14.3727272727273" customWidth="1"/>
    <col min="2" max="2" width="23.5" customWidth="1"/>
    <col min="3" max="14" width="12.8181818181818"/>
  </cols>
  <sheetData>
    <row r="1" spans="1:14">
      <c r="A1" s="11" t="s">
        <v>4213</v>
      </c>
      <c r="B1" s="17" t="s">
        <v>4214</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4215</v>
      </c>
      <c r="C2">
        <f>'2 过程管理表单'!Z5</f>
        <v>25479.4520547945</v>
      </c>
      <c r="D2">
        <f>'2 过程管理表单'!AC5</f>
        <v>23013.698630137</v>
      </c>
      <c r="E2">
        <f>'2 过程管理表单'!AF5</f>
        <v>25479.4520547945</v>
      </c>
      <c r="F2">
        <f>'2 过程管理表单'!AI5</f>
        <v>24657.5342465754</v>
      </c>
      <c r="G2">
        <f>'2 过程管理表单'!AL5</f>
        <v>25479.4520547945</v>
      </c>
      <c r="H2">
        <f>'2 过程管理表单'!AO5</f>
        <v>24657.5342465754</v>
      </c>
      <c r="I2">
        <f>'2 过程管理表单'!AR5</f>
        <v>25479.4520547945</v>
      </c>
      <c r="J2">
        <f>'2 过程管理表单'!AU5</f>
        <v>0</v>
      </c>
      <c r="K2">
        <f>'2 过程管理表单'!AX5</f>
        <v>0</v>
      </c>
      <c r="L2">
        <f>'2 过程管理表单'!BA5</f>
        <v>0</v>
      </c>
      <c r="M2">
        <f>'2 过程管理表单'!BD5</f>
        <v>0</v>
      </c>
      <c r="N2">
        <f>'2 过程管理表单'!BG4</f>
        <v>0</v>
      </c>
    </row>
    <row r="3" spans="1:14">
      <c r="A3" s="6" t="s">
        <v>214</v>
      </c>
      <c r="B3" s="17" t="s">
        <v>4216</v>
      </c>
      <c r="C3">
        <f t="shared" ref="C3:C7" si="0">C2</f>
        <v>25479.4520547945</v>
      </c>
      <c r="D3">
        <f t="shared" ref="D3:N3" si="1">C3+D2</f>
        <v>48493.1506849315</v>
      </c>
      <c r="E3">
        <f t="shared" si="1"/>
        <v>73972.602739726</v>
      </c>
      <c r="F3">
        <f t="shared" si="1"/>
        <v>98630.1369863014</v>
      </c>
      <c r="G3">
        <f t="shared" si="1"/>
        <v>124109.589041096</v>
      </c>
      <c r="H3">
        <f t="shared" si="1"/>
        <v>148767.123287671</v>
      </c>
      <c r="I3">
        <f t="shared" si="1"/>
        <v>174246.575342466</v>
      </c>
      <c r="J3">
        <f t="shared" si="1"/>
        <v>174246.575342466</v>
      </c>
      <c r="K3">
        <f t="shared" si="1"/>
        <v>174246.575342466</v>
      </c>
      <c r="L3">
        <f t="shared" si="1"/>
        <v>174246.575342466</v>
      </c>
      <c r="M3">
        <f t="shared" si="1"/>
        <v>174246.575342466</v>
      </c>
      <c r="N3">
        <f t="shared" si="1"/>
        <v>174246.575342466</v>
      </c>
    </row>
    <row r="4" spans="1:14">
      <c r="A4" s="6" t="s">
        <v>214</v>
      </c>
      <c r="B4" s="17" t="s">
        <v>4217</v>
      </c>
      <c r="C4">
        <f>'2 过程管理表单'!X5-'2 过程管理表单'!X8-'2 过程管理表单'!X27-'2 过程管理表单'!X46-'2 过程管理表单'!X71-'2 过程管理表单'!X96-'2 过程管理表单'!X115-'2 过程管理表单'!X140-'2 过程管理表单'!X159</f>
        <v>27333.333333333</v>
      </c>
      <c r="D4">
        <f>'2 过程管理表单'!AA5-'2 过程管理表单'!AA8-'2 过程管理表单'!AA27-'2 过程管理表单'!AA46-'2 过程管理表单'!AA71-'2 过程管理表单'!AA96-'2 过程管理表单'!AA115-'2 过程管理表单'!AA140-'2 过程管理表单'!AA159</f>
        <v>27333.333333333</v>
      </c>
      <c r="E4">
        <f>'2 过程管理表单'!AD5-'2 过程管理表单'!AD8-'2 过程管理表单'!AD27-'2 过程管理表单'!AD46-'2 过程管理表单'!AD71-'2 过程管理表单'!AD96-'2 过程管理表单'!AD115-'2 过程管理表单'!AD140-'2 过程管理表单'!AD159</f>
        <v>27333.333333333</v>
      </c>
      <c r="F4">
        <f>'2 过程管理表单'!AG5-'2 过程管理表单'!AG8-'2 过程管理表单'!AG27-'2 过程管理表单'!AG46-'2 过程管理表单'!AG71-'2 过程管理表单'!AG96-'2 过程管理表单'!AG115-'2 过程管理表单'!AG140-'2 过程管理表单'!AG159</f>
        <v>27333.333333333</v>
      </c>
      <c r="G4">
        <f>'2 过程管理表单'!AJ5-'2 过程管理表单'!AJ8-'2 过程管理表单'!AJ27-'2 过程管理表单'!AJ46-'2 过程管理表单'!AJ71-'2 过程管理表单'!AJ96-'2 过程管理表单'!AJ115-'2 过程管理表单'!AJ140-'2 过程管理表单'!AJ159</f>
        <v>27333.333333333</v>
      </c>
      <c r="H4">
        <f>'2 过程管理表单'!AM5-'2 过程管理表单'!AM8-'2 过程管理表单'!AM27-'2 过程管理表单'!AM46-'2 过程管理表单'!AM71-'2 过程管理表单'!AM96-'2 过程管理表单'!AM115-'2 过程管理表单'!AM140-'2 过程管理表单'!AM159</f>
        <v>27333.333333333</v>
      </c>
      <c r="I4">
        <f>'2 过程管理表单'!AP5-'2 过程管理表单'!AP8-'2 过程管理表单'!AP27-'2 过程管理表单'!AP46-'2 过程管理表单'!AP71-'2 过程管理表单'!AP96-'2 过程管理表单'!AP115-'2 过程管理表单'!AP140-'2 过程管理表单'!AP159</f>
        <v>27333.333333333</v>
      </c>
      <c r="J4">
        <f>'2 过程管理表单'!AS5-'2 过程管理表单'!AS8-'2 过程管理表单'!AS27-'2 过程管理表单'!AS46-'2 过程管理表单'!AS71-'2 过程管理表单'!AS96-'2 过程管理表单'!AS115-'2 过程管理表单'!AS140-'2 过程管理表单'!AS159</f>
        <v>27333.333333333</v>
      </c>
      <c r="K4">
        <f>'2 过程管理表单'!AV5-'2 过程管理表单'!AV8-'2 过程管理表单'!AV27-'2 过程管理表单'!AV46-'2 过程管理表单'!AV71-'2 过程管理表单'!AV96-'2 过程管理表单'!AV115-'2 过程管理表单'!AV140-'2 过程管理表单'!AV159</f>
        <v>27333.333333333</v>
      </c>
      <c r="L4">
        <f>'2 过程管理表单'!AY5-'2 过程管理表单'!AY8-'2 过程管理表单'!AY27-'2 过程管理表单'!AY46-'2 过程管理表单'!AY71-'2 过程管理表单'!AY96-'2 过程管理表单'!AY115-'2 过程管理表单'!AY140-'2 过程管理表单'!AY159</f>
        <v>27333.333333333</v>
      </c>
      <c r="M4">
        <f>'2 过程管理表单'!BB5-'2 过程管理表单'!BB8-'2 过程管理表单'!BB27-'2 过程管理表单'!BB46-'2 过程管理表单'!BB71-'2 过程管理表单'!BB96-'2 过程管理表单'!BB115-'2 过程管理表单'!BB140-'2 过程管理表单'!BB159</f>
        <v>27333.333333333</v>
      </c>
      <c r="N4">
        <f>'2 过程管理表单'!BE5-'2 过程管理表单'!BE8-'2 过程管理表单'!BE27-'2 过程管理表单'!BE46-'2 过程管理表单'!BE71-'2 过程管理表单'!BE96-'2 过程管理表单'!BE115-'2 过程管理表单'!BE140-'2 过程管理表单'!BE159</f>
        <v>27333.333333333</v>
      </c>
    </row>
    <row r="5" spans="1:14">
      <c r="A5" s="6" t="s">
        <v>214</v>
      </c>
      <c r="B5" s="17" t="s">
        <v>4218</v>
      </c>
      <c r="C5">
        <f t="shared" si="0"/>
        <v>27333.333333333</v>
      </c>
      <c r="D5">
        <f t="shared" ref="D5:N5" si="2">C5+D4</f>
        <v>54666.666666666</v>
      </c>
      <c r="E5">
        <f t="shared" si="2"/>
        <v>81999.999999999</v>
      </c>
      <c r="F5">
        <f t="shared" si="2"/>
        <v>109333.333333332</v>
      </c>
      <c r="G5">
        <f t="shared" si="2"/>
        <v>136666.666666665</v>
      </c>
      <c r="H5">
        <f t="shared" si="2"/>
        <v>163999.999999998</v>
      </c>
      <c r="I5">
        <f t="shared" si="2"/>
        <v>191333.333333331</v>
      </c>
      <c r="J5">
        <f t="shared" si="2"/>
        <v>218666.666666664</v>
      </c>
      <c r="K5">
        <f t="shared" si="2"/>
        <v>245999.999999997</v>
      </c>
      <c r="L5">
        <f t="shared" si="2"/>
        <v>273333.33333333</v>
      </c>
      <c r="M5">
        <f t="shared" si="2"/>
        <v>300666.666666663</v>
      </c>
      <c r="N5">
        <f t="shared" si="2"/>
        <v>327999.999999996</v>
      </c>
    </row>
    <row r="6" spans="1:14">
      <c r="A6" s="6" t="s">
        <v>9</v>
      </c>
      <c r="B6" s="18" t="s">
        <v>4219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4220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4221</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4222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4223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4225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4226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4227</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4228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4229</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4230</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4231</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4232</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4233</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4234</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4235</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4236</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4237</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4238</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4240</v>
      </c>
      <c r="B26" s="21" t="s">
        <v>4241</v>
      </c>
      <c r="C26">
        <f>'2 过程管理表单'!Z6</f>
        <v>25479.4520547945</v>
      </c>
      <c r="D26">
        <f>'2 过程管理表单'!AC6</f>
        <v>23013.698630137</v>
      </c>
      <c r="E26">
        <f>'2 过程管理表单'!AF6</f>
        <v>25479.4520547945</v>
      </c>
      <c r="F26">
        <f>'2 过程管理表单'!AI6</f>
        <v>24657.5342465754</v>
      </c>
      <c r="G26">
        <f>'2 过程管理表单'!AL6</f>
        <v>25479.4520547945</v>
      </c>
      <c r="H26">
        <f>'2 过程管理表单'!AO6</f>
        <v>24657.5342465754</v>
      </c>
      <c r="I26">
        <f>'2 过程管理表单'!AR6</f>
        <v>25479.4520547945</v>
      </c>
      <c r="J26">
        <f>'2 过程管理表单'!AU6</f>
        <v>0</v>
      </c>
      <c r="K26">
        <f>'2 过程管理表单'!AX6</f>
        <v>0</v>
      </c>
      <c r="L26">
        <f>'2 过程管理表单'!BA6</f>
        <v>0</v>
      </c>
      <c r="M26">
        <f>'2 过程管理表单'!BD6</f>
        <v>0</v>
      </c>
      <c r="N26">
        <f>'2 过程管理表单'!BG6</f>
        <v>0</v>
      </c>
    </row>
    <row r="27" spans="1:14">
      <c r="A27" s="20" t="s">
        <v>4240</v>
      </c>
      <c r="B27" s="21" t="s">
        <v>4242</v>
      </c>
      <c r="C27">
        <f t="shared" ref="C27:C31" si="11">C26</f>
        <v>25479.4520547945</v>
      </c>
      <c r="D27">
        <f>表3_36[[#This Row],[1月]]+D26</f>
        <v>48493.1506849315</v>
      </c>
      <c r="E27">
        <f>表3_36[[#This Row],[2月]]+E26</f>
        <v>73972.602739726</v>
      </c>
      <c r="F27">
        <f>表3_36[[#This Row],[3月]]+F26</f>
        <v>98630.1369863014</v>
      </c>
      <c r="G27">
        <f>表3_36[[#This Row],[4月]]+G26</f>
        <v>124109.589041096</v>
      </c>
      <c r="H27">
        <f>表3_36[[#This Row],[5月]]+H26</f>
        <v>148767.123287671</v>
      </c>
      <c r="I27">
        <f>表3_36[[#This Row],[6月]]+I26</f>
        <v>174246.575342466</v>
      </c>
      <c r="J27">
        <f>表3_36[[#This Row],[7月]]+J26</f>
        <v>174246.575342466</v>
      </c>
      <c r="K27">
        <f>表3_36[[#This Row],[8月]]+K26</f>
        <v>174246.575342466</v>
      </c>
      <c r="L27">
        <f>表3_36[[#This Row],[9月]]+L26</f>
        <v>174246.575342466</v>
      </c>
      <c r="M27">
        <f>表3_36[[#This Row],[10月]]+M26</f>
        <v>174246.575342466</v>
      </c>
      <c r="N27">
        <f>表3_36[[#This Row],[11月]]+N26</f>
        <v>174246.575342466</v>
      </c>
    </row>
    <row r="28" spans="1:14">
      <c r="A28" s="20" t="s">
        <v>4240</v>
      </c>
      <c r="B28" s="21" t="s">
        <v>4243</v>
      </c>
      <c r="C28">
        <f>'2 过程管理表单'!X6</f>
        <v>126125.513333333</v>
      </c>
      <c r="D28">
        <f>'2 过程管理表单'!AA6</f>
        <v>121960.793333333</v>
      </c>
      <c r="E28">
        <f>'2 过程管理表单'!AD6</f>
        <v>121960.793333333</v>
      </c>
      <c r="F28">
        <f>'2 过程管理表单'!AG6</f>
        <v>121960.793333333</v>
      </c>
      <c r="G28">
        <f>'2 过程管理表单'!AJ6</f>
        <v>121960.793333333</v>
      </c>
      <c r="H28">
        <f>'2 过程管理表单'!AM6</f>
        <v>121960.793333333</v>
      </c>
      <c r="I28">
        <f>'2 过程管理表单'!AP6</f>
        <v>121960.793333333</v>
      </c>
      <c r="J28">
        <f>'2 过程管理表单'!AS6</f>
        <v>121960.793333333</v>
      </c>
      <c r="K28">
        <f>'2 过程管理表单'!AV6</f>
        <v>121960.793333333</v>
      </c>
      <c r="L28">
        <f>'2 过程管理表单'!AY6</f>
        <v>121960.793333333</v>
      </c>
      <c r="M28">
        <f>'2 过程管理表单'!BB6</f>
        <v>121960.793333333</v>
      </c>
      <c r="N28">
        <f>'2 过程管理表单'!BE6</f>
        <v>154987.493333333</v>
      </c>
    </row>
    <row r="29" spans="1:14">
      <c r="A29" s="20" t="s">
        <v>4240</v>
      </c>
      <c r="B29" s="21" t="s">
        <v>4244</v>
      </c>
      <c r="C29">
        <f t="shared" si="11"/>
        <v>126125.513333333</v>
      </c>
      <c r="D29">
        <f>表3_36[[#This Row],[1月]]+D28</f>
        <v>248086.306666666</v>
      </c>
      <c r="E29">
        <f>表3_36[[#This Row],[2月]]+E28</f>
        <v>370047.099999999</v>
      </c>
      <c r="F29">
        <f>表3_36[[#This Row],[3月]]+F28</f>
        <v>492007.893333332</v>
      </c>
      <c r="G29">
        <f>表3_36[[#This Row],[4月]]+G28</f>
        <v>613968.686666665</v>
      </c>
      <c r="H29">
        <f>表3_36[[#This Row],[5月]]+H28</f>
        <v>735929.479999998</v>
      </c>
      <c r="I29">
        <f>表3_36[[#This Row],[6月]]+I28</f>
        <v>857890.273333331</v>
      </c>
      <c r="J29">
        <f>表3_36[[#This Row],[7月]]+J28</f>
        <v>979851.066666664</v>
      </c>
      <c r="K29">
        <f>表3_36[[#This Row],[8月]]+K28</f>
        <v>1101811.86</v>
      </c>
      <c r="L29">
        <f>表3_36[[#This Row],[9月]]+L28</f>
        <v>1223772.65333333</v>
      </c>
      <c r="M29">
        <f>表3_36[[#This Row],[10月]]+M28</f>
        <v>1345733.44666666</v>
      </c>
      <c r="N29">
        <f>表3_36[[#This Row],[11月]]+N28</f>
        <v>1500720.94</v>
      </c>
    </row>
    <row r="30" spans="1:14">
      <c r="A30" s="20" t="s">
        <v>4245</v>
      </c>
      <c r="B30" s="21" t="s">
        <v>4241</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4245</v>
      </c>
      <c r="B31" s="21" t="s">
        <v>4242</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4245</v>
      </c>
      <c r="B32" s="21" t="s">
        <v>4243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4245</v>
      </c>
      <c r="B33" s="21" t="s">
        <v>4244</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4246</v>
      </c>
      <c r="B34" s="21" t="s">
        <v>4241</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4246</v>
      </c>
      <c r="B35" s="21" t="s">
        <v>4242</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4246</v>
      </c>
      <c r="B36" s="21" t="s">
        <v>4243</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4246</v>
      </c>
      <c r="B37" s="21" t="s">
        <v>4244</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4247</v>
      </c>
      <c r="B38" s="17" t="s">
        <v>4248</v>
      </c>
      <c r="C38">
        <f t="shared" ref="C38:N38" si="16">C5+C9+C13+C17+C21+C25</f>
        <v>27333.333333333</v>
      </c>
      <c r="D38">
        <f t="shared" si="16"/>
        <v>54666.666666666</v>
      </c>
      <c r="E38">
        <f t="shared" si="16"/>
        <v>81999.999999999</v>
      </c>
      <c r="F38">
        <f t="shared" si="16"/>
        <v>109333.333333332</v>
      </c>
      <c r="G38">
        <f t="shared" si="16"/>
        <v>136666.666666665</v>
      </c>
      <c r="H38">
        <f t="shared" si="16"/>
        <v>163999.999999998</v>
      </c>
      <c r="I38">
        <f t="shared" si="16"/>
        <v>191333.333333331</v>
      </c>
      <c r="J38">
        <f t="shared" si="16"/>
        <v>218666.666666664</v>
      </c>
      <c r="K38">
        <f t="shared" si="16"/>
        <v>245999.999999997</v>
      </c>
      <c r="L38">
        <f t="shared" si="16"/>
        <v>273333.33333333</v>
      </c>
      <c r="M38">
        <f t="shared" si="16"/>
        <v>300666.666666663</v>
      </c>
      <c r="N38">
        <f t="shared" si="16"/>
        <v>327999.999999996</v>
      </c>
    </row>
    <row r="39" spans="1:14">
      <c r="A39" s="23" t="s">
        <v>4247</v>
      </c>
      <c r="B39" s="17" t="s">
        <v>4249</v>
      </c>
      <c r="C39">
        <f t="shared" ref="C39:N39" si="17">C3+C7+C11+C15+C19+C23</f>
        <v>25479.4520547945</v>
      </c>
      <c r="D39">
        <f t="shared" si="17"/>
        <v>48493.1506849315</v>
      </c>
      <c r="E39">
        <f t="shared" si="17"/>
        <v>73972.602739726</v>
      </c>
      <c r="F39">
        <f t="shared" si="17"/>
        <v>98630.1369863014</v>
      </c>
      <c r="G39">
        <f t="shared" si="17"/>
        <v>124109.589041096</v>
      </c>
      <c r="H39">
        <f t="shared" si="17"/>
        <v>148767.123287671</v>
      </c>
      <c r="I39">
        <f t="shared" si="17"/>
        <v>174246.575342466</v>
      </c>
      <c r="J39">
        <f t="shared" si="17"/>
        <v>174246.575342466</v>
      </c>
      <c r="K39">
        <f t="shared" si="17"/>
        <v>174246.575342466</v>
      </c>
      <c r="L39">
        <f t="shared" si="17"/>
        <v>174246.575342466</v>
      </c>
      <c r="M39">
        <f t="shared" si="17"/>
        <v>174246.575342466</v>
      </c>
      <c r="N39">
        <f t="shared" si="17"/>
        <v>174246.575342466</v>
      </c>
    </row>
    <row r="40" customFormat="1"/>
    <row r="41" customFormat="1"/>
    <row r="42" spans="1:14">
      <c r="A42" s="12" t="s">
        <v>214</v>
      </c>
      <c r="B42" t="s">
        <v>4250</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4250</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4250</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4250</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4250</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4250</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4240</v>
      </c>
      <c r="B48" t="s">
        <v>4250</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4245</v>
      </c>
      <c r="B49" t="s">
        <v>4250</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4246</v>
      </c>
      <c r="B50" t="s">
        <v>4250</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4251</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topLeftCell="A4" workbookViewId="0">
      <selection activeCell="I22" sqref="I22"/>
    </sheetView>
  </sheetViews>
  <sheetFormatPr defaultColWidth="9" defaultRowHeight="14"/>
  <cols>
    <col min="1" max="1" width="25.3727272727273" customWidth="1"/>
    <col min="2" max="2" width="19.3727272727273" customWidth="1"/>
    <col min="3" max="14" width="12.8181818181818"/>
  </cols>
  <sheetData>
    <row r="1" customFormat="1" spans="1:14">
      <c r="A1" t="s">
        <v>4252</v>
      </c>
      <c r="C1" t="s">
        <v>766</v>
      </c>
      <c r="D1" t="s">
        <v>767</v>
      </c>
      <c r="E1" t="s">
        <v>768</v>
      </c>
      <c r="F1" t="s">
        <v>769</v>
      </c>
      <c r="G1" t="s">
        <v>770</v>
      </c>
      <c r="H1" t="s">
        <v>771</v>
      </c>
      <c r="I1" t="s">
        <v>772</v>
      </c>
      <c r="J1" t="s">
        <v>773</v>
      </c>
      <c r="K1" t="s">
        <v>774</v>
      </c>
      <c r="L1" t="s">
        <v>775</v>
      </c>
      <c r="M1" t="s">
        <v>776</v>
      </c>
      <c r="N1" t="s">
        <v>777</v>
      </c>
    </row>
    <row r="2" spans="1:14">
      <c r="A2" t="s">
        <v>4253</v>
      </c>
      <c r="B2" t="s">
        <v>4241</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4253</v>
      </c>
      <c r="B3" t="s">
        <v>4242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4253</v>
      </c>
      <c r="B4" t="s">
        <v>4243</v>
      </c>
      <c r="C4" cm="1">
        <f t="array" ref="C4">INDEX('2 过程管理表单'!$8:$8,24+(COLUMN(A1)-1)*3)</f>
        <v>38249.22</v>
      </c>
      <c r="D4" cm="1">
        <f t="array" ref="D4">INDEX('2 过程管理表单'!$8:$8,24+(COLUMN(B1)-1)*3)</f>
        <v>36464.34</v>
      </c>
      <c r="E4" cm="1">
        <f t="array" ref="E4">INDEX('2 过程管理表单'!$8:$8,24+(COLUMN(C1)-1)*3)</f>
        <v>36464.34</v>
      </c>
      <c r="F4" cm="1">
        <f t="array" ref="F4">INDEX('2 过程管理表单'!$8:$8,24+(COLUMN(D1)-1)*3)</f>
        <v>36464.34</v>
      </c>
      <c r="G4" cm="1">
        <f t="array" ref="G4">INDEX('2 过程管理表单'!$8:$8,24+(COLUMN(E1)-1)*3)</f>
        <v>36464.34</v>
      </c>
      <c r="H4" cm="1">
        <f t="array" ref="H4">INDEX('2 过程管理表单'!$8:$8,24+(COLUMN(F1)-1)*3)</f>
        <v>36464.34</v>
      </c>
      <c r="I4" cm="1">
        <f t="array" ref="I4">INDEX('2 过程管理表单'!$8:$8,24+(COLUMN(G1)-1)*3)</f>
        <v>36464.34</v>
      </c>
      <c r="J4" cm="1">
        <f t="array" ref="J4">INDEX('2 过程管理表单'!$8:$8,24+(COLUMN(H1)-1)*3)</f>
        <v>36464.34</v>
      </c>
      <c r="K4" cm="1">
        <f t="array" ref="K4">INDEX('2 过程管理表单'!$8:$8,24+(COLUMN(I1)-1)*3)</f>
        <v>36464.34</v>
      </c>
      <c r="L4" cm="1">
        <f t="array" ref="L4">INDEX('2 过程管理表单'!$8:$8,24+(COLUMN(J1)-1)*3)</f>
        <v>36464.34</v>
      </c>
      <c r="M4" cm="1">
        <f t="array" ref="M4">INDEX('2 过程管理表单'!$8:$8,24+(COLUMN(K1)-1)*3)</f>
        <v>36464.34</v>
      </c>
      <c r="N4" cm="1">
        <f t="array" ref="N4">INDEX('2 过程管理表单'!$8:$8,24+(COLUMN(L1)-1)*3)</f>
        <v>42590.94</v>
      </c>
    </row>
    <row r="5" spans="1:14">
      <c r="A5" t="s">
        <v>4253</v>
      </c>
      <c r="B5" t="s">
        <v>4244</v>
      </c>
      <c r="C5">
        <f t="shared" si="0"/>
        <v>38249.22</v>
      </c>
      <c r="D5">
        <f t="shared" ref="D5:N5" si="2">C5+D4</f>
        <v>74713.56</v>
      </c>
      <c r="E5">
        <f t="shared" si="2"/>
        <v>111177.9</v>
      </c>
      <c r="F5">
        <f t="shared" si="2"/>
        <v>147642.24</v>
      </c>
      <c r="G5">
        <f t="shared" si="2"/>
        <v>184106.58</v>
      </c>
      <c r="H5">
        <f t="shared" si="2"/>
        <v>220570.92</v>
      </c>
      <c r="I5">
        <f t="shared" si="2"/>
        <v>257035.26</v>
      </c>
      <c r="J5">
        <f t="shared" si="2"/>
        <v>293499.6</v>
      </c>
      <c r="K5">
        <f t="shared" si="2"/>
        <v>329963.94</v>
      </c>
      <c r="L5">
        <f t="shared" si="2"/>
        <v>366428.28</v>
      </c>
      <c r="M5">
        <f t="shared" si="2"/>
        <v>402892.62</v>
      </c>
      <c r="N5">
        <f t="shared" si="2"/>
        <v>445483.56</v>
      </c>
    </row>
    <row r="6" spans="1:14">
      <c r="A6" t="s">
        <v>4254</v>
      </c>
      <c r="B6" t="s">
        <v>4241</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4254</v>
      </c>
      <c r="B7" t="s">
        <v>4242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4254</v>
      </c>
      <c r="B8" t="s">
        <v>4243</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4254</v>
      </c>
      <c r="B9" t="s">
        <v>4244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4255</v>
      </c>
      <c r="B10" t="s">
        <v>4241</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4255</v>
      </c>
      <c r="B11" t="s">
        <v>4242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4255</v>
      </c>
      <c r="B12" t="s">
        <v>4243</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4255</v>
      </c>
      <c r="B13" t="s">
        <v>4244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4256</v>
      </c>
      <c r="B14" t="s">
        <v>4241</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4256</v>
      </c>
      <c r="B15" t="s">
        <v>4242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4256</v>
      </c>
      <c r="B16" t="s">
        <v>4243</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4256</v>
      </c>
      <c r="B17" t="s">
        <v>4244</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4257</v>
      </c>
      <c r="B18" t="s">
        <v>4241</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4257</v>
      </c>
      <c r="B19" t="s">
        <v>4242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4257</v>
      </c>
      <c r="B20" t="s">
        <v>4243</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4257</v>
      </c>
      <c r="B21" t="s">
        <v>4244</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4258</v>
      </c>
      <c r="B22" t="s">
        <v>4241</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4258</v>
      </c>
      <c r="B23" t="s">
        <v>4242</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4258</v>
      </c>
      <c r="B24" t="s">
        <v>4243</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4258</v>
      </c>
      <c r="B25" t="s">
        <v>4244</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4259</v>
      </c>
      <c r="B26" t="s">
        <v>4241</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4259</v>
      </c>
      <c r="B27" t="s">
        <v>4242</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4259</v>
      </c>
      <c r="B28" t="s">
        <v>4243</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4259</v>
      </c>
      <c r="B29" t="s">
        <v>4244</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4260</v>
      </c>
      <c r="B30" t="s">
        <v>4241</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4260</v>
      </c>
      <c r="B31" t="s">
        <v>4242</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4260</v>
      </c>
      <c r="B32" t="s">
        <v>4243</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4260</v>
      </c>
      <c r="B33" t="s">
        <v>4244</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4261</v>
      </c>
      <c r="B34" t="s">
        <v>4241</v>
      </c>
      <c r="C34" cm="1">
        <f t="array" ref="C34">INDEX('2 过程管理表单'!$58:$58,26+(COLUMN(A1)-1)*3)</f>
        <v>20383.5616438356</v>
      </c>
      <c r="D34" cm="1">
        <f t="array" ref="D34">INDEX('2 过程管理表单'!$58:$58,26+(COLUMN(B1)-1)*3)</f>
        <v>18410.9589041096</v>
      </c>
      <c r="E34" cm="1">
        <f t="array" ref="E34">INDEX('2 过程管理表单'!$58:$58,26+(COLUMN(C1)-1)*3)</f>
        <v>20383.5616438356</v>
      </c>
      <c r="F34" cm="1">
        <f t="array" ref="F34">INDEX('2 过程管理表单'!$58:$58,26+(COLUMN(D1)-1)*3)</f>
        <v>19726.0273972603</v>
      </c>
      <c r="G34" cm="1">
        <f t="array" ref="G34">INDEX('2 过程管理表单'!$58:$58,26+(COLUMN(E1)-1)*3)</f>
        <v>20383.5616438356</v>
      </c>
      <c r="H34" cm="1">
        <f t="array" ref="H34">INDEX('2 过程管理表单'!$58:$58,26+(COLUMN(F1)-1)*3)</f>
        <v>19726.0273972603</v>
      </c>
      <c r="I34" cm="1">
        <f t="array" ref="I34">INDEX('2 过程管理表单'!$58:$58,26+(COLUMN(G1)-1)*3)</f>
        <v>20383.5616438356</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4261</v>
      </c>
      <c r="B35" t="s">
        <v>4242</v>
      </c>
      <c r="C35">
        <f t="shared" si="20"/>
        <v>20383.5616438356</v>
      </c>
      <c r="D35">
        <f t="shared" ref="D35:N35" si="22">C35+D34</f>
        <v>38794.5205479452</v>
      </c>
      <c r="E35">
        <f t="shared" si="22"/>
        <v>59178.0821917808</v>
      </c>
      <c r="F35">
        <f t="shared" si="22"/>
        <v>78904.1095890411</v>
      </c>
      <c r="G35">
        <f t="shared" si="22"/>
        <v>99287.6712328767</v>
      </c>
      <c r="H35">
        <f t="shared" si="22"/>
        <v>119013.698630137</v>
      </c>
      <c r="I35">
        <f t="shared" si="22"/>
        <v>139397.260273973</v>
      </c>
      <c r="J35">
        <f t="shared" si="22"/>
        <v>139397.260273973</v>
      </c>
      <c r="K35">
        <f t="shared" si="22"/>
        <v>139397.260273973</v>
      </c>
      <c r="L35">
        <f t="shared" si="22"/>
        <v>139397.260273973</v>
      </c>
      <c r="M35">
        <f t="shared" si="22"/>
        <v>139397.260273973</v>
      </c>
      <c r="N35">
        <f t="shared" si="22"/>
        <v>139397.260273973</v>
      </c>
    </row>
    <row r="36" spans="1:14">
      <c r="A36" t="s">
        <v>4261</v>
      </c>
      <c r="B36" t="s">
        <v>4243</v>
      </c>
      <c r="C36" cm="1">
        <f t="array" ref="C36">INDEX('2 过程管理表单'!$58:$58,24+(COLUMN(A1)-1)*3)</f>
        <v>18867.9245283019</v>
      </c>
      <c r="D36" cm="1">
        <f t="array" ref="D36">INDEX('2 过程管理表单'!$58:$58,24+(COLUMN(B1)-1)*3)</f>
        <v>18867.9245283019</v>
      </c>
      <c r="E36" cm="1">
        <f t="array" ref="E36">INDEX('2 过程管理表单'!$58:$58,24+(COLUMN(C1)-1)*3)</f>
        <v>18867.9245283019</v>
      </c>
      <c r="F36" cm="1">
        <f t="array" ref="F36">INDEX('2 过程管理表单'!$58:$58,24+(COLUMN(D1)-1)*3)</f>
        <v>18867.9245283019</v>
      </c>
      <c r="G36" cm="1">
        <f t="array" ref="G36">INDEX('2 过程管理表单'!$58:$58,24+(COLUMN(E1)-1)*3)</f>
        <v>18867.9245283019</v>
      </c>
      <c r="H36" cm="1">
        <f t="array" ref="H36">INDEX('2 过程管理表单'!$58:$58,24+(COLUMN(F1)-1)*3)</f>
        <v>18867.9245283019</v>
      </c>
      <c r="I36" cm="1">
        <f t="array" ref="I36">INDEX('2 过程管理表单'!$58:$58,24+(COLUMN(G1)-1)*3)</f>
        <v>18867.9245283019</v>
      </c>
      <c r="J36" cm="1">
        <f t="array" ref="J36">INDEX('2 过程管理表单'!$58:$58,24+(COLUMN(H1)-1)*3)</f>
        <v>18867.9245283019</v>
      </c>
      <c r="K36" cm="1">
        <f t="array" ref="K36">INDEX('2 过程管理表单'!$58:$58,24+(COLUMN(I1)-1)*3)</f>
        <v>18867.9245283019</v>
      </c>
      <c r="L36" cm="1">
        <f t="array" ref="L36">INDEX('2 过程管理表单'!$58:$58,24+(COLUMN(J1)-1)*3)</f>
        <v>18867.9245283019</v>
      </c>
      <c r="M36" cm="1">
        <f t="array" ref="M36">INDEX('2 过程管理表单'!$58:$58,24+(COLUMN(K1)-1)*3)</f>
        <v>18867.9245283019</v>
      </c>
      <c r="N36" cm="1">
        <f t="array" ref="N36">INDEX('2 过程管理表单'!$58:$58,24+(COLUMN(L1)-1)*3)</f>
        <v>18867.9245283019</v>
      </c>
    </row>
    <row r="37" spans="1:14">
      <c r="A37" t="s">
        <v>4261</v>
      </c>
      <c r="B37" t="s">
        <v>4244</v>
      </c>
      <c r="C37">
        <f t="shared" si="20"/>
        <v>18867.9245283019</v>
      </c>
      <c r="D37">
        <f t="shared" ref="D37:N37" si="23">C37+D36</f>
        <v>37735.8490566038</v>
      </c>
      <c r="E37">
        <f t="shared" si="23"/>
        <v>56603.7735849057</v>
      </c>
      <c r="F37">
        <f t="shared" si="23"/>
        <v>75471.6981132076</v>
      </c>
      <c r="G37">
        <f t="shared" si="23"/>
        <v>94339.6226415095</v>
      </c>
      <c r="H37">
        <f t="shared" si="23"/>
        <v>113207.547169811</v>
      </c>
      <c r="I37">
        <f t="shared" si="23"/>
        <v>132075.471698113</v>
      </c>
      <c r="J37">
        <f t="shared" si="23"/>
        <v>150943.396226415</v>
      </c>
      <c r="K37">
        <f t="shared" si="23"/>
        <v>169811.320754717</v>
      </c>
      <c r="L37">
        <f t="shared" si="23"/>
        <v>188679.245283019</v>
      </c>
      <c r="M37">
        <f t="shared" si="23"/>
        <v>207547.169811321</v>
      </c>
      <c r="N37">
        <f t="shared" si="23"/>
        <v>226415.094339623</v>
      </c>
    </row>
    <row r="38" spans="1:14">
      <c r="A38" t="s">
        <v>4262</v>
      </c>
      <c r="B38" t="s">
        <v>4241</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4262</v>
      </c>
      <c r="B39" t="s">
        <v>4242</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4262</v>
      </c>
      <c r="B40" t="s">
        <v>4243</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4262</v>
      </c>
      <c r="B41" t="s">
        <v>4244</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4263</v>
      </c>
      <c r="B42" t="s">
        <v>4241</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4263</v>
      </c>
      <c r="B43" t="s">
        <v>4242</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4263</v>
      </c>
      <c r="B44" t="s">
        <v>4243</v>
      </c>
      <c r="C44" cm="1">
        <f t="array" ref="C44">INDEX('2 过程管理表单'!$71:$71,24+(COLUMN(A1)-1)*3)</f>
        <v>6191.54</v>
      </c>
      <c r="D44" cm="1">
        <f t="array" ref="D44">INDEX('2 过程管理表单'!$71:$71,24+(COLUMN(B1)-1)*3)</f>
        <v>5894.06</v>
      </c>
      <c r="E44" cm="1">
        <f t="array" ref="E44">INDEX('2 过程管理表单'!$71:$71,24+(COLUMN(C1)-1)*3)</f>
        <v>5894.06</v>
      </c>
      <c r="F44" cm="1">
        <f t="array" ref="F44">INDEX('2 过程管理表单'!$71:$71,24+(COLUMN(D1)-1)*3)</f>
        <v>5894.06</v>
      </c>
      <c r="G44" cm="1">
        <f t="array" ref="G44">INDEX('2 过程管理表单'!$71:$71,24+(COLUMN(E1)-1)*3)</f>
        <v>5894.06</v>
      </c>
      <c r="H44" cm="1">
        <f t="array" ref="H44">INDEX('2 过程管理表单'!$71:$71,24+(COLUMN(F1)-1)*3)</f>
        <v>5894.06</v>
      </c>
      <c r="I44" cm="1">
        <f t="array" ref="I44">INDEX('2 过程管理表单'!$71:$71,24+(COLUMN(G1)-1)*3)</f>
        <v>5894.06</v>
      </c>
      <c r="J44" cm="1">
        <f t="array" ref="J44">INDEX('2 过程管理表单'!$71:$71,24+(COLUMN(H1)-1)*3)</f>
        <v>5894.06</v>
      </c>
      <c r="K44" cm="1">
        <f t="array" ref="K44">INDEX('2 过程管理表单'!$71:$71,24+(COLUMN(I1)-1)*3)</f>
        <v>5894.06</v>
      </c>
      <c r="L44" cm="1">
        <f t="array" ref="L44">INDEX('2 过程管理表单'!$71:$71,24+(COLUMN(J1)-1)*3)</f>
        <v>5894.06</v>
      </c>
      <c r="M44" cm="1">
        <f t="array" ref="M44">INDEX('2 过程管理表单'!$71:$71,24+(COLUMN(K1)-1)*3)</f>
        <v>5894.06</v>
      </c>
      <c r="N44" cm="1">
        <f t="array" ref="N44">INDEX('2 过程管理表单'!$71:$71,24+(COLUMN(L1)-1)*3)</f>
        <v>6915.16</v>
      </c>
    </row>
    <row r="45" spans="1:14">
      <c r="A45" t="s">
        <v>4263</v>
      </c>
      <c r="B45" t="s">
        <v>4244</v>
      </c>
      <c r="C45">
        <f t="shared" ref="C45:C49" si="28">C44</f>
        <v>6191.54</v>
      </c>
      <c r="D45">
        <f t="shared" ref="D45:N45" si="29">C45+D44</f>
        <v>12085.6</v>
      </c>
      <c r="E45">
        <f t="shared" si="29"/>
        <v>17979.66</v>
      </c>
      <c r="F45">
        <f t="shared" si="29"/>
        <v>23873.72</v>
      </c>
      <c r="G45">
        <f t="shared" si="29"/>
        <v>29767.78</v>
      </c>
      <c r="H45">
        <f t="shared" si="29"/>
        <v>35661.84</v>
      </c>
      <c r="I45">
        <f t="shared" si="29"/>
        <v>41555.9</v>
      </c>
      <c r="J45">
        <f t="shared" si="29"/>
        <v>47449.96</v>
      </c>
      <c r="K45">
        <f t="shared" si="29"/>
        <v>53344.02</v>
      </c>
      <c r="L45">
        <f t="shared" si="29"/>
        <v>59238.08</v>
      </c>
      <c r="M45">
        <f t="shared" si="29"/>
        <v>65132.14</v>
      </c>
      <c r="N45">
        <f t="shared" si="29"/>
        <v>72047.3</v>
      </c>
    </row>
    <row r="46" spans="1:14">
      <c r="A46" t="s">
        <v>4264</v>
      </c>
      <c r="B46" t="s">
        <v>4241</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4264</v>
      </c>
      <c r="B47" t="s">
        <v>4242</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4264</v>
      </c>
      <c r="B48" t="s">
        <v>4243</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4264</v>
      </c>
      <c r="B49" t="s">
        <v>4244</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4265</v>
      </c>
      <c r="B50" t="s">
        <v>4241</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4265</v>
      </c>
      <c r="B51" t="s">
        <v>4242</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4265</v>
      </c>
      <c r="B52" t="s">
        <v>4243</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4265</v>
      </c>
      <c r="B53" t="s">
        <v>4244</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4266</v>
      </c>
      <c r="B54" t="s">
        <v>4241</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4266</v>
      </c>
      <c r="B55" t="s">
        <v>4242</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4266</v>
      </c>
      <c r="B56" t="s">
        <v>4243</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4266</v>
      </c>
      <c r="B57" t="s">
        <v>4244</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4267</v>
      </c>
      <c r="B58" t="s">
        <v>4241</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4267</v>
      </c>
      <c r="B59" t="s">
        <v>4242</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4267</v>
      </c>
      <c r="B60" t="s">
        <v>4243</v>
      </c>
      <c r="C60" cm="1">
        <f t="array" ref="C60">INDEX('2 过程管理表单'!$96:$96,24+(COLUMN(A1)-1)*3)</f>
        <v>11937.24</v>
      </c>
      <c r="D60" cm="1">
        <f t="array" ref="D60">INDEX('2 过程管理表单'!$96:$96,24+(COLUMN(B1)-1)*3)</f>
        <v>11639.76</v>
      </c>
      <c r="E60" cm="1">
        <f t="array" ref="E60">INDEX('2 过程管理表单'!$96:$96,24+(COLUMN(C1)-1)*3)</f>
        <v>11639.76</v>
      </c>
      <c r="F60" cm="1">
        <f t="array" ref="F60">INDEX('2 过程管理表单'!$96:$96,24+(COLUMN(D1)-1)*3)</f>
        <v>11639.76</v>
      </c>
      <c r="G60" cm="1">
        <f t="array" ref="G60">INDEX('2 过程管理表单'!$96:$96,24+(COLUMN(E1)-1)*3)</f>
        <v>11639.76</v>
      </c>
      <c r="H60" cm="1">
        <f t="array" ref="H60">INDEX('2 过程管理表单'!$96:$96,24+(COLUMN(F1)-1)*3)</f>
        <v>11639.76</v>
      </c>
      <c r="I60" cm="1">
        <f t="array" ref="I60">INDEX('2 过程管理表单'!$96:$96,24+(COLUMN(G1)-1)*3)</f>
        <v>11639.76</v>
      </c>
      <c r="J60" cm="1">
        <f t="array" ref="J60">INDEX('2 过程管理表单'!$96:$96,24+(COLUMN(H1)-1)*3)</f>
        <v>11639.76</v>
      </c>
      <c r="K60" cm="1">
        <f t="array" ref="K60">INDEX('2 过程管理表单'!$96:$96,24+(COLUMN(I1)-1)*3)</f>
        <v>11639.76</v>
      </c>
      <c r="L60" cm="1">
        <f t="array" ref="L60">INDEX('2 过程管理表单'!$96:$96,24+(COLUMN(J1)-1)*3)</f>
        <v>11639.76</v>
      </c>
      <c r="M60" cm="1">
        <f t="array" ref="M60">INDEX('2 过程管理表单'!$96:$96,24+(COLUMN(K1)-1)*3)</f>
        <v>11639.76</v>
      </c>
      <c r="N60" cm="1">
        <f t="array" ref="N60">INDEX('2 过程管理表单'!$96:$96,24+(COLUMN(L1)-1)*3)</f>
        <v>31392.16</v>
      </c>
    </row>
    <row r="61" spans="1:14">
      <c r="A61" t="s">
        <v>4267</v>
      </c>
      <c r="B61" t="s">
        <v>4244</v>
      </c>
      <c r="C61">
        <f t="shared" si="36"/>
        <v>11937.24</v>
      </c>
      <c r="D61">
        <f t="shared" ref="D61:N61" si="39">C61+D60</f>
        <v>23577</v>
      </c>
      <c r="E61">
        <f t="shared" si="39"/>
        <v>35216.76</v>
      </c>
      <c r="F61">
        <f t="shared" si="39"/>
        <v>46856.52</v>
      </c>
      <c r="G61">
        <f t="shared" si="39"/>
        <v>58496.28</v>
      </c>
      <c r="H61">
        <f t="shared" si="39"/>
        <v>70136.04</v>
      </c>
      <c r="I61">
        <f t="shared" si="39"/>
        <v>81775.8</v>
      </c>
      <c r="J61">
        <f t="shared" si="39"/>
        <v>93415.56</v>
      </c>
      <c r="K61">
        <f t="shared" si="39"/>
        <v>105055.32</v>
      </c>
      <c r="L61">
        <f t="shared" si="39"/>
        <v>116695.08</v>
      </c>
      <c r="M61">
        <f t="shared" si="39"/>
        <v>128334.84</v>
      </c>
      <c r="N61">
        <f t="shared" si="39"/>
        <v>159727</v>
      </c>
    </row>
    <row r="62" spans="1:14">
      <c r="A62" t="s">
        <v>4268</v>
      </c>
      <c r="B62" t="s">
        <v>4241</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4268</v>
      </c>
      <c r="B63" t="s">
        <v>4242</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4268</v>
      </c>
      <c r="B64" t="s">
        <v>4243</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4268</v>
      </c>
      <c r="B65" t="s">
        <v>4244</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4269</v>
      </c>
      <c r="B66" t="s">
        <v>4241</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4269</v>
      </c>
      <c r="B67" t="s">
        <v>4242</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4269</v>
      </c>
      <c r="B68" t="s">
        <v>4243</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4269</v>
      </c>
      <c r="B69" t="s">
        <v>4244</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4270</v>
      </c>
      <c r="B70" t="s">
        <v>4241</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4270</v>
      </c>
      <c r="B71" t="s">
        <v>4242</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4270</v>
      </c>
      <c r="B72" t="s">
        <v>4243</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4270</v>
      </c>
      <c r="B73" t="s">
        <v>4244</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4271</v>
      </c>
      <c r="B74" t="s">
        <v>4241</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4271</v>
      </c>
      <c r="B75" t="s">
        <v>4242</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4271</v>
      </c>
      <c r="B76" t="s">
        <v>4243</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4271</v>
      </c>
      <c r="B77" t="s">
        <v>4244</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4272</v>
      </c>
      <c r="B78" t="s">
        <v>4241</v>
      </c>
      <c r="C78" cm="1">
        <f t="array" ref="C78">INDEX('2 过程管理表单'!$127:$127,26+(COLUMN(A1)-1)*3)</f>
        <v>5095.8904109589</v>
      </c>
      <c r="D78" cm="1">
        <f t="array" ref="D78">INDEX('2 过程管理表单'!$127:$127,26+(COLUMN(B1)-1)*3)</f>
        <v>4602.7397260274</v>
      </c>
      <c r="E78" cm="1">
        <f t="array" ref="E78">INDEX('2 过程管理表单'!$127:$127,26+(COLUMN(C1)-1)*3)</f>
        <v>5095.8904109589</v>
      </c>
      <c r="F78" cm="1">
        <f t="array" ref="F78">INDEX('2 过程管理表单'!$127:$127,26+(COLUMN(D1)-1)*3)</f>
        <v>4931.50684931507</v>
      </c>
      <c r="G78" cm="1">
        <f t="array" ref="G78">INDEX('2 过程管理表单'!$127:$127,26+(COLUMN(E1)-1)*3)</f>
        <v>5095.8904109589</v>
      </c>
      <c r="H78" cm="1">
        <f t="array" ref="H78">INDEX('2 过程管理表单'!$127:$127,26+(COLUMN(F1)-1)*3)</f>
        <v>4931.50684931507</v>
      </c>
      <c r="I78" cm="1">
        <f t="array" ref="I78">INDEX('2 过程管理表单'!$127:$127,26+(COLUMN(G1)-1)*3)</f>
        <v>5095.8904109589</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4272</v>
      </c>
      <c r="B79" t="s">
        <v>4242</v>
      </c>
      <c r="C79">
        <f t="shared" si="48"/>
        <v>5095.8904109589</v>
      </c>
      <c r="D79">
        <f t="shared" ref="D79:N79" si="51">C79+D78</f>
        <v>9698.6301369863</v>
      </c>
      <c r="E79">
        <f t="shared" si="51"/>
        <v>14794.5205479452</v>
      </c>
      <c r="F79">
        <f t="shared" si="51"/>
        <v>19726.0273972603</v>
      </c>
      <c r="G79">
        <f t="shared" si="51"/>
        <v>24821.9178082192</v>
      </c>
      <c r="H79">
        <f t="shared" si="51"/>
        <v>29753.4246575342</v>
      </c>
      <c r="I79">
        <f t="shared" si="51"/>
        <v>34849.3150684931</v>
      </c>
      <c r="J79">
        <f t="shared" si="51"/>
        <v>34849.3150684931</v>
      </c>
      <c r="K79">
        <f t="shared" si="51"/>
        <v>34849.3150684931</v>
      </c>
      <c r="L79">
        <f t="shared" si="51"/>
        <v>34849.3150684931</v>
      </c>
      <c r="M79">
        <f t="shared" si="51"/>
        <v>34849.3150684931</v>
      </c>
      <c r="N79">
        <f t="shared" si="51"/>
        <v>34849.3150684931</v>
      </c>
    </row>
    <row r="80" spans="1:14">
      <c r="A80" t="s">
        <v>4272</v>
      </c>
      <c r="B80" t="s">
        <v>4243</v>
      </c>
      <c r="C80" cm="1">
        <f t="array" ref="C80">INDEX('2 过程管理表单'!$127:$127,24+(COLUMN(A1)-1)*3)</f>
        <v>4716.98113207547</v>
      </c>
      <c r="D80" cm="1">
        <f t="array" ref="D80">INDEX('2 过程管理表单'!$127:$127,24+(COLUMN(B1)-1)*3)</f>
        <v>4716.98113207547</v>
      </c>
      <c r="E80" cm="1">
        <f t="array" ref="E80">INDEX('2 过程管理表单'!$127:$127,24+(COLUMN(C1)-1)*3)</f>
        <v>4716.98113207547</v>
      </c>
      <c r="F80" cm="1">
        <f t="array" ref="F80">INDEX('2 过程管理表单'!$127:$127,24+(COLUMN(D1)-1)*3)</f>
        <v>4716.98113207547</v>
      </c>
      <c r="G80" cm="1">
        <f t="array" ref="G80">INDEX('2 过程管理表单'!$127:$127,24+(COLUMN(E1)-1)*3)</f>
        <v>4716.98113207547</v>
      </c>
      <c r="H80" cm="1">
        <f t="array" ref="H80">INDEX('2 过程管理表单'!$127:$127,24+(COLUMN(F1)-1)*3)</f>
        <v>4716.98113207547</v>
      </c>
      <c r="I80" cm="1">
        <f t="array" ref="I80">INDEX('2 过程管理表单'!$127:$127,24+(COLUMN(G1)-1)*3)</f>
        <v>4716.98113207547</v>
      </c>
      <c r="J80" cm="1">
        <f t="array" ref="J80">INDEX('2 过程管理表单'!$127:$127,24+(COLUMN(H1)-1)*3)</f>
        <v>4716.98113207547</v>
      </c>
      <c r="K80" cm="1">
        <f t="array" ref="K80">INDEX('2 过程管理表单'!$127:$127,24+(COLUMN(I1)-1)*3)</f>
        <v>4716.98113207547</v>
      </c>
      <c r="L80" cm="1">
        <f t="array" ref="L80">INDEX('2 过程管理表单'!$127:$127,24+(COLUMN(J1)-1)*3)</f>
        <v>4716.98113207547</v>
      </c>
      <c r="M80" cm="1">
        <f t="array" ref="M80">INDEX('2 过程管理表单'!$127:$127,24+(COLUMN(K1)-1)*3)</f>
        <v>4716.98113207547</v>
      </c>
      <c r="N80" cm="1">
        <f t="array" ref="N80">INDEX('2 过程管理表单'!$127:$127,24+(COLUMN(L1)-1)*3)</f>
        <v>4716.98113207547</v>
      </c>
    </row>
    <row r="81" spans="1:14">
      <c r="A81" t="s">
        <v>4272</v>
      </c>
      <c r="B81" t="s">
        <v>4244</v>
      </c>
      <c r="C81">
        <f t="shared" ref="C81:C85" si="52">C80</f>
        <v>4716.98113207547</v>
      </c>
      <c r="D81">
        <f t="shared" ref="D81:N81" si="53">C81+D80</f>
        <v>9433.96226415094</v>
      </c>
      <c r="E81">
        <f t="shared" si="53"/>
        <v>14150.9433962264</v>
      </c>
      <c r="F81">
        <f t="shared" si="53"/>
        <v>18867.9245283019</v>
      </c>
      <c r="G81">
        <f t="shared" si="53"/>
        <v>23584.9056603773</v>
      </c>
      <c r="H81">
        <f t="shared" si="53"/>
        <v>28301.8867924528</v>
      </c>
      <c r="I81">
        <f t="shared" si="53"/>
        <v>33018.8679245283</v>
      </c>
      <c r="J81">
        <f t="shared" si="53"/>
        <v>37735.8490566038</v>
      </c>
      <c r="K81">
        <f t="shared" si="53"/>
        <v>42452.8301886792</v>
      </c>
      <c r="L81">
        <f t="shared" si="53"/>
        <v>47169.8113207547</v>
      </c>
      <c r="M81">
        <f t="shared" si="53"/>
        <v>51886.7924528302</v>
      </c>
      <c r="N81">
        <f t="shared" si="53"/>
        <v>56603.7735849056</v>
      </c>
    </row>
    <row r="82" spans="1:14">
      <c r="A82" t="s">
        <v>4273</v>
      </c>
      <c r="B82" t="s">
        <v>4241</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4273</v>
      </c>
      <c r="B83" t="s">
        <v>4242</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4273</v>
      </c>
      <c r="B84" t="s">
        <v>4243</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4273</v>
      </c>
      <c r="B85" t="s">
        <v>4244</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4274</v>
      </c>
      <c r="B86" t="s">
        <v>4241</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4274</v>
      </c>
      <c r="B87" t="s">
        <v>4242</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4274</v>
      </c>
      <c r="B88" t="s">
        <v>4243</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4274</v>
      </c>
      <c r="B89" t="s">
        <v>4244</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4275</v>
      </c>
      <c r="B90" t="s">
        <v>4241</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4275</v>
      </c>
      <c r="B91" t="s">
        <v>4242</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4275</v>
      </c>
      <c r="B92" t="s">
        <v>4243</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4275</v>
      </c>
      <c r="B93" t="s">
        <v>4244</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4276</v>
      </c>
      <c r="B94" t="s">
        <v>4241</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4276</v>
      </c>
      <c r="B95" t="s">
        <v>4242</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4276</v>
      </c>
      <c r="B96" t="s">
        <v>4243</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4276</v>
      </c>
      <c r="B97" t="s">
        <v>4244</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4277</v>
      </c>
      <c r="B98" t="s">
        <v>4241</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4277</v>
      </c>
      <c r="B99" t="s">
        <v>4242</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4277</v>
      </c>
      <c r="B100" t="s">
        <v>4243</v>
      </c>
      <c r="C100" cm="1">
        <f t="array" ref="C100">INDEX('2 过程管理表单'!$159:$159,24+(COLUMN(A1)-1)*3)</f>
        <v>42414.18</v>
      </c>
      <c r="D100" cm="1">
        <f t="array" ref="D100">INDEX('2 过程管理表单'!$159:$159,24+(COLUMN(B1)-1)*3)</f>
        <v>40629.3</v>
      </c>
      <c r="E100" cm="1">
        <f t="array" ref="E100">INDEX('2 过程管理表单'!$159:$159,24+(COLUMN(C1)-1)*3)</f>
        <v>40629.3</v>
      </c>
      <c r="F100" cm="1">
        <f t="array" ref="F100">INDEX('2 过程管理表单'!$159:$159,24+(COLUMN(D1)-1)*3)</f>
        <v>40629.3</v>
      </c>
      <c r="G100" cm="1">
        <f t="array" ref="G100">INDEX('2 过程管理表单'!$159:$159,24+(COLUMN(E1)-1)*3)</f>
        <v>40629.3</v>
      </c>
      <c r="H100" cm="1">
        <f t="array" ref="H100">INDEX('2 过程管理表单'!$159:$159,24+(COLUMN(F1)-1)*3)</f>
        <v>40629.3</v>
      </c>
      <c r="I100" cm="1">
        <f t="array" ref="I100">INDEX('2 过程管理表单'!$159:$159,24+(COLUMN(G1)-1)*3)</f>
        <v>40629.3</v>
      </c>
      <c r="J100" cm="1">
        <f t="array" ref="J100">INDEX('2 过程管理表单'!$159:$159,24+(COLUMN(H1)-1)*3)</f>
        <v>40629.3</v>
      </c>
      <c r="K100" cm="1">
        <f t="array" ref="K100">INDEX('2 过程管理表单'!$159:$159,24+(COLUMN(I1)-1)*3)</f>
        <v>40629.3</v>
      </c>
      <c r="L100" cm="1">
        <f t="array" ref="L100">INDEX('2 过程管理表单'!$159:$159,24+(COLUMN(J1)-1)*3)</f>
        <v>40629.3</v>
      </c>
      <c r="M100" cm="1">
        <f t="array" ref="M100">INDEX('2 过程管理表单'!$159:$159,24+(COLUMN(K1)-1)*3)</f>
        <v>40629.3</v>
      </c>
      <c r="N100" cm="1">
        <f t="array" ref="N100">INDEX('2 过程管理表单'!$159:$159,24+(COLUMN(L1)-1)*3)</f>
        <v>46755.9</v>
      </c>
    </row>
    <row r="101" spans="1:14">
      <c r="A101" t="s">
        <v>4277</v>
      </c>
      <c r="B101" t="s">
        <v>4244</v>
      </c>
      <c r="C101">
        <f t="shared" si="64"/>
        <v>42414.18</v>
      </c>
      <c r="D101">
        <f t="shared" ref="D101:N101" si="66">C101+D100</f>
        <v>83043.48</v>
      </c>
      <c r="E101">
        <f t="shared" si="66"/>
        <v>123672.78</v>
      </c>
      <c r="F101">
        <f t="shared" si="66"/>
        <v>164302.08</v>
      </c>
      <c r="G101">
        <f t="shared" si="66"/>
        <v>204931.38</v>
      </c>
      <c r="H101">
        <f t="shared" si="66"/>
        <v>245560.68</v>
      </c>
      <c r="I101">
        <f t="shared" si="66"/>
        <v>286189.98</v>
      </c>
      <c r="J101">
        <f t="shared" si="66"/>
        <v>326819.28</v>
      </c>
      <c r="K101">
        <f t="shared" si="66"/>
        <v>367448.58</v>
      </c>
      <c r="L101">
        <f t="shared" si="66"/>
        <v>408077.88</v>
      </c>
      <c r="M101">
        <f t="shared" si="66"/>
        <v>448707.18</v>
      </c>
      <c r="N101">
        <f t="shared" si="66"/>
        <v>495463.08</v>
      </c>
    </row>
    <row r="102" spans="1:14">
      <c r="A102" t="s">
        <v>4278</v>
      </c>
      <c r="B102" t="s">
        <v>4241</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4278</v>
      </c>
      <c r="B103" t="s">
        <v>4242</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4278</v>
      </c>
      <c r="B104" t="s">
        <v>4243</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4278</v>
      </c>
      <c r="B105" t="s">
        <v>4244</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4279</v>
      </c>
      <c r="B106" t="s">
        <v>4241</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4279</v>
      </c>
      <c r="B107" t="s">
        <v>4242</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4279</v>
      </c>
      <c r="B108" t="s">
        <v>4243</v>
      </c>
      <c r="C108" cm="1">
        <f t="array" ref="C108">INDEX('2 过程管理表单'!$171:$171,24+(COLUMN(A1)-1)*3)</f>
        <v>3748.42767295594</v>
      </c>
      <c r="D108" cm="1">
        <f t="array" ref="D108">INDEX('2 过程管理表单'!$171:$171,24+(COLUMN(B1)-1)*3)</f>
        <v>3748.42767295594</v>
      </c>
      <c r="E108" cm="1">
        <f t="array" ref="E108">INDEX('2 过程管理表单'!$171:$171,24+(COLUMN(C1)-1)*3)</f>
        <v>3748.42767295594</v>
      </c>
      <c r="F108" cm="1">
        <f t="array" ref="F108">INDEX('2 过程管理表单'!$171:$171,24+(COLUMN(D1)-1)*3)</f>
        <v>3748.42767295594</v>
      </c>
      <c r="G108" cm="1">
        <f t="array" ref="G108">INDEX('2 过程管理表单'!$171:$171,24+(COLUMN(E1)-1)*3)</f>
        <v>3748.42767295594</v>
      </c>
      <c r="H108" cm="1">
        <f t="array" ref="H108">INDEX('2 过程管理表单'!$171:$171,24+(COLUMN(F1)-1)*3)</f>
        <v>3748.42767295594</v>
      </c>
      <c r="I108" cm="1">
        <f t="array" ref="I108">INDEX('2 过程管理表单'!$171:$171,24+(COLUMN(G1)-1)*3)</f>
        <v>3748.42767295594</v>
      </c>
      <c r="J108" cm="1">
        <f t="array" ref="J108">INDEX('2 过程管理表单'!$171:$171,24+(COLUMN(H1)-1)*3)</f>
        <v>3748.42767295594</v>
      </c>
      <c r="K108" cm="1">
        <f t="array" ref="K108">INDEX('2 过程管理表单'!$171:$171,24+(COLUMN(I1)-1)*3)</f>
        <v>3748.42767295594</v>
      </c>
      <c r="L108" cm="1">
        <f t="array" ref="L108">INDEX('2 过程管理表单'!$171:$171,24+(COLUMN(J1)-1)*3)</f>
        <v>3748.42767295594</v>
      </c>
      <c r="M108" cm="1">
        <f t="array" ref="M108">INDEX('2 过程管理表单'!$171:$171,24+(COLUMN(K1)-1)*3)</f>
        <v>3748.42767295594</v>
      </c>
      <c r="N108" cm="1">
        <f t="array" ref="N108">INDEX('2 过程管理表单'!$171:$171,24+(COLUMN(L1)-1)*3)</f>
        <v>3748.42767295594</v>
      </c>
    </row>
    <row r="109" spans="1:14">
      <c r="A109" t="s">
        <v>4279</v>
      </c>
      <c r="B109" t="s">
        <v>4244</v>
      </c>
      <c r="C109">
        <f t="shared" si="68"/>
        <v>3748.42767295594</v>
      </c>
      <c r="D109">
        <f t="shared" ref="D109:N109" si="71">C109+D108</f>
        <v>7496.85534591188</v>
      </c>
      <c r="E109">
        <f t="shared" si="71"/>
        <v>11245.2830188678</v>
      </c>
      <c r="F109">
        <f t="shared" si="71"/>
        <v>14993.7106918238</v>
      </c>
      <c r="G109">
        <f t="shared" si="71"/>
        <v>18742.1383647797</v>
      </c>
      <c r="H109">
        <f t="shared" si="71"/>
        <v>22490.5660377356</v>
      </c>
      <c r="I109">
        <f t="shared" si="71"/>
        <v>26238.9937106916</v>
      </c>
      <c r="J109">
        <f t="shared" si="71"/>
        <v>29987.4213836475</v>
      </c>
      <c r="K109">
        <f t="shared" si="71"/>
        <v>33735.8490566035</v>
      </c>
      <c r="L109">
        <f t="shared" si="71"/>
        <v>37484.2767295594</v>
      </c>
      <c r="M109">
        <f t="shared" si="71"/>
        <v>41232.7044025153</v>
      </c>
      <c r="N109">
        <f t="shared" si="71"/>
        <v>44981.1320754713</v>
      </c>
    </row>
    <row r="110" spans="1:14">
      <c r="A110" t="s">
        <v>4280</v>
      </c>
      <c r="B110" t="s">
        <v>4241</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4280</v>
      </c>
      <c r="B111" t="s">
        <v>4242</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4280</v>
      </c>
      <c r="B112" t="s">
        <v>4243</v>
      </c>
      <c r="C112">
        <f t="shared" ref="C112:N112" si="75">C4+C16+C28+C44+C60+C72+C88+C100</f>
        <v>98792.18</v>
      </c>
      <c r="D112">
        <f t="shared" si="75"/>
        <v>94627.46</v>
      </c>
      <c r="E112">
        <f t="shared" si="75"/>
        <v>94627.46</v>
      </c>
      <c r="F112">
        <f t="shared" si="75"/>
        <v>94627.46</v>
      </c>
      <c r="G112">
        <f t="shared" si="75"/>
        <v>94627.46</v>
      </c>
      <c r="H112">
        <f t="shared" si="75"/>
        <v>94627.46</v>
      </c>
      <c r="I112">
        <f t="shared" si="75"/>
        <v>94627.46</v>
      </c>
      <c r="J112">
        <f t="shared" si="75"/>
        <v>94627.46</v>
      </c>
      <c r="K112">
        <f t="shared" si="75"/>
        <v>94627.46</v>
      </c>
      <c r="L112">
        <f t="shared" si="75"/>
        <v>94627.46</v>
      </c>
      <c r="M112">
        <f t="shared" si="75"/>
        <v>94627.46</v>
      </c>
      <c r="N112">
        <f t="shared" si="75"/>
        <v>127654.16</v>
      </c>
    </row>
    <row r="113" spans="1:14">
      <c r="A113" t="s">
        <v>4280</v>
      </c>
      <c r="B113" t="s">
        <v>4244</v>
      </c>
      <c r="C113">
        <f t="shared" si="73"/>
        <v>98792.18</v>
      </c>
      <c r="D113">
        <f t="shared" ref="D113:N113" si="76">C113+D112</f>
        <v>193419.64</v>
      </c>
      <c r="E113">
        <f t="shared" si="76"/>
        <v>288047.1</v>
      </c>
      <c r="F113">
        <f t="shared" si="76"/>
        <v>382674.56</v>
      </c>
      <c r="G113">
        <f t="shared" si="76"/>
        <v>477302.02</v>
      </c>
      <c r="H113">
        <f t="shared" si="76"/>
        <v>571929.48</v>
      </c>
      <c r="I113">
        <f t="shared" si="76"/>
        <v>666556.94</v>
      </c>
      <c r="J113">
        <f t="shared" si="76"/>
        <v>761184.4</v>
      </c>
      <c r="K113">
        <f t="shared" si="76"/>
        <v>855811.86</v>
      </c>
      <c r="L113">
        <f t="shared" si="76"/>
        <v>950439.32</v>
      </c>
      <c r="M113">
        <f t="shared" si="76"/>
        <v>1045066.78</v>
      </c>
      <c r="N113">
        <f t="shared" si="76"/>
        <v>1172720.94</v>
      </c>
    </row>
    <row r="114" spans="1:14">
      <c r="A114" t="s">
        <v>4281</v>
      </c>
      <c r="B114" t="s">
        <v>4241</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4281</v>
      </c>
      <c r="B115" t="s">
        <v>4242</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4281</v>
      </c>
      <c r="B116" t="s">
        <v>4243</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4281</v>
      </c>
      <c r="B117" t="s">
        <v>4244</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4282</v>
      </c>
      <c r="B118" t="s">
        <v>4241</v>
      </c>
      <c r="C118">
        <f t="shared" ref="C118:N118" si="82">C10+C22+C34+C38+C50+C54+C66+C78+C82+C94+C106</f>
        <v>25479.4520547945</v>
      </c>
      <c r="D118">
        <f t="shared" si="82"/>
        <v>23013.698630137</v>
      </c>
      <c r="E118">
        <f t="shared" si="82"/>
        <v>25479.4520547945</v>
      </c>
      <c r="F118">
        <f t="shared" si="82"/>
        <v>24657.5342465754</v>
      </c>
      <c r="G118">
        <f t="shared" si="82"/>
        <v>25479.4520547945</v>
      </c>
      <c r="H118">
        <f t="shared" si="82"/>
        <v>24657.5342465754</v>
      </c>
      <c r="I118">
        <f t="shared" si="82"/>
        <v>25479.4520547945</v>
      </c>
      <c r="J118">
        <f t="shared" si="82"/>
        <v>0</v>
      </c>
      <c r="K118">
        <f t="shared" si="82"/>
        <v>0</v>
      </c>
      <c r="L118">
        <f t="shared" si="82"/>
        <v>0</v>
      </c>
      <c r="M118">
        <f t="shared" si="82"/>
        <v>0</v>
      </c>
      <c r="N118">
        <f t="shared" si="82"/>
        <v>0</v>
      </c>
    </row>
    <row r="119" spans="1:14">
      <c r="A119" t="s">
        <v>4282</v>
      </c>
      <c r="B119" t="s">
        <v>4242</v>
      </c>
      <c r="C119">
        <f t="shared" si="80"/>
        <v>25479.4520547945</v>
      </c>
      <c r="D119">
        <f t="shared" ref="D119:N119" si="83">C119+D118</f>
        <v>48493.1506849315</v>
      </c>
      <c r="E119">
        <f t="shared" si="83"/>
        <v>73972.602739726</v>
      </c>
      <c r="F119">
        <f t="shared" si="83"/>
        <v>98630.1369863014</v>
      </c>
      <c r="G119">
        <f t="shared" si="83"/>
        <v>124109.589041096</v>
      </c>
      <c r="H119">
        <f t="shared" si="83"/>
        <v>148767.123287671</v>
      </c>
      <c r="I119">
        <f t="shared" si="83"/>
        <v>174246.575342466</v>
      </c>
      <c r="J119">
        <f t="shared" si="83"/>
        <v>174246.575342466</v>
      </c>
      <c r="K119">
        <f t="shared" si="83"/>
        <v>174246.575342466</v>
      </c>
      <c r="L119">
        <f t="shared" si="83"/>
        <v>174246.575342466</v>
      </c>
      <c r="M119">
        <f t="shared" si="83"/>
        <v>174246.575342466</v>
      </c>
      <c r="N119">
        <f t="shared" si="83"/>
        <v>174246.575342466</v>
      </c>
    </row>
    <row r="120" spans="1:14">
      <c r="A120" t="s">
        <v>4282</v>
      </c>
      <c r="B120" t="s">
        <v>4243</v>
      </c>
      <c r="C120">
        <f t="shared" ref="C120:N120" si="84">C12+C24+C36+C40+C52+C56+C80+C84+C68+C96+C108</f>
        <v>27333.3333333333</v>
      </c>
      <c r="D120">
        <f t="shared" si="84"/>
        <v>27333.3333333333</v>
      </c>
      <c r="E120">
        <f t="shared" si="84"/>
        <v>27333.3333333333</v>
      </c>
      <c r="F120">
        <f t="shared" si="84"/>
        <v>27333.3333333333</v>
      </c>
      <c r="G120">
        <f t="shared" si="84"/>
        <v>27333.3333333333</v>
      </c>
      <c r="H120">
        <f t="shared" si="84"/>
        <v>27333.3333333333</v>
      </c>
      <c r="I120">
        <f t="shared" si="84"/>
        <v>27333.3333333333</v>
      </c>
      <c r="J120">
        <f t="shared" si="84"/>
        <v>27333.3333333333</v>
      </c>
      <c r="K120">
        <f t="shared" si="84"/>
        <v>27333.3333333333</v>
      </c>
      <c r="L120">
        <f t="shared" si="84"/>
        <v>27333.3333333333</v>
      </c>
      <c r="M120">
        <f t="shared" si="84"/>
        <v>27333.3333333333</v>
      </c>
      <c r="N120">
        <f t="shared" si="84"/>
        <v>27333.3333333333</v>
      </c>
    </row>
    <row r="121" spans="1:14">
      <c r="A121" t="s">
        <v>4282</v>
      </c>
      <c r="B121" t="s">
        <v>4244</v>
      </c>
      <c r="C121">
        <f t="shared" si="80"/>
        <v>27333.3333333333</v>
      </c>
      <c r="D121">
        <f t="shared" ref="D121:N121" si="85">C121+D120</f>
        <v>54666.6666666666</v>
      </c>
      <c r="E121">
        <f t="shared" si="85"/>
        <v>81999.9999999999</v>
      </c>
      <c r="F121">
        <f t="shared" si="85"/>
        <v>109333.333333333</v>
      </c>
      <c r="G121">
        <f t="shared" si="85"/>
        <v>136666.666666667</v>
      </c>
      <c r="H121">
        <f t="shared" si="85"/>
        <v>164000</v>
      </c>
      <c r="I121">
        <f t="shared" si="85"/>
        <v>191333.333333333</v>
      </c>
      <c r="J121">
        <f t="shared" si="85"/>
        <v>218666.666666666</v>
      </c>
      <c r="K121">
        <f t="shared" si="85"/>
        <v>246000</v>
      </c>
      <c r="L121">
        <f t="shared" si="85"/>
        <v>273333.333333333</v>
      </c>
      <c r="M121">
        <f t="shared" si="85"/>
        <v>300666.666666666</v>
      </c>
      <c r="N121">
        <f t="shared" si="85"/>
        <v>328000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4"/>
  <cols>
    <col min="1" max="1" width="15.8727272727273" customWidth="1"/>
    <col min="2" max="2" width="14" customWidth="1"/>
    <col min="4" max="4" width="10.5454545454545"/>
    <col min="5" max="14" width="10.3727272727273"/>
  </cols>
  <sheetData>
    <row r="1" customFormat="1" spans="1:14">
      <c r="A1" t="s">
        <v>4283</v>
      </c>
      <c r="C1" t="s">
        <v>766</v>
      </c>
      <c r="D1" t="s">
        <v>767</v>
      </c>
      <c r="E1" t="s">
        <v>768</v>
      </c>
      <c r="F1" t="s">
        <v>769</v>
      </c>
      <c r="G1" t="s">
        <v>770</v>
      </c>
      <c r="H1" t="s">
        <v>771</v>
      </c>
      <c r="I1" t="s">
        <v>772</v>
      </c>
      <c r="J1" t="s">
        <v>773</v>
      </c>
      <c r="K1" t="s">
        <v>774</v>
      </c>
      <c r="L1" t="s">
        <v>775</v>
      </c>
      <c r="M1" t="s">
        <v>776</v>
      </c>
      <c r="N1" t="s">
        <v>777</v>
      </c>
    </row>
    <row r="2" spans="1:14">
      <c r="A2" t="s">
        <v>138</v>
      </c>
      <c r="B2" t="s">
        <v>4241</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4242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4241</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4242</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3280</v>
      </c>
      <c r="B6" t="s">
        <v>4241</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3280</v>
      </c>
      <c r="B7" t="s">
        <v>4242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4241</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4242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3784</v>
      </c>
      <c r="B10" t="s">
        <v>4241</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3784</v>
      </c>
      <c r="B11" t="s">
        <v>4242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4284</v>
      </c>
      <c r="B12" t="s">
        <v>4241</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4284</v>
      </c>
      <c r="B13" t="s">
        <v>4242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4285</v>
      </c>
      <c r="B14" t="s">
        <v>4241</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4285</v>
      </c>
      <c r="B15" t="s">
        <v>4242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4286</v>
      </c>
      <c r="B16" t="s">
        <v>4241</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4286</v>
      </c>
      <c r="B17" t="s">
        <v>4242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4287</v>
      </c>
      <c r="B18" t="s">
        <v>4241</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4287</v>
      </c>
      <c r="B19" t="s">
        <v>4242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4288</v>
      </c>
      <c r="B21" t="s">
        <v>4241</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4242</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4213</v>
      </c>
      <c r="B1" s="10" t="s">
        <v>4214</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4223</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4224</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4225</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4226</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4223</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4224</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4225</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4226</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4223</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4224</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4225</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4226</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4223</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4224</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4225</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4226</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4223</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4224</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4225</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4226</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4223</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4224</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4225</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4226</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4223</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4224</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4225</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4226</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4223</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4224</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4225</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4226</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4223</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4224</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4225</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4226</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4223</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4224</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4225</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4226</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4223</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4224</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4225</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4226</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4213</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0</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4239</v>
      </c>
      <c r="B8" s="6">
        <f>B2+B3+B4+B5+B6+B7</f>
        <v>4</v>
      </c>
      <c r="C8" s="6">
        <f t="shared" ref="C8:M8" si="0">SUM(C2:C7)</f>
        <v>0</v>
      </c>
      <c r="D8" s="6">
        <f t="shared" si="0"/>
        <v>4</v>
      </c>
      <c r="E8" s="6">
        <f t="shared" si="0"/>
        <v>4</v>
      </c>
      <c r="F8" s="6">
        <f t="shared" si="0"/>
        <v>4</v>
      </c>
      <c r="G8" s="6">
        <f t="shared" si="0"/>
        <v>4</v>
      </c>
      <c r="H8" s="6">
        <f t="shared" si="0"/>
        <v>4</v>
      </c>
      <c r="I8" s="6">
        <f t="shared" si="0"/>
        <v>0</v>
      </c>
      <c r="J8" s="6">
        <f t="shared" si="0"/>
        <v>0</v>
      </c>
      <c r="K8" s="6">
        <f t="shared" si="0"/>
        <v>0</v>
      </c>
      <c r="L8" s="6">
        <f t="shared" si="0"/>
        <v>0</v>
      </c>
      <c r="M8" s="6">
        <f t="shared" si="0"/>
        <v>0</v>
      </c>
    </row>
    <row r="9" spans="1:13">
      <c r="A9" s="7" t="s">
        <v>4289</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4290</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4291</v>
      </c>
      <c r="B17" s="8">
        <f>B8</f>
        <v>4</v>
      </c>
      <c r="C17" s="8">
        <f t="shared" ref="C17:M17" si="2">B17+C8</f>
        <v>4</v>
      </c>
      <c r="D17" s="8">
        <f t="shared" si="2"/>
        <v>8</v>
      </c>
      <c r="E17" s="8">
        <f t="shared" si="2"/>
        <v>12</v>
      </c>
      <c r="F17" s="8">
        <f t="shared" si="2"/>
        <v>16</v>
      </c>
      <c r="G17" s="8">
        <f t="shared" si="2"/>
        <v>20</v>
      </c>
      <c r="H17" s="8">
        <f t="shared" si="2"/>
        <v>24</v>
      </c>
      <c r="I17" s="8">
        <f t="shared" si="2"/>
        <v>24</v>
      </c>
      <c r="J17" s="8">
        <f t="shared" si="2"/>
        <v>24</v>
      </c>
      <c r="K17" s="8">
        <f t="shared" si="2"/>
        <v>24</v>
      </c>
      <c r="L17" s="8">
        <f t="shared" si="2"/>
        <v>24</v>
      </c>
      <c r="M17" s="8">
        <f t="shared" si="2"/>
        <v>24</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4241</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4242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4243</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4244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4241</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4242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4243</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4244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4241</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4242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4243</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4244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4241</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4242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4243</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4244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4241</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4242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4243</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4244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4241</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4242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4243</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4244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4241</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4242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4243</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4244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4241</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4242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4243</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4244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4292</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4293</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4294</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4295</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4241</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4242</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4243</v>
      </c>
      <c r="C4" s="2">
        <f>INDEX('2 过程管理表单'!$8:$8,24+(COLUMN(A1)-1)*3)</f>
        <v>38249.22</v>
      </c>
      <c r="D4" s="2" cm="1">
        <f t="array" ref="D4">INDEX('2 过程管理表单'!$8:$8,24+(COLUMN(B1)-1)*3)</f>
        <v>36464.34</v>
      </c>
      <c r="E4" s="2" cm="1">
        <f t="array" ref="E4">INDEX('2 过程管理表单'!$8:$8,24+(COLUMN(C1)-1)*3)</f>
        <v>36464.34</v>
      </c>
      <c r="F4" s="2" cm="1">
        <f t="array" ref="F4">INDEX('2 过程管理表单'!$8:$8,24+(COLUMN(D1)-1)*3)</f>
        <v>36464.34</v>
      </c>
      <c r="G4" s="2" cm="1">
        <f t="array" ref="G4">INDEX('2 过程管理表单'!$8:$8,24+(COLUMN(E1)-1)*3)</f>
        <v>36464.34</v>
      </c>
      <c r="H4" s="2" cm="1">
        <f t="array" ref="H4">INDEX('2 过程管理表单'!$8:$8,24+(COLUMN(F1)-1)*3)</f>
        <v>36464.34</v>
      </c>
      <c r="I4" s="2" cm="1">
        <f t="array" ref="I4">INDEX('2 过程管理表单'!$8:$8,24+(COLUMN(G1)-1)*3)</f>
        <v>36464.34</v>
      </c>
      <c r="J4" s="2" cm="1">
        <f t="array" ref="J4">INDEX('2 过程管理表单'!$8:$8,24+(COLUMN(H1)-1)*3)</f>
        <v>36464.34</v>
      </c>
      <c r="K4" s="2" cm="1">
        <f t="array" ref="K4">INDEX('2 过程管理表单'!$8:$8,24+(COLUMN(I1)-1)*3)</f>
        <v>36464.34</v>
      </c>
      <c r="L4" s="2" cm="1">
        <f t="array" ref="L4">INDEX('2 过程管理表单'!$8:$8,24+(COLUMN(J1)-1)*3)</f>
        <v>36464.34</v>
      </c>
      <c r="M4" s="2" cm="1">
        <f t="array" ref="M4">INDEX('2 过程管理表单'!$8:$8,24+(COLUMN(K1)-1)*3)</f>
        <v>36464.34</v>
      </c>
      <c r="N4" s="2" cm="1">
        <f t="array" ref="N4">INDEX('2 过程管理表单'!$8:$8,24+(COLUMN(L1)-1)*3)</f>
        <v>42590.94</v>
      </c>
    </row>
    <row r="5" spans="1:14">
      <c r="A5" t="s">
        <v>108</v>
      </c>
      <c r="B5" t="s">
        <v>4244</v>
      </c>
      <c r="C5" s="2">
        <f>C4</f>
        <v>38249.22</v>
      </c>
      <c r="D5" s="2">
        <f>C5+D4</f>
        <v>74713.56</v>
      </c>
      <c r="E5" s="2">
        <f t="shared" ref="E5:N5" si="1">D5+E4</f>
        <v>111177.9</v>
      </c>
      <c r="F5" s="2">
        <f t="shared" si="1"/>
        <v>147642.24</v>
      </c>
      <c r="G5" s="2">
        <f t="shared" si="1"/>
        <v>184106.58</v>
      </c>
      <c r="H5" s="2">
        <f t="shared" si="1"/>
        <v>220570.92</v>
      </c>
      <c r="I5" s="2">
        <f t="shared" si="1"/>
        <v>257035.26</v>
      </c>
      <c r="J5" s="2">
        <f t="shared" si="1"/>
        <v>293499.6</v>
      </c>
      <c r="K5" s="2">
        <f t="shared" si="1"/>
        <v>329963.94</v>
      </c>
      <c r="L5" s="2">
        <f t="shared" si="1"/>
        <v>366428.28</v>
      </c>
      <c r="M5" s="2">
        <f t="shared" si="1"/>
        <v>402892.62</v>
      </c>
      <c r="N5" s="2">
        <f t="shared" si="1"/>
        <v>445483.56</v>
      </c>
    </row>
    <row r="6" spans="1:14">
      <c r="A6" t="s">
        <v>112</v>
      </c>
      <c r="B6" t="s">
        <v>4241</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4242</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4243</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4244</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4241</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4242</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4243</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4244</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4241</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4242</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4243</v>
      </c>
      <c r="C16" s="2" cm="1">
        <f t="array" ref="C16">INDEX('2 过程管理表单'!$71:$71,24+(COLUMN(A9)-1)*3)</f>
        <v>6191.54</v>
      </c>
      <c r="D16" s="2" cm="1">
        <f t="array" ref="D16">INDEX('2 过程管理表单'!$71:$71,24+(COLUMN(B9)-1)*3)</f>
        <v>5894.06</v>
      </c>
      <c r="E16" s="2" cm="1">
        <f t="array" ref="E16">INDEX('2 过程管理表单'!$71:$71,24+(COLUMN(C9)-1)*3)</f>
        <v>5894.06</v>
      </c>
      <c r="F16" s="2" cm="1">
        <f t="array" ref="F16">INDEX('2 过程管理表单'!$71:$71,24+(COLUMN(D9)-1)*3)</f>
        <v>5894.06</v>
      </c>
      <c r="G16" s="2" cm="1">
        <f t="array" ref="G16">INDEX('2 过程管理表单'!$71:$71,24+(COLUMN(E9)-1)*3)</f>
        <v>5894.06</v>
      </c>
      <c r="H16" s="2" cm="1">
        <f t="array" ref="H16">INDEX('2 过程管理表单'!$71:$71,24+(COLUMN(F9)-1)*3)</f>
        <v>5894.06</v>
      </c>
      <c r="I16" s="2" cm="1">
        <f t="array" ref="I16">INDEX('2 过程管理表单'!$71:$71,24+(COLUMN(G9)-1)*3)</f>
        <v>5894.06</v>
      </c>
      <c r="J16" s="2" cm="1">
        <f t="array" ref="J16">INDEX('2 过程管理表单'!$71:$71,24+(COLUMN(H9)-1)*3)</f>
        <v>5894.06</v>
      </c>
      <c r="K16" s="2" cm="1">
        <f t="array" ref="K16">INDEX('2 过程管理表单'!$71:$71,24+(COLUMN(I9)-1)*3)</f>
        <v>5894.06</v>
      </c>
      <c r="L16" s="2" cm="1">
        <f t="array" ref="L16">INDEX('2 过程管理表单'!$71:$71,24+(COLUMN(J9)-1)*3)</f>
        <v>5894.06</v>
      </c>
      <c r="M16" s="2" cm="1">
        <f t="array" ref="M16">INDEX('2 过程管理表单'!$71:$71,24+(COLUMN(K9)-1)*3)</f>
        <v>5894.06</v>
      </c>
      <c r="N16" s="2" cm="1">
        <f t="array" ref="N16">INDEX('2 过程管理表单'!$71:$71,24+(COLUMN(L9)-1)*3)</f>
        <v>6915.16</v>
      </c>
    </row>
    <row r="17" spans="1:14">
      <c r="A17" t="s">
        <v>118</v>
      </c>
      <c r="B17" t="s">
        <v>4244</v>
      </c>
      <c r="C17" s="2">
        <f>C16</f>
        <v>6191.54</v>
      </c>
      <c r="D17" s="2">
        <f>C17+D16</f>
        <v>12085.6</v>
      </c>
      <c r="E17" s="2">
        <f t="shared" ref="E17:N17" si="7">D17+E16</f>
        <v>17979.66</v>
      </c>
      <c r="F17" s="2">
        <f t="shared" si="7"/>
        <v>23873.72</v>
      </c>
      <c r="G17" s="2">
        <f t="shared" si="7"/>
        <v>29767.78</v>
      </c>
      <c r="H17" s="2">
        <f t="shared" si="7"/>
        <v>35661.84</v>
      </c>
      <c r="I17" s="2">
        <f t="shared" si="7"/>
        <v>41555.9</v>
      </c>
      <c r="J17" s="2">
        <f t="shared" si="7"/>
        <v>47449.96</v>
      </c>
      <c r="K17" s="2">
        <f t="shared" si="7"/>
        <v>53344.02</v>
      </c>
      <c r="L17" s="2">
        <f t="shared" si="7"/>
        <v>59238.08</v>
      </c>
      <c r="M17" s="2">
        <f t="shared" si="7"/>
        <v>65132.14</v>
      </c>
      <c r="N17" s="2">
        <f t="shared" si="7"/>
        <v>72047.3</v>
      </c>
    </row>
    <row r="18" spans="1:14">
      <c r="A18" t="s">
        <v>121</v>
      </c>
      <c r="B18" t="s">
        <v>4241</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4242</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4243</v>
      </c>
      <c r="C20" s="2" cm="1">
        <f t="array" ref="C20">INDEX('2 过程管理表单'!$96:$96,24+(COLUMN(A13)-1)*3)</f>
        <v>11937.24</v>
      </c>
      <c r="D20" s="2" cm="1">
        <f t="array" ref="D20">INDEX('2 过程管理表单'!$96:$96,24+(COLUMN(B13)-1)*3)</f>
        <v>11639.76</v>
      </c>
      <c r="E20" s="2" cm="1">
        <f t="array" ref="E20">INDEX('2 过程管理表单'!$96:$96,24+(COLUMN(C13)-1)*3)</f>
        <v>11639.76</v>
      </c>
      <c r="F20" s="2" cm="1">
        <f t="array" ref="F20">INDEX('2 过程管理表单'!$96:$96,24+(COLUMN(D13)-1)*3)</f>
        <v>11639.76</v>
      </c>
      <c r="G20" s="2" cm="1">
        <f t="array" ref="G20">INDEX('2 过程管理表单'!$96:$96,24+(COLUMN(E13)-1)*3)</f>
        <v>11639.76</v>
      </c>
      <c r="H20" s="2" cm="1">
        <f t="array" ref="H20">INDEX('2 过程管理表单'!$96:$96,24+(COLUMN(F13)-1)*3)</f>
        <v>11639.76</v>
      </c>
      <c r="I20" s="2" cm="1">
        <f t="array" ref="I20">INDEX('2 过程管理表单'!$96:$96,24+(COLUMN(G13)-1)*3)</f>
        <v>11639.76</v>
      </c>
      <c r="J20" s="2" cm="1">
        <f t="array" ref="J20">INDEX('2 过程管理表单'!$96:$96,24+(COLUMN(H13)-1)*3)</f>
        <v>11639.76</v>
      </c>
      <c r="K20" s="2" cm="1">
        <f t="array" ref="K20">INDEX('2 过程管理表单'!$96:$96,24+(COLUMN(I13)-1)*3)</f>
        <v>11639.76</v>
      </c>
      <c r="L20" s="2" cm="1">
        <f t="array" ref="L20">INDEX('2 过程管理表单'!$96:$96,24+(COLUMN(J13)-1)*3)</f>
        <v>11639.76</v>
      </c>
      <c r="M20" s="2" cm="1">
        <f t="array" ref="M20">INDEX('2 过程管理表单'!$96:$96,24+(COLUMN(K13)-1)*3)</f>
        <v>11639.76</v>
      </c>
      <c r="N20" s="2" cm="1">
        <f t="array" ref="N20">INDEX('2 过程管理表单'!$96:$96,24+(COLUMN(L13)-1)*3)</f>
        <v>31392.16</v>
      </c>
    </row>
    <row r="21" spans="1:14">
      <c r="A21" t="s">
        <v>121</v>
      </c>
      <c r="B21" t="s">
        <v>4244</v>
      </c>
      <c r="C21" s="2">
        <f>C20</f>
        <v>11937.24</v>
      </c>
      <c r="D21" s="2">
        <f>C21+D20</f>
        <v>23577</v>
      </c>
      <c r="E21" s="2">
        <f t="shared" ref="E21:N21" si="9">D21+E20</f>
        <v>35216.76</v>
      </c>
      <c r="F21" s="2">
        <f t="shared" si="9"/>
        <v>46856.52</v>
      </c>
      <c r="G21" s="2">
        <f t="shared" si="9"/>
        <v>58496.28</v>
      </c>
      <c r="H21" s="2">
        <f t="shared" si="9"/>
        <v>70136.04</v>
      </c>
      <c r="I21" s="2">
        <f t="shared" si="9"/>
        <v>81775.8</v>
      </c>
      <c r="J21" s="2">
        <f t="shared" si="9"/>
        <v>93415.56</v>
      </c>
      <c r="K21" s="2">
        <f t="shared" si="9"/>
        <v>105055.32</v>
      </c>
      <c r="L21" s="2">
        <f t="shared" si="9"/>
        <v>116695.08</v>
      </c>
      <c r="M21" s="2">
        <f t="shared" si="9"/>
        <v>128334.84</v>
      </c>
      <c r="N21" s="2">
        <f t="shared" si="9"/>
        <v>159727</v>
      </c>
    </row>
    <row r="22" spans="1:14">
      <c r="A22" t="s">
        <v>124</v>
      </c>
      <c r="B22" t="s">
        <v>4241</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4242</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4243</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4244</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4241</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4242</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4243</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4244</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4241</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4242</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4243</v>
      </c>
      <c r="C32" s="2" cm="1">
        <f t="array" ref="C32">INDEX('2 过程管理表单'!$159:$159,24+(COLUMN(A25)-1)*3)</f>
        <v>42414.18</v>
      </c>
      <c r="D32" s="2" cm="1">
        <f t="array" ref="D32">INDEX('2 过程管理表单'!$159:$159,24+(COLUMN(B25)-1)*3)</f>
        <v>40629.3</v>
      </c>
      <c r="E32" s="2" cm="1">
        <f t="array" ref="E32">INDEX('2 过程管理表单'!$159:$159,24+(COLUMN(C25)-1)*3)</f>
        <v>40629.3</v>
      </c>
      <c r="F32" s="2" cm="1">
        <f t="array" ref="F32">INDEX('2 过程管理表单'!$159:$159,24+(COLUMN(D25)-1)*3)</f>
        <v>40629.3</v>
      </c>
      <c r="G32" s="2" cm="1">
        <f t="array" ref="G32">INDEX('2 过程管理表单'!$159:$159,24+(COLUMN(E25)-1)*3)</f>
        <v>40629.3</v>
      </c>
      <c r="H32" s="2" cm="1">
        <f t="array" ref="H32">INDEX('2 过程管理表单'!$159:$159,24+(COLUMN(F25)-1)*3)</f>
        <v>40629.3</v>
      </c>
      <c r="I32" s="2" cm="1">
        <f t="array" ref="I32">INDEX('2 过程管理表单'!$159:$159,24+(COLUMN(G25)-1)*3)</f>
        <v>40629.3</v>
      </c>
      <c r="J32" s="2" cm="1">
        <f t="array" ref="J32">INDEX('2 过程管理表单'!$159:$159,24+(COLUMN(H25)-1)*3)</f>
        <v>40629.3</v>
      </c>
      <c r="K32" s="2" cm="1">
        <f t="array" ref="K32">INDEX('2 过程管理表单'!$159:$159,24+(COLUMN(I25)-1)*3)</f>
        <v>40629.3</v>
      </c>
      <c r="L32" s="2" cm="1">
        <f t="array" ref="L32">INDEX('2 过程管理表单'!$159:$159,24+(COLUMN(J25)-1)*3)</f>
        <v>40629.3</v>
      </c>
      <c r="M32" s="2" cm="1">
        <f t="array" ref="M32">INDEX('2 过程管理表单'!$159:$159,24+(COLUMN(K25)-1)*3)</f>
        <v>40629.3</v>
      </c>
      <c r="N32" s="2" cm="1">
        <f t="array" ref="N32">INDEX('2 过程管理表单'!$159:$159,24+(COLUMN(L25)-1)*3)</f>
        <v>46755.9</v>
      </c>
    </row>
    <row r="33" spans="1:14">
      <c r="A33" t="s">
        <v>130</v>
      </c>
      <c r="B33" t="s">
        <v>4244</v>
      </c>
      <c r="C33" s="2">
        <f>C32</f>
        <v>42414.18</v>
      </c>
      <c r="D33" s="2">
        <f>C33+D32</f>
        <v>83043.48</v>
      </c>
      <c r="E33" s="2">
        <f t="shared" ref="E33:N33" si="15">D33+E32</f>
        <v>123672.78</v>
      </c>
      <c r="F33" s="2">
        <f t="shared" si="15"/>
        <v>164302.08</v>
      </c>
      <c r="G33" s="2">
        <f t="shared" si="15"/>
        <v>204931.38</v>
      </c>
      <c r="H33" s="2">
        <f t="shared" si="15"/>
        <v>245560.68</v>
      </c>
      <c r="I33" s="2">
        <f t="shared" si="15"/>
        <v>286189.98</v>
      </c>
      <c r="J33" s="2">
        <f t="shared" si="15"/>
        <v>326819.28</v>
      </c>
      <c r="K33" s="2">
        <f t="shared" si="15"/>
        <v>367448.58</v>
      </c>
      <c r="L33" s="2">
        <f t="shared" si="15"/>
        <v>408077.88</v>
      </c>
      <c r="M33" s="2">
        <f t="shared" si="15"/>
        <v>448707.18</v>
      </c>
      <c r="N33" s="2">
        <f t="shared" si="15"/>
        <v>495463.08</v>
      </c>
    </row>
    <row r="34" spans="2:14">
      <c r="B34" t="s">
        <v>4292</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4293</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4294</v>
      </c>
      <c r="C36" s="3">
        <f t="shared" ref="C36:N36" si="18">C4+C8+C12+C16+C20+C24+C28+C32</f>
        <v>98792.18</v>
      </c>
      <c r="D36" s="3">
        <f t="shared" si="18"/>
        <v>94627.46</v>
      </c>
      <c r="E36" s="3">
        <f t="shared" si="18"/>
        <v>94627.46</v>
      </c>
      <c r="F36" s="3">
        <f t="shared" si="18"/>
        <v>94627.46</v>
      </c>
      <c r="G36" s="3">
        <f t="shared" si="18"/>
        <v>94627.46</v>
      </c>
      <c r="H36" s="3">
        <f t="shared" si="18"/>
        <v>94627.46</v>
      </c>
      <c r="I36" s="3">
        <f t="shared" si="18"/>
        <v>94627.46</v>
      </c>
      <c r="J36" s="3">
        <f t="shared" si="18"/>
        <v>94627.46</v>
      </c>
      <c r="K36" s="3">
        <f t="shared" si="18"/>
        <v>94627.46</v>
      </c>
      <c r="L36" s="3">
        <f t="shared" si="18"/>
        <v>94627.46</v>
      </c>
      <c r="M36" s="3">
        <f t="shared" si="18"/>
        <v>94627.46</v>
      </c>
      <c r="N36" s="3">
        <f t="shared" si="18"/>
        <v>127654.16</v>
      </c>
    </row>
    <row r="37" spans="2:14">
      <c r="B37" t="s">
        <v>4295</v>
      </c>
      <c r="C37" s="2">
        <f>C36</f>
        <v>98792.18</v>
      </c>
      <c r="D37" s="2">
        <f>C37+D36</f>
        <v>193419.64</v>
      </c>
      <c r="E37" s="2">
        <f t="shared" ref="E37:N37" si="19">D37+E36</f>
        <v>288047.1</v>
      </c>
      <c r="F37" s="2">
        <f t="shared" si="19"/>
        <v>382674.56</v>
      </c>
      <c r="G37" s="2">
        <f t="shared" si="19"/>
        <v>477302.02</v>
      </c>
      <c r="H37" s="2">
        <f t="shared" si="19"/>
        <v>571929.48</v>
      </c>
      <c r="I37" s="2">
        <f t="shared" si="19"/>
        <v>666556.94</v>
      </c>
      <c r="J37" s="2">
        <f t="shared" si="19"/>
        <v>761184.4</v>
      </c>
      <c r="K37" s="2">
        <f t="shared" si="19"/>
        <v>855811.86</v>
      </c>
      <c r="L37" s="2">
        <f t="shared" si="19"/>
        <v>950439.32</v>
      </c>
      <c r="M37" s="2">
        <f t="shared" si="19"/>
        <v>1045066.78</v>
      </c>
      <c r="N37" s="2">
        <f t="shared" si="19"/>
        <v>1172720.94</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4296</v>
      </c>
      <c r="C1" t="s">
        <v>766</v>
      </c>
      <c r="D1" t="s">
        <v>767</v>
      </c>
      <c r="E1" t="s">
        <v>768</v>
      </c>
      <c r="F1" t="s">
        <v>769</v>
      </c>
      <c r="G1" t="s">
        <v>770</v>
      </c>
      <c r="H1" t="s">
        <v>771</v>
      </c>
      <c r="I1" t="s">
        <v>772</v>
      </c>
      <c r="J1" t="s">
        <v>773</v>
      </c>
      <c r="K1" t="s">
        <v>774</v>
      </c>
      <c r="L1" t="s">
        <v>775</v>
      </c>
      <c r="M1" t="s">
        <v>776</v>
      </c>
      <c r="N1" t="s">
        <v>777</v>
      </c>
    </row>
    <row r="2" spans="1:14">
      <c r="A2" t="s">
        <v>18</v>
      </c>
      <c r="B2" t="s">
        <v>4241</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4242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4243</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4244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4241</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4242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4243</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4244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4241</v>
      </c>
      <c r="C10" cm="1">
        <f t="array" ref="C10">INDEX('2 过程管理表单'!$58:$58,26+(COLUMN(A1)-1)*3)</f>
        <v>20383.5616438356</v>
      </c>
      <c r="D10" cm="1">
        <f t="array" ref="D10">INDEX('2 过程管理表单'!$58:$58,26+(COLUMN(B1)-1)*3)</f>
        <v>18410.9589041096</v>
      </c>
      <c r="E10" cm="1">
        <f t="array" ref="E10">INDEX('2 过程管理表单'!$58:$58,26+(COLUMN(C1)-1)*3)</f>
        <v>20383.5616438356</v>
      </c>
      <c r="F10" cm="1">
        <f t="array" ref="F10">INDEX('2 过程管理表单'!$58:$58,26+(COLUMN(D1)-1)*3)</f>
        <v>19726.0273972603</v>
      </c>
      <c r="G10" cm="1">
        <f t="array" ref="G10">INDEX('2 过程管理表单'!$58:$58,26+(COLUMN(E1)-1)*3)</f>
        <v>20383.5616438356</v>
      </c>
      <c r="H10" cm="1">
        <f t="array" ref="H10">INDEX('2 过程管理表单'!$58:$58,26+(COLUMN(F1)-1)*3)</f>
        <v>19726.0273972603</v>
      </c>
      <c r="I10" cm="1">
        <f t="array" ref="I10">INDEX('2 过程管理表单'!$58:$58,26+(COLUMN(G1)-1)*3)</f>
        <v>20383.5616438356</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4242</v>
      </c>
      <c r="C11">
        <f>C10</f>
        <v>20383.5616438356</v>
      </c>
      <c r="D11">
        <f>C11+D10</f>
        <v>38794.5205479452</v>
      </c>
      <c r="E11">
        <f t="shared" ref="E11:N11" si="4">D11+E10</f>
        <v>59178.0821917808</v>
      </c>
      <c r="F11">
        <f t="shared" si="4"/>
        <v>78904.1095890411</v>
      </c>
      <c r="G11">
        <f t="shared" si="4"/>
        <v>99287.6712328767</v>
      </c>
      <c r="H11">
        <f t="shared" si="4"/>
        <v>119013.698630137</v>
      </c>
      <c r="I11">
        <f t="shared" si="4"/>
        <v>139397.260273973</v>
      </c>
      <c r="J11">
        <f t="shared" si="4"/>
        <v>139397.260273973</v>
      </c>
      <c r="K11">
        <f t="shared" si="4"/>
        <v>139397.260273973</v>
      </c>
      <c r="L11">
        <f t="shared" si="4"/>
        <v>139397.260273973</v>
      </c>
      <c r="M11">
        <f t="shared" si="4"/>
        <v>139397.260273973</v>
      </c>
      <c r="N11">
        <f t="shared" si="4"/>
        <v>139397.260273973</v>
      </c>
    </row>
    <row r="12" spans="1:14">
      <c r="A12" t="s">
        <v>14</v>
      </c>
      <c r="B12" t="s">
        <v>4243</v>
      </c>
      <c r="C12" cm="1">
        <f t="array" ref="C12">INDEX('2 过程管理表单'!$58:$58,24+(COLUMN(A9)-1)*3)</f>
        <v>18867.9245283019</v>
      </c>
      <c r="D12" cm="1">
        <f t="array" ref="D12">INDEX('2 过程管理表单'!$58:$58,24+(COLUMN(B9)-1)*3)</f>
        <v>18867.9245283019</v>
      </c>
      <c r="E12" cm="1">
        <f t="array" ref="E12">INDEX('2 过程管理表单'!$58:$58,24+(COLUMN(C9)-1)*3)</f>
        <v>18867.9245283019</v>
      </c>
      <c r="F12" cm="1">
        <f t="array" ref="F12">INDEX('2 过程管理表单'!$58:$58,24+(COLUMN(D9)-1)*3)</f>
        <v>18867.9245283019</v>
      </c>
      <c r="G12" cm="1">
        <f t="array" ref="G12">INDEX('2 过程管理表单'!$58:$58,24+(COLUMN(E9)-1)*3)</f>
        <v>18867.9245283019</v>
      </c>
      <c r="H12" cm="1">
        <f t="array" ref="H12">INDEX('2 过程管理表单'!$58:$58,24+(COLUMN(F9)-1)*3)</f>
        <v>18867.9245283019</v>
      </c>
      <c r="I12" cm="1">
        <f t="array" ref="I12">INDEX('2 过程管理表单'!$58:$58,24+(COLUMN(G9)-1)*3)</f>
        <v>18867.9245283019</v>
      </c>
      <c r="J12" cm="1">
        <f t="array" ref="J12">INDEX('2 过程管理表单'!$58:$58,24+(COLUMN(H9)-1)*3)</f>
        <v>18867.9245283019</v>
      </c>
      <c r="K12" cm="1">
        <f t="array" ref="K12">INDEX('2 过程管理表单'!$58:$58,24+(COLUMN(I9)-1)*3)</f>
        <v>18867.9245283019</v>
      </c>
      <c r="L12" cm="1">
        <f t="array" ref="L12">INDEX('2 过程管理表单'!$58:$58,24+(COLUMN(J9)-1)*3)</f>
        <v>18867.9245283019</v>
      </c>
      <c r="M12" cm="1">
        <f t="array" ref="M12">INDEX('2 过程管理表单'!$58:$58,24+(COLUMN(K9)-1)*3)</f>
        <v>18867.9245283019</v>
      </c>
      <c r="N12" cm="1">
        <f t="array" ref="N12">INDEX('2 过程管理表单'!$58:$58,24+(COLUMN(L9)-1)*3)</f>
        <v>18867.9245283019</v>
      </c>
    </row>
    <row r="13" spans="1:14">
      <c r="A13" t="s">
        <v>14</v>
      </c>
      <c r="B13" t="s">
        <v>4244</v>
      </c>
      <c r="C13">
        <f>C12</f>
        <v>18867.9245283019</v>
      </c>
      <c r="D13">
        <f>C13+D12</f>
        <v>37735.8490566038</v>
      </c>
      <c r="E13">
        <f t="shared" ref="E13:N13" si="5">D13+E12</f>
        <v>56603.7735849057</v>
      </c>
      <c r="F13">
        <f t="shared" si="5"/>
        <v>75471.6981132076</v>
      </c>
      <c r="G13">
        <f t="shared" si="5"/>
        <v>94339.6226415095</v>
      </c>
      <c r="H13">
        <f t="shared" si="5"/>
        <v>113207.547169811</v>
      </c>
      <c r="I13">
        <f t="shared" si="5"/>
        <v>132075.471698113</v>
      </c>
      <c r="J13">
        <f t="shared" si="5"/>
        <v>150943.396226415</v>
      </c>
      <c r="K13">
        <f t="shared" si="5"/>
        <v>169811.320754717</v>
      </c>
      <c r="L13">
        <f t="shared" si="5"/>
        <v>188679.245283019</v>
      </c>
      <c r="M13">
        <f t="shared" si="5"/>
        <v>207547.169811321</v>
      </c>
      <c r="N13">
        <f t="shared" si="5"/>
        <v>226415.094339623</v>
      </c>
    </row>
    <row r="14" spans="1:14">
      <c r="A14" t="s">
        <v>938</v>
      </c>
      <c r="B14" t="s">
        <v>4241</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4242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4243</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4244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4241</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4242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4243</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4244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4241</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4242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4243</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4244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4241</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4242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4243</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4244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4241</v>
      </c>
      <c r="C30" cm="1">
        <f t="array" ref="C30">INDEX('2 过程管理表单'!$127:$127,26+(COLUMN(A17)-1)*3)</f>
        <v>5095.8904109589</v>
      </c>
      <c r="D30" cm="1">
        <f t="array" ref="D30">INDEX('2 过程管理表单'!$127:$127,26+(COLUMN(B17)-1)*3)</f>
        <v>4602.7397260274</v>
      </c>
      <c r="E30" cm="1">
        <f t="array" ref="E30">INDEX('2 过程管理表单'!$127:$127,26+(COLUMN(C17)-1)*3)</f>
        <v>5095.8904109589</v>
      </c>
      <c r="F30" cm="1">
        <f t="array" ref="F30">INDEX('2 过程管理表单'!$127:$127,26+(COLUMN(D17)-1)*3)</f>
        <v>4931.50684931507</v>
      </c>
      <c r="G30" cm="1">
        <f t="array" ref="G30">INDEX('2 过程管理表单'!$127:$127,26+(COLUMN(E17)-1)*3)</f>
        <v>5095.8904109589</v>
      </c>
      <c r="H30" cm="1">
        <f t="array" ref="H30">INDEX('2 过程管理表单'!$127:$127,26+(COLUMN(F17)-1)*3)</f>
        <v>4931.50684931507</v>
      </c>
      <c r="I30" cm="1">
        <f t="array" ref="I30">INDEX('2 过程管理表单'!$127:$127,26+(COLUMN(G17)-1)*3)</f>
        <v>5095.8904109589</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4242</v>
      </c>
      <c r="C31">
        <f>C30</f>
        <v>5095.8904109589</v>
      </c>
      <c r="D31">
        <f>C31+D30</f>
        <v>9698.6301369863</v>
      </c>
      <c r="E31">
        <f t="shared" ref="E31:N31" si="14">D31+E30</f>
        <v>14794.5205479452</v>
      </c>
      <c r="F31">
        <f t="shared" si="14"/>
        <v>19726.0273972603</v>
      </c>
      <c r="G31">
        <f t="shared" si="14"/>
        <v>24821.9178082192</v>
      </c>
      <c r="H31">
        <f t="shared" si="14"/>
        <v>29753.4246575342</v>
      </c>
      <c r="I31">
        <f t="shared" si="14"/>
        <v>34849.3150684932</v>
      </c>
      <c r="J31">
        <f t="shared" si="14"/>
        <v>34849.3150684932</v>
      </c>
      <c r="K31">
        <f t="shared" si="14"/>
        <v>34849.3150684932</v>
      </c>
      <c r="L31">
        <f t="shared" si="14"/>
        <v>34849.3150684932</v>
      </c>
      <c r="M31">
        <f t="shared" si="14"/>
        <v>34849.3150684932</v>
      </c>
      <c r="N31">
        <f t="shared" si="14"/>
        <v>34849.3150684932</v>
      </c>
    </row>
    <row r="32" spans="1:14">
      <c r="A32" t="s">
        <v>22</v>
      </c>
      <c r="B32" t="s">
        <v>4243</v>
      </c>
      <c r="C32" cm="1">
        <f t="array" ref="C32">INDEX('2 过程管理表单'!$127:$127,24+(COLUMN(A29)-1)*3)</f>
        <v>4716.98113207547</v>
      </c>
      <c r="D32" cm="1">
        <f t="array" ref="D32">INDEX('2 过程管理表单'!$127:$127,24+(COLUMN(B29)-1)*3)</f>
        <v>4716.98113207547</v>
      </c>
      <c r="E32" cm="1">
        <f t="array" ref="E32">INDEX('2 过程管理表单'!$127:$127,24+(COLUMN(C29)-1)*3)</f>
        <v>4716.98113207547</v>
      </c>
      <c r="F32" cm="1">
        <f t="array" ref="F32">INDEX('2 过程管理表单'!$127:$127,24+(COLUMN(D29)-1)*3)</f>
        <v>4716.98113207547</v>
      </c>
      <c r="G32" cm="1">
        <f t="array" ref="G32">INDEX('2 过程管理表单'!$127:$127,24+(COLUMN(E29)-1)*3)</f>
        <v>4716.98113207547</v>
      </c>
      <c r="H32" cm="1">
        <f t="array" ref="H32">INDEX('2 过程管理表单'!$127:$127,24+(COLUMN(F29)-1)*3)</f>
        <v>4716.98113207547</v>
      </c>
      <c r="I32" cm="1">
        <f t="array" ref="I32">INDEX('2 过程管理表单'!$127:$127,24+(COLUMN(G29)-1)*3)</f>
        <v>4716.98113207547</v>
      </c>
      <c r="J32" cm="1">
        <f t="array" ref="J32">INDEX('2 过程管理表单'!$127:$127,24+(COLUMN(H29)-1)*3)</f>
        <v>4716.98113207547</v>
      </c>
      <c r="K32" cm="1">
        <f t="array" ref="K32">INDEX('2 过程管理表单'!$127:$127,24+(COLUMN(I29)-1)*3)</f>
        <v>4716.98113207547</v>
      </c>
      <c r="L32" cm="1">
        <f t="array" ref="L32">INDEX('2 过程管理表单'!$127:$127,24+(COLUMN(J29)-1)*3)</f>
        <v>4716.98113207547</v>
      </c>
      <c r="M32" cm="1">
        <f t="array" ref="M32">INDEX('2 过程管理表单'!$127:$127,24+(COLUMN(K29)-1)*3)</f>
        <v>4716.98113207547</v>
      </c>
      <c r="N32" cm="1">
        <f t="array" ref="N32">INDEX('2 过程管理表单'!$127:$127,24+(COLUMN(L29)-1)*3)</f>
        <v>4716.98113207547</v>
      </c>
    </row>
    <row r="33" spans="1:14">
      <c r="A33" t="s">
        <v>22</v>
      </c>
      <c r="B33" t="s">
        <v>4244</v>
      </c>
      <c r="C33">
        <f>C32</f>
        <v>4716.98113207547</v>
      </c>
      <c r="D33">
        <f>C33+D32</f>
        <v>9433.96226415094</v>
      </c>
      <c r="E33">
        <f t="shared" ref="E33:N33" si="15">D33+E32</f>
        <v>14150.9433962264</v>
      </c>
      <c r="F33">
        <f t="shared" si="15"/>
        <v>18867.9245283019</v>
      </c>
      <c r="G33">
        <f t="shared" si="15"/>
        <v>23584.9056603773</v>
      </c>
      <c r="H33">
        <f t="shared" si="15"/>
        <v>28301.8867924528</v>
      </c>
      <c r="I33">
        <f t="shared" si="15"/>
        <v>33018.8679245283</v>
      </c>
      <c r="J33">
        <f t="shared" si="15"/>
        <v>37735.8490566038</v>
      </c>
      <c r="K33">
        <f t="shared" si="15"/>
        <v>42452.8301886792</v>
      </c>
      <c r="L33">
        <f t="shared" si="15"/>
        <v>47169.8113207547</v>
      </c>
      <c r="M33">
        <f t="shared" si="15"/>
        <v>51886.7924528302</v>
      </c>
      <c r="N33">
        <f t="shared" si="15"/>
        <v>56603.7735849056</v>
      </c>
    </row>
    <row r="34" spans="1:14">
      <c r="A34" t="s">
        <v>24</v>
      </c>
      <c r="B34" t="s">
        <v>4241</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4242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4243</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4244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4241</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4242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4243</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4244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4241</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4242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4243</v>
      </c>
      <c r="C44" cm="1">
        <f t="array" ref="C44">INDEX('2 过程管理表单'!$171:$171,24+(COLUMN(A41)-1)*3)</f>
        <v>3748.42767295594</v>
      </c>
      <c r="D44" cm="1">
        <f t="array" ref="D44">INDEX('2 过程管理表单'!$171:$171,24+(COLUMN(B41)-1)*3)</f>
        <v>3748.42767295594</v>
      </c>
      <c r="E44" cm="1">
        <f t="array" ref="E44">INDEX('2 过程管理表单'!$171:$171,24+(COLUMN(C41)-1)*3)</f>
        <v>3748.42767295594</v>
      </c>
      <c r="F44" cm="1">
        <f t="array" ref="F44">INDEX('2 过程管理表单'!$171:$171,24+(COLUMN(D41)-1)*3)</f>
        <v>3748.42767295594</v>
      </c>
      <c r="G44" cm="1">
        <f t="array" ref="G44">INDEX('2 过程管理表单'!$171:$171,24+(COLUMN(E41)-1)*3)</f>
        <v>3748.42767295594</v>
      </c>
      <c r="H44" cm="1">
        <f t="array" ref="H44">INDEX('2 过程管理表单'!$171:$171,24+(COLUMN(F41)-1)*3)</f>
        <v>3748.42767295594</v>
      </c>
      <c r="I44" cm="1">
        <f t="array" ref="I44">INDEX('2 过程管理表单'!$171:$171,24+(COLUMN(G41)-1)*3)</f>
        <v>3748.42767295594</v>
      </c>
      <c r="J44" cm="1">
        <f t="array" ref="J44">INDEX('2 过程管理表单'!$171:$171,24+(COLUMN(H41)-1)*3)</f>
        <v>3748.42767295594</v>
      </c>
      <c r="K44" cm="1">
        <f t="array" ref="K44">INDEX('2 过程管理表单'!$171:$171,24+(COLUMN(I41)-1)*3)</f>
        <v>3748.42767295594</v>
      </c>
      <c r="L44" cm="1">
        <f t="array" ref="L44">INDEX('2 过程管理表单'!$171:$171,24+(COLUMN(J41)-1)*3)</f>
        <v>3748.42767295594</v>
      </c>
      <c r="M44" cm="1">
        <f t="array" ref="M44">INDEX('2 过程管理表单'!$171:$171,24+(COLUMN(K41)-1)*3)</f>
        <v>3748.42767295594</v>
      </c>
      <c r="N44" cm="1">
        <f t="array" ref="N44">INDEX('2 过程管理表单'!$171:$171,24+(COLUMN(L41)-1)*3)</f>
        <v>3748.42767295594</v>
      </c>
    </row>
    <row r="45" spans="1:14">
      <c r="A45" t="s">
        <v>1139</v>
      </c>
      <c r="B45" t="s">
        <v>4244</v>
      </c>
      <c r="C45">
        <f>C44</f>
        <v>3748.42767295594</v>
      </c>
      <c r="D45">
        <f>C45+D44</f>
        <v>7496.85534591188</v>
      </c>
      <c r="E45">
        <f t="shared" ref="E45:N45" si="21">D45+E44</f>
        <v>11245.2830188678</v>
      </c>
      <c r="F45">
        <f t="shared" si="21"/>
        <v>14993.7106918238</v>
      </c>
      <c r="G45">
        <f t="shared" si="21"/>
        <v>18742.1383647797</v>
      </c>
      <c r="H45">
        <f t="shared" si="21"/>
        <v>22490.5660377356</v>
      </c>
      <c r="I45">
        <f t="shared" si="21"/>
        <v>26238.9937106916</v>
      </c>
      <c r="J45">
        <f t="shared" si="21"/>
        <v>29987.4213836475</v>
      </c>
      <c r="K45">
        <f t="shared" si="21"/>
        <v>33735.8490566035</v>
      </c>
      <c r="L45">
        <f t="shared" si="21"/>
        <v>37484.2767295594</v>
      </c>
      <c r="M45">
        <f t="shared" si="21"/>
        <v>41232.7044025153</v>
      </c>
      <c r="N45">
        <f t="shared" si="21"/>
        <v>44981.1320754713</v>
      </c>
    </row>
    <row r="46" spans="2:14">
      <c r="B46" t="s">
        <v>4292</v>
      </c>
      <c r="C46">
        <f>C2+C6+C10+C14+C18+C22+C26+C30+C34+C38+C42</f>
        <v>25479.4520547945</v>
      </c>
      <c r="D46">
        <f t="shared" ref="D46:N46" si="22">D2+D6+D10+D14+D18+D22+D26+D30+D34+D38+D42</f>
        <v>23013.698630137</v>
      </c>
      <c r="E46">
        <f t="shared" si="22"/>
        <v>25479.4520547945</v>
      </c>
      <c r="F46">
        <f t="shared" si="22"/>
        <v>24657.5342465753</v>
      </c>
      <c r="G46">
        <f t="shared" si="22"/>
        <v>25479.4520547945</v>
      </c>
      <c r="H46">
        <f t="shared" si="22"/>
        <v>24657.5342465753</v>
      </c>
      <c r="I46">
        <f t="shared" si="22"/>
        <v>25479.4520547945</v>
      </c>
      <c r="J46">
        <f t="shared" si="22"/>
        <v>0</v>
      </c>
      <c r="K46">
        <f t="shared" si="22"/>
        <v>0</v>
      </c>
      <c r="L46">
        <f t="shared" si="22"/>
        <v>0</v>
      </c>
      <c r="M46">
        <f t="shared" si="22"/>
        <v>0</v>
      </c>
      <c r="N46">
        <f t="shared" si="22"/>
        <v>0</v>
      </c>
    </row>
    <row r="47" spans="2:14">
      <c r="B47" t="s">
        <v>4293</v>
      </c>
      <c r="C47">
        <f>C46</f>
        <v>25479.4520547945</v>
      </c>
      <c r="D47">
        <f>C47+D46</f>
        <v>48493.1506849315</v>
      </c>
      <c r="E47">
        <f t="shared" ref="E47:N47" si="23">D47+E46</f>
        <v>73972.602739726</v>
      </c>
      <c r="F47">
        <f t="shared" si="23"/>
        <v>98630.1369863014</v>
      </c>
      <c r="G47">
        <f t="shared" si="23"/>
        <v>124109.589041096</v>
      </c>
      <c r="H47">
        <f t="shared" si="23"/>
        <v>148767.123287671</v>
      </c>
      <c r="I47">
        <f t="shared" si="23"/>
        <v>174246.575342466</v>
      </c>
      <c r="J47">
        <f t="shared" si="23"/>
        <v>174246.575342466</v>
      </c>
      <c r="K47">
        <f t="shared" si="23"/>
        <v>174246.575342466</v>
      </c>
      <c r="L47">
        <f t="shared" si="23"/>
        <v>174246.575342466</v>
      </c>
      <c r="M47">
        <f t="shared" si="23"/>
        <v>174246.575342466</v>
      </c>
      <c r="N47">
        <f t="shared" si="23"/>
        <v>174246.575342466</v>
      </c>
    </row>
    <row r="48" spans="2:14">
      <c r="B48" t="s">
        <v>4294</v>
      </c>
      <c r="C48">
        <f>C4+C8+C12+C16+C20+C24+C28+C32+C36+C40+C44</f>
        <v>27333.3333333333</v>
      </c>
      <c r="D48">
        <f t="shared" ref="D48:N48" si="24">D4+D8+D12+D16+D20+D24+D28+D32+D36+D40+D44</f>
        <v>27333.3333333333</v>
      </c>
      <c r="E48">
        <f t="shared" si="24"/>
        <v>27333.3333333333</v>
      </c>
      <c r="F48">
        <f t="shared" si="24"/>
        <v>27333.3333333333</v>
      </c>
      <c r="G48">
        <f t="shared" si="24"/>
        <v>27333.3333333333</v>
      </c>
      <c r="H48">
        <f t="shared" si="24"/>
        <v>27333.3333333333</v>
      </c>
      <c r="I48">
        <f t="shared" si="24"/>
        <v>27333.3333333333</v>
      </c>
      <c r="J48">
        <f t="shared" si="24"/>
        <v>27333.3333333333</v>
      </c>
      <c r="K48">
        <f t="shared" si="24"/>
        <v>27333.3333333333</v>
      </c>
      <c r="L48">
        <f t="shared" si="24"/>
        <v>27333.3333333333</v>
      </c>
      <c r="M48">
        <f t="shared" si="24"/>
        <v>27333.3333333333</v>
      </c>
      <c r="N48">
        <f t="shared" si="24"/>
        <v>27333.3333333333</v>
      </c>
    </row>
    <row r="49" spans="2:14">
      <c r="B49" t="s">
        <v>4295</v>
      </c>
      <c r="C49">
        <f>C48</f>
        <v>27333.3333333333</v>
      </c>
      <c r="D49">
        <f>C49+D48</f>
        <v>54666.6666666666</v>
      </c>
      <c r="E49">
        <f t="shared" ref="E49:N49" si="25">D49+E48</f>
        <v>81999.9999999999</v>
      </c>
      <c r="F49">
        <f t="shared" si="25"/>
        <v>109333.333333333</v>
      </c>
      <c r="G49">
        <f t="shared" si="25"/>
        <v>136666.666666667</v>
      </c>
      <c r="H49">
        <f t="shared" si="25"/>
        <v>164000</v>
      </c>
      <c r="I49">
        <f t="shared" si="25"/>
        <v>191333.333333333</v>
      </c>
      <c r="J49">
        <f t="shared" si="25"/>
        <v>218666.666666666</v>
      </c>
      <c r="K49">
        <f t="shared" si="25"/>
        <v>246000</v>
      </c>
      <c r="L49">
        <f t="shared" si="25"/>
        <v>273333.333333333</v>
      </c>
      <c r="M49">
        <f t="shared" si="25"/>
        <v>300666.666666666</v>
      </c>
      <c r="N49">
        <f t="shared" si="25"/>
        <v>328000</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3250</v>
      </c>
      <c r="C1" s="1" t="s">
        <v>4297</v>
      </c>
      <c r="D1" s="1" t="s">
        <v>4298</v>
      </c>
      <c r="E1" s="1" t="s">
        <v>4299</v>
      </c>
      <c r="F1" s="1" t="s">
        <v>4300</v>
      </c>
      <c r="G1" s="1" t="s">
        <v>4301</v>
      </c>
      <c r="H1" s="1" t="s">
        <v>4302</v>
      </c>
      <c r="I1" s="1" t="s">
        <v>4303</v>
      </c>
      <c r="J1" s="1" t="s">
        <v>4304</v>
      </c>
      <c r="K1" s="1" t="s">
        <v>4305</v>
      </c>
      <c r="L1" s="1" t="s">
        <v>4306</v>
      </c>
      <c r="M1" s="1" t="s">
        <v>4307</v>
      </c>
      <c r="N1" s="1" t="s">
        <v>4308</v>
      </c>
    </row>
    <row r="2" spans="1:14">
      <c r="A2" t="s">
        <v>218</v>
      </c>
      <c r="B2" t="s">
        <v>4241</v>
      </c>
      <c r="C2">
        <f>INDEX('2 过程管理表单'!$6:$6,26+(COLUMN(A$1)-1)*3)</f>
        <v>25479.4520547945</v>
      </c>
      <c r="D2">
        <f>INDEX('2 过程管理表单'!$6:$6,26+(COLUMN(B$1)-1)*3)</f>
        <v>23013.698630137</v>
      </c>
      <c r="E2">
        <f>INDEX('2 过程管理表单'!$6:$6,26+(COLUMN(C$1)-1)*3)</f>
        <v>25479.4520547945</v>
      </c>
      <c r="F2">
        <f>INDEX('2 过程管理表单'!$6:$6,26+(COLUMN(D$1)-1)*3)</f>
        <v>24657.5342465754</v>
      </c>
      <c r="G2">
        <f>INDEX('2 过程管理表单'!$6:$6,26+(COLUMN(E$1)-1)*3)</f>
        <v>25479.4520547945</v>
      </c>
      <c r="H2">
        <f>INDEX('2 过程管理表单'!$6:$6,26+(COLUMN(F$1)-1)*3)</f>
        <v>24657.5342465754</v>
      </c>
      <c r="I2">
        <f>INDEX('2 过程管理表单'!$6:$6,26+(COLUMN(G$1)-1)*3)</f>
        <v>25479.4520547945</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4242</v>
      </c>
      <c r="C3">
        <f>C2</f>
        <v>25479.4520547945</v>
      </c>
      <c r="D3">
        <f>C3+D2</f>
        <v>48493.1506849315</v>
      </c>
      <c r="E3">
        <f t="shared" ref="E3:N3" si="0">D3+E2</f>
        <v>73972.602739726</v>
      </c>
      <c r="F3">
        <f t="shared" si="0"/>
        <v>98630.1369863014</v>
      </c>
      <c r="G3">
        <f t="shared" si="0"/>
        <v>124109.589041096</v>
      </c>
      <c r="H3">
        <f t="shared" si="0"/>
        <v>148767.123287671</v>
      </c>
      <c r="I3">
        <f t="shared" si="0"/>
        <v>174246.575342466</v>
      </c>
      <c r="J3">
        <f t="shared" si="0"/>
        <v>174246.575342466</v>
      </c>
      <c r="K3">
        <f t="shared" si="0"/>
        <v>174246.575342466</v>
      </c>
      <c r="L3">
        <f t="shared" si="0"/>
        <v>174246.575342466</v>
      </c>
      <c r="M3">
        <f t="shared" si="0"/>
        <v>174246.575342466</v>
      </c>
      <c r="N3">
        <f t="shared" si="0"/>
        <v>174246.575342466</v>
      </c>
    </row>
    <row r="4" spans="1:14">
      <c r="A4" t="s">
        <v>218</v>
      </c>
      <c r="B4" t="s">
        <v>4243</v>
      </c>
      <c r="C4">
        <f>INDEX('2 过程管理表单'!$6:$6,24+(COLUMN(A$1)-1)*3)</f>
        <v>126125.513333333</v>
      </c>
      <c r="D4">
        <f>INDEX('2 过程管理表单'!$6:$6,24+(COLUMN(B$1)-1)*3)</f>
        <v>121960.793333333</v>
      </c>
      <c r="E4">
        <f>INDEX('2 过程管理表单'!$6:$6,24+(COLUMN(C$1)-1)*3)</f>
        <v>121960.793333333</v>
      </c>
      <c r="F4">
        <f>INDEX('2 过程管理表单'!$6:$6,24+(COLUMN(D$1)-1)*3)</f>
        <v>121960.793333333</v>
      </c>
      <c r="G4">
        <f>INDEX('2 过程管理表单'!$6:$6,24+(COLUMN(E$1)-1)*3)</f>
        <v>121960.793333333</v>
      </c>
      <c r="H4">
        <f>INDEX('2 过程管理表单'!$6:$6,24+(COLUMN(F$1)-1)*3)</f>
        <v>121960.793333333</v>
      </c>
      <c r="I4">
        <f>INDEX('2 过程管理表单'!$6:$6,24+(COLUMN(G$1)-1)*3)</f>
        <v>121960.793333333</v>
      </c>
      <c r="J4">
        <f>INDEX('2 过程管理表单'!$6:$6,24+(COLUMN(H$1)-1)*3)</f>
        <v>121960.793333333</v>
      </c>
      <c r="K4">
        <f>INDEX('2 过程管理表单'!$6:$6,24+(COLUMN(I$1)-1)*3)</f>
        <v>121960.793333333</v>
      </c>
      <c r="L4">
        <f>INDEX('2 过程管理表单'!$6:$6,24+(COLUMN(J$1)-1)*3)</f>
        <v>121960.793333333</v>
      </c>
      <c r="M4">
        <f>INDEX('2 过程管理表单'!$6:$6,24+(COLUMN(K$1)-1)*3)</f>
        <v>121960.793333333</v>
      </c>
      <c r="N4">
        <f>INDEX('2 过程管理表单'!$6:$6,24+(COLUMN(L$1)-1)*3)</f>
        <v>154987.493333333</v>
      </c>
    </row>
    <row r="5" spans="1:14">
      <c r="A5" t="s">
        <v>218</v>
      </c>
      <c r="B5" t="s">
        <v>4244</v>
      </c>
      <c r="C5">
        <f>C4</f>
        <v>126125.513333333</v>
      </c>
      <c r="D5">
        <f>C5+D4</f>
        <v>248086.306666666</v>
      </c>
      <c r="E5">
        <f t="shared" ref="E5:N5" si="1">D5+E4</f>
        <v>370047.099999999</v>
      </c>
      <c r="F5">
        <f t="shared" si="1"/>
        <v>492007.893333332</v>
      </c>
      <c r="G5">
        <f t="shared" si="1"/>
        <v>613968.686666665</v>
      </c>
      <c r="H5">
        <f t="shared" si="1"/>
        <v>735929.479999998</v>
      </c>
      <c r="I5">
        <f t="shared" si="1"/>
        <v>857890.273333331</v>
      </c>
      <c r="J5">
        <f t="shared" si="1"/>
        <v>979851.066666664</v>
      </c>
      <c r="K5">
        <f t="shared" si="1"/>
        <v>1101811.86</v>
      </c>
      <c r="L5">
        <f t="shared" si="1"/>
        <v>1223772.65333333</v>
      </c>
      <c r="M5">
        <f t="shared" si="1"/>
        <v>1345733.44666666</v>
      </c>
      <c r="N5">
        <f t="shared" si="1"/>
        <v>1500720.94</v>
      </c>
    </row>
    <row r="6" spans="1:14">
      <c r="A6" t="s">
        <v>220</v>
      </c>
      <c r="B6" t="s">
        <v>4241</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4242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4243</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4244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4241</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4242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4243</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4244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4241</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4242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4243</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4244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4241</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4242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4243</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4244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4241</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4242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4243</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4244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4241</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4242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4243</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4244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4241</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4242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4243</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4244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4241</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4242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4243</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4244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4241</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4242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4243</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4244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4241</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4242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4243</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4244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4241</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4242</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4243</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4244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4241</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4242</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4243</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4244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4241</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4242</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4243</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4244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4241</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4242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4243</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4244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4241</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4242</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4243</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4244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4241</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4242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4243</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4244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4241</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4242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4243</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4244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4241</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4242</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4243</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4244</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4241</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4242</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4243</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4244</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4241</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4242</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4243</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4244</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4241</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4242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4243</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4244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4241</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4242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4243</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4244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4241</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4242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4243</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4244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4241</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4242</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4243</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4244</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4241</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4242</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4243</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4244</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4241</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4242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4243</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4244</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4241</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4242</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4243</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4244</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4241</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4242</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4243</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4244</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4241</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4242</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4243</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4244</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4241</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4242</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4243</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4244</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4241</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4242</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4243</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4244</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4241</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4242</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4243</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4244</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4241</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4242</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4243</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4244</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4241</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4242</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4243</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4244</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2382</v>
      </c>
      <c r="B142" t="s">
        <v>4241</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4242</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4243</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4244</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4241</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4242</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4243</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4244</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4241</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4242</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4243</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4244</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4309</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4310</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4311</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4312</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4313</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4314</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4315</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4316</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4317</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4318</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4319</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4320</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4321</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4322</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4323</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4324</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4325</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4326</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4327</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4328</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4329</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4330</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4331</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4332</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4333</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4334</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4335</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4336</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4337</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4338</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4339</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4340</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4341</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4342</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4343</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4344</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4251</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2025-08-26T06:09:35Z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6663A3D7B7EC474CBFF20B77EAD07478_13</vt:lpwstr>
  </property>
  <property fmtid="{D5CDD505-2E9C-101B-9397-08002B2CF9AE}" pid="3" name="KSOProductBuildVer">
    <vt:lpwstr>2052-12.1.0.22529</vt:lpwstr>
  </property>
  <property fmtid="{D5CDD505-2E9C-101B-9397-08002B2CF9AE}" pid="4" name="KSOReadingLayout">
    <vt:bool>false</vt:bool>
  </property>
</Properties>
</file>