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5" activeTab="10"/>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引出数据_合同数据仓库'!$A$1:$BP$18</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<sst xmlns="http://schemas.openxmlformats.org/spreadsheetml/2006/main" count="17629" uniqueCount="4264">
  <si>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</si>
  <si>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</si>
  <si>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</si>
  <si>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</si>
  <si>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</si>
  <si>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</si>
  <si>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</si>
  <si>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</si>
  <si>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</si>
  <si>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</si>
  <si>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</si>
  <si>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</si>
  <si>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</si>
  <si>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</si>
  <si>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</si>
  <si>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</si>
  <si>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</si>
  <si>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</si>
  <si>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</si>
  <si>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</si>
  <si>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</si>
  <si>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</si>
  <si>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</si>
  <si>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</si>
  <si>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</si>
  <si>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</si>
  <si>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</si>
  <si>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</si>
  <si>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</si>
  <si>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</si>
  <si>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</si>
  <si>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</si>
  <si>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</si>
  <si>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</si>
  <si>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</si>
  <si>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</si>
  <si>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</si>
  <si>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</si>
  <si>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</si>
  <si>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</si>
  <si>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</si>
  <si>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</si>
  <si>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</si>
  <si>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</si>
  <si>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</si>
  <si>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</si>
  <si>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</si>
  <si>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</si>
  <si>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</si>
  <si>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</si>
  <si>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</si>
  <si>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</si>
  <si>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</si>
  <si>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</si>
  <si>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</si>
  <si>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</si>
  <si>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</si>
  <si>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</si>
  <si>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</si>
  <si>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</si>
  <si>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</si>
  <si>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</si>
  <si>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</si>
  <si>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</si>
  <si>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</si>
  <si>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</si>
  <si>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</si>
  <si>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</si>
  <si>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</si>
  <si>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</si>
  <si>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</si>
  <si>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</si>
  <si>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</si>
  <si>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</si>
  <si>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</si>
  <si>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</si>
  <si>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</si>
  <si>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</si>
  <si>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</si>
  <si>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</si>
  <si>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</si>
  <si>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</si>
  <si>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</si>
  <si>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</si>
  <si>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</si>
  <si>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</si>
  <si>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</si>
  <si>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</si>
  <si>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</si>
  <si>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</si>
  <si>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</si>
  <si>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</si>
  <si>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</si>
  <si>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</si>
  <si>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</si>
  <si>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</si>
  <si>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</si>
  <si>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</si>
  <si>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</si>
  <si>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</si>
  <si>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</si>
  <si>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</si>
  <si>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</si>
  <si>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</si>
  <si>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</si>
  <si>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</si>
  <si>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</si>
  <si>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</si>
  <si>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</si>
  <si>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</si>
  <si>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</si>
  <si>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</si>
  <si>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</si>
  <si>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</si>
  <si>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</si>
  <si>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</si>
  <si>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</si>
  <si>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</si>
  <si>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</si>
  <si>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</si>
  <si>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</si>
  <si>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</si>
  <si>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</si>
  <si>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</si>
  <si>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</si>
  <si>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</si>
  <si>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</si>
  <si>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</si>
  <si>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</si>
  <si>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</si>
  <si>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</si>
  <si>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</si>
  <si>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</si>
  <si>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</si>
  <si>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</si>
  <si>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</si>
  <si>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</si>
  <si>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</si>
  <si>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</si>
  <si>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</si>
  <si>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</si>
  <si>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</si>
  <si>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</si>
  <si>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</si>
  <si>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</si>
  <si>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</si>
  <si>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</si>
  <si>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</si>
  <si>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</si>
  <si>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</si>
  <si>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</si>
  <si>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</si>
  <si>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</si>
  <si>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</si>
  <si>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</si>
  <si>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</si>
  <si>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</si>
  <si>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</si>
  <si>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</si>
  <si>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</si>
  <si>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</si>
  <si>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</si>
  <si>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</si>
  <si>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</si>
  <si>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</si>
  <si>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</si>
  <si>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</si>
  <si>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</si>
  <si>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</si>
  <si>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</si>
  <si>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</si>
  <si>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</si>
  <si>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</si>
  <si>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</si>
  <si>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</si>
  <si>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</si>
  <si>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</si>
  <si>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</si>
  <si>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</si>
  <si>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</si>
  <si>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</si>
  <si>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</si>
  <si>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</si>
  <si>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</si>
  <si>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</si>
  <si>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</si>
  <si>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</si>
  <si>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</si>
  <si>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</si>
  <si>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</si>
  <si>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</si>
  <si>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</si>
  <si>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</si>
  <si>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</si>
  <si>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</si>
  <si>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</si>
  <si>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</si>
  <si>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</si>
  <si>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</si>
  <si>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</si>
  <si>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</si>
  <si>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</si>
  <si>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</si>
  <si>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</si>
  <si>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</si>
  <si>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</si>
  <si>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</si>
  <si>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</si>
  <si>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</si>
  <si>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</si>
  <si>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</si>
  <si>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</si>
  <si>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</si>
  <si>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</si>
  <si>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</si>
  <si>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</si>
  <si>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</si>
  <si>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</si>
  <si>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</si>
  <si>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</si>
  <si>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</si>
  <si>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</si>
  <si>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</si>
  <si>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</si>
  <si>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</si>
  <si>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</si>
  <si>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</si>
  <si>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</si>
  <si>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</si>
  <si>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</si>
  <si>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</si>
  <si>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</si>
  <si>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</si>
  <si>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</si>
  <si>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</si>
  <si>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</si>
  <si>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</si>
  <si>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</si>
  <si>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</si>
  <si>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</si>
  <si>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</si>
  <si>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</si>
  <si>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</si>
  <si>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</si>
  <si>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</si>
  <si>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</si>
  <si>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</si>
  <si>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</si>
  <si>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</si>
  <si>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</si>
  <si>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</si>
  <si>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</si>
  <si>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</si>
  <si>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</si>
  <si>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</si>
  <si>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</si>
  <si>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</si>
  <si>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</si>
  <si>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</si>
  <si>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</si>
  <si>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</si>
  <si>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</si>
  <si>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</si>
  <si>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</si>
  <si>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</si>
  <si>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</si>
  <si>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</si>
  <si>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</si>
  <si>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</si>
  <si>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</si>
  <si>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</si>
  <si>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</si>
  <si>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</si>
  <si>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</si>
  <si>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</si>
  <si>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</si>
  <si>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</si>
  <si>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</si>
  <si>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</si>
  <si>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</si>
  <si>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</si>
  <si>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</si>
  <si>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</si>
  <si>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</si>
  <si>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</si>
  <si>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</si>
  <si>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</si>
  <si>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</si>
  <si>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</si>
  <si>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</si>
  <si>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</si>
  <si>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</si>
  <si>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</si>
  <si>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</si>
  <si>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</si>
  <si>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</si>
  <si>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</si>
  <si>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</si>
  <si>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</si>
  <si>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</si>
  <si>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</si>
  <si>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</si>
  <si>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</si>
  <si>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</si>
  <si>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</si>
  <si>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</si>
  <si>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</si>
  <si>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</si>
  <si>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</si>
  <si>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</si>
  <si>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</si>
  <si>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</si>
  <si>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</si>
  <si>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</si>
  <si>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</si>
  <si>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</si>
  <si>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</si>
  <si>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</si>
  <si>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</si>
  <si>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</si>
  <si>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</si>
  <si>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</si>
  <si>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</si>
  <si>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</si>
  <si>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</si>
  <si>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</si>
  <si>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</si>
  <si>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</si>
  <si>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</si>
  <si>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</si>
  <si>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</si>
  <si>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</si>
  <si>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</si>
  <si>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</si>
  <si>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</si>
  <si>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</si>
  <si>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</si>
  <si>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</si>
  <si>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</si>
  <si>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</si>
  <si>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</si>
  <si>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</si>
  <si>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</si>
  <si>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</si>
  <si>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</si>
  <si>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</si>
  <si>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</si>
  <si>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</si>
  <si>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</si>
  <si>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</si>
  <si>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</si>
  <si>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</si>
  <si>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</si>
  <si>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</si>
  <si>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</si>
  <si>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</si>
  <si>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</si>
  <si>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</si>
  <si>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</si>
  <si>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</si>
  <si>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</si>
  <si>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</si>
  <si>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</si>
  <si>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</si>
  <si>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</si>
  <si>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</si>
  <si>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</si>
  <si>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</si>
  <si>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</si>
  <si>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</si>
  <si>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</si>
  <si>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</si>
  <si>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</si>
  <si>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</si>
  <si>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</si>
  <si>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</si>
  <si>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</si>
  <si>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</si>
  <si>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</si>
  <si>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</si>
  <si>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</si>
  <si>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</si>
  <si>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</si>
  <si>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</si>
  <si>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</si>
  <si>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</si>
  <si>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</si>
  <si>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</si>
  <si>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</si>
  <si>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</si>
  <si>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</si>
  <si>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</si>
  <si>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</si>
  <si>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</si>
  <si>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</si>
  <si>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</si>
  <si>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</si>
  <si>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</si>
  <si>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</si>
  <si>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</si>
  <si>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</si>
  <si>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</si>
  <si>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</si>
  <si>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</si>
  <si>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</si>
  <si>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</si>
  <si>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</si>
  <si>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</si>
  <si>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</si>
  <si>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</si>
  <si>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</si>
  <si>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</si>
  <si>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</si>
  <si>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</si>
  <si>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</si>
  <si>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</si>
  <si>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</si>
  <si>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</si>
  <si>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</si>
  <si>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</si>
  <si>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</si>
  <si>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</si>
  <si>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</si>
  <si>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</si>
  <si>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</si>
  <si>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</si>
  <si>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</si>
  <si>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</si>
  <si>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</si>
  <si>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</si>
  <si>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</si>
  <si>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</si>
  <si>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</si>
  <si>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</si>
  <si>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</si>
  <si>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</si>
  <si>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</si>
  <si>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</si>
  <si>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</si>
  <si>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</si>
  <si>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</si>
  <si>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</si>
  <si>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</si>
  <si>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</si>
  <si>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</si>
  <si>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</si>
  <si>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</si>
  <si>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</si>
  <si>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</si>
  <si>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</si>
  <si>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</si>
  <si>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</si>
  <si>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</si>
  <si>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</si>
  <si>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</si>
  <si>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</si>
  <si>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</si>
  <si>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</si>
  <si>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</si>
  <si>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</si>
  <si>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</si>
  <si>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</si>
  <si>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</si>
  <si>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</si>
  <si>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</si>
  <si>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</si>
  <si>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</si>
  <si>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</si>
  <si>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</si>
  <si>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</si>
  <si>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</si>
  <si>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</si>
  <si>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</si>
  <si>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</si>
  <si>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</si>
  <si>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</si>
  <si>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</si>
  <si>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</si>
  <si>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</si>
  <si>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</si>
  <si>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</si>
  <si>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</si>
  <si>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</si>
  <si>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</si>
  <si>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</si>
  <si>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</si>
  <si>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</si>
  <si>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</si>
  <si>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</si>
  <si>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</si>
  <si>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</si>
  <si>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</si>
  <si>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</si>
  <si>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</si>
  <si>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</si>
  <si>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</si>
  <si>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</si>
  <si>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</si>
  <si>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</si>
  <si>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</si>
  <si>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</si>
  <si>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</si>
  <si>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</si>
  <si>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</si>
  <si>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</si>
  <si>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</si>
  <si>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</si>
  <si>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</si>
  <si>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</si>
  <si>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</si>
  <si>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</si>
  <si>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</si>
  <si>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</si>
  <si>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</si>
  <si>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</si>
  <si>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</si>
  <si>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</si>
  <si>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</si>
  <si>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</si>
  <si>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</si>
  <si>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</si>
  <si>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</si>
  <si>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</si>
  <si>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</si>
  <si>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</si>
  <si>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</si>
  <si>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</si>
  <si>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</si>
  <si>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</si>
  <si>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</si>
  <si>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</si>
  <si>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</si>
  <si>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</si>
  <si>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</si>
  <si>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</si>
  <si>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</si>
  <si>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</si>
  <si>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</si>
  <si>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</si>
  <si>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</si>
  <si>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</si>
  <si>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</si>
  <si>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</si>
  <si>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</si>
  <si>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</si>
  <si>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</si>
  <si>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</si>
  <si>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</si>
  <si>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</si>
  <si>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</si>
  <si>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</si>
  <si>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</si>
  <si>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</si>
  <si>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</si>
  <si>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</si>
  <si>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</si>
  <si>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</si>
  <si>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</si>
  <si>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</si>
  <si>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</si>
  <si>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</si>
  <si>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</si>
  <si>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</si>
  <si>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</si>
  <si>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</si>
  <si>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</si>
  <si>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</si>
  <si>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</si>
  <si>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</si>
  <si>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</si>
  <si>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</si>
  <si>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</si>
  <si>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</si>
  <si>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</si>
  <si>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</si>
  <si>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</si>
  <si>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</si>
  <si>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</si>
  <si>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</si>
  <si>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</si>
  <si>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</si>
  <si>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</si>
  <si>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</si>
  <si>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</si>
  <si>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</si>
  <si>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</si>
  <si>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</si>
  <si>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</si>
  <si>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</si>
  <si>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</si>
  <si>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</si>
  <si>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</si>
  <si>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</si>
  <si>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</si>
  <si>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</si>
  <si>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</si>
  <si>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</si>
  <si>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</si>
  <si>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</si>
  <si>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</si>
  <si>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</si>
  <si>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</si>
  <si>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</si>
  <si>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</si>
  <si>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</si>
  <si>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</si>
  <si>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</si>
  <si>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</si>
  <si>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</si>
  <si>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</si>
  <si>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</si>
  <si>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</si>
  <si>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</si>
  <si>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</si>
  <si>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</si>
  <si>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</si>
  <si>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</si>
  <si>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</si>
  <si>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</si>
  <si>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</si>
  <si>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</si>
  <si>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</si>
  <si>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</si>
  <si>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</si>
  <si>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</si>
  <si>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</si>
  <si>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</si>
  <si>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</si>
  <si>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</si>
  <si>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</si>
  <si>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</si>
  <si>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</si>
  <si>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</si>
  <si>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</si>
  <si>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</si>
  <si>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</si>
  <si>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</si>
  <si>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</si>
  <si>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</si>
  <si>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</si>
  <si>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</si>
  <si>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</si>
  <si>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</si>
  <si>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</si>
  <si>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</si>
  <si>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</si>
  <si>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</si>
  <si>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</si>
  <si>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</si>
  <si>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</si>
  <si>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</si>
  <si>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</si>
  <si>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</si>
  <si>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</si>
  <si>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</si>
  <si>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</si>
  <si>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</si>
  <si>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</si>
  <si>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</si>
  <si>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</si>
  <si>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</si>
  <si>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</si>
  <si>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</si>
  <si>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</si>
  <si>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</si>
  <si>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</si>
  <si>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</si>
  <si>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</si>
  <si>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</si>
  <si>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</si>
  <si>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</si>
  <si>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</si>
  <si>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</si>
  <si>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</si>
  <si>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</si>
  <si>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</si>
  <si>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</si>
  <si>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</si>
  <si>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</si>
  <si>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</si>
  <si>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</si>
  <si>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</si>
  <si>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</si>
  <si>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</si>
  <si>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</si>
  <si>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</si>
  <si>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</si>
  <si>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</si>
  <si>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</si>
  <si>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</si>
  <si>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</si>
  <si>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</si>
  <si>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</si>
  <si>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</si>
  <si>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</si>
  <si>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</si>
  <si>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</si>
  <si>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</si>
  <si>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</si>
  <si>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</si>
  <si>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</si>
  <si>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</si>
  <si>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</si>
  <si>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</si>
  <si>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</si>
  <si>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</si>
  <si>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</si>
  <si>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</si>
  <si>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</si>
  <si>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</si>
  <si>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</si>
  <si>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</si>
  <si>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</si>
  <si>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</si>
  <si>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</si>
  <si>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</si>
  <si>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</si>
  <si>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</si>
  <si>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</si>
  <si>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</si>
  <si>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</si>
  <si>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文天祥小学（岗厦）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</si>
  <si>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</si>
  <si>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</si>
  <si>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</si>
  <si>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</si>
  <si>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</si>
  <si>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</si>
  <si>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</si>
  <si>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</si>
  <si>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</si>
  <si>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</si>
  <si>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</si>
  <si>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</si>
  <si>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</si>
  <si>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</si>
  <si>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</si>
  <si>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</si>
  <si>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</si>
  <si>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</si>
  <si>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</si>
  <si>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</si>
  <si>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</si>
  <si>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</si>
  <si>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</si>
  <si>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</si>
  <si>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</si>
  <si>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</si>
  <si>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</si>
  <si>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</si>
  <si>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</si>
  <si>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</si>
  <si>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</si>
  <si>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</si>
  <si>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</si>
  <si>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</si>
  <si>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</si>
  <si>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</si>
  <si>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</si>
  <si>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</si>
  <si>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</si>
  <si>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</si>
  <si>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</si>
  <si>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</si>
  <si>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</si>
  <si>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</si>
  <si>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</si>
  <si>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</si>
  <si>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</si>
  <si>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</si>
  <si>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</si>
  <si>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</si>
  <si>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</si>
  <si>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</si>
  <si>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</si>
  <si>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</si>
  <si>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</si>
  <si>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</si>
  <si>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</si>
  <si>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</si>
  <si>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</si>
  <si>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</si>
  <si>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</si>
  <si>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</si>
  <si>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</si>
  <si>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</si>
  <si>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</si>
  <si>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</si>
  <si>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</si>
  <si>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</si>
  <si>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</si>
  <si>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</si>
  <si>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</si>
  <si>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</si>
  <si>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</si>
  <si>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</si>
  <si>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</si>
  <si>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</si>
  <si>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</si>
  <si>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</si>
  <si>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</si>
  <si>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</si>
  <si>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</si>
  <si>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</si>
  <si>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</si>
  <si>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</si>
  <si>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</si>
  <si>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</si>
  <si>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</si>
  <si>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</si>
  <si>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</si>
  <si>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</si>
  <si>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</si>
  <si>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</si>
  <si>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</si>
  <si>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</si>
  <si>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</si>
  <si>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</si>
  <si>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</si>
  <si>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</si>
  <si>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</si>
  <si>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</si>
  <si>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</si>
  <si>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</si>
  <si>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</si>
  <si>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</si>
  <si>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</si>
  <si>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</si>
  <si>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</si>
  <si>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</si>
  <si>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</si>
  <si>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</si>
  <si>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</si>
  <si>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</si>
  <si>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</si>
  <si>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</si>
  <si>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</si>
  <si>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</si>
  <si>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</si>
  <si>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</si>
  <si>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</si>
  <si>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</si>
  <si>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</si>
  <si>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</si>
  <si>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</si>
  <si>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</si>
  <si>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</si>
  <si>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</si>
  <si>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</si>
  <si>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</si>
  <si>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</si>
  <si>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</si>
  <si>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</si>
  <si>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</si>
  <si>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</si>
  <si>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</si>
  <si>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</si>
  <si>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</si>
  <si>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</si>
  <si>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</si>
  <si>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</si>
  <si>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</si>
  <si>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</si>
  <si>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</si>
  <si>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</si>
  <si>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</si>
  <si>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</si>
  <si>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</si>
  <si>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</si>
  <si>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</si>
  <si>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</si>
  <si>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</si>
  <si>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</si>
  <si>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</si>
  <si>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</si>
  <si>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</si>
  <si>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</si>
  <si>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</si>
  <si>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</si>
  <si>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</si>
  <si>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</si>
  <si>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</si>
  <si>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</si>
  <si>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</si>
  <si>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</si>
  <si>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</si>
  <si>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</si>
  <si>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</si>
  <si>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</si>
  <si>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</si>
  <si>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</si>
  <si>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</si>
  <si>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</si>
  <si>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</si>
  <si>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</si>
  <si>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</si>
  <si>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</si>
  <si>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</si>
  <si>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</si>
  <si>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</si>
  <si>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</si>
  <si>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</si>
  <si>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</si>
  <si>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</si>
  <si>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</si>
  <si>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</si>
  <si>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</si>
  <si>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</si>
  <si>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</si>
  <si>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</si>
  <si>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</si>
  <si>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</si>
  <si>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</si>
  <si>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</si>
  <si>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</si>
  <si>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</si>
  <si>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</si>
  <si>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</si>
  <si>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</si>
  <si>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</si>
  <si>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</si>
  <si>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</si>
  <si>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</si>
  <si>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</si>
  <si>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</si>
  <si>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</si>
  <si>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</si>
  <si>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</si>
  <si>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</si>
  <si>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</si>
  <si>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</si>
  <si>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</si>
  <si>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</si>
  <si>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</si>
  <si>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</si>
  <si>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</si>
  <si>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</si>
  <si>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</si>
  <si>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</si>
  <si>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</si>
  <si>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</si>
  <si>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</si>
  <si>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</si>
  <si>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</si>
  <si>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</si>
  <si>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</si>
  <si>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</si>
  <si>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</si>
  <si>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</si>
  <si>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</si>
  <si>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</si>
  <si>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</si>
  <si>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</si>
  <si>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</si>
  <si>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</si>
  <si>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</si>
  <si>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</si>
  <si>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</si>
  <si>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</si>
  <si>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</si>
  <si>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</si>
  <si>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</si>
  <si>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</si>
  <si>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</si>
  <si>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</si>
  <si>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</si>
  <si>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</si>
  <si>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</si>
  <si>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</si>
  <si>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</si>
  <si>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</si>
  <si>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</si>
  <si>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</si>
  <si>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</si>
  <si>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</si>
  <si>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</si>
  <si>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</si>
  <si>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</si>
  <si>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</si>
  <si>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</si>
  <si>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</si>
  <si>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</si>
  <si>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</si>
  <si>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</si>
  <si>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</si>
  <si>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</si>
  <si>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</si>
  <si>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</si>
  <si>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</si>
  <si>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</si>
  <si>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</si>
  <si>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</si>
  <si>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</si>
  <si>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</si>
  <si>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</si>
  <si>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</si>
  <si>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</si>
  <si>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</si>
  <si>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</si>
  <si>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</si>
  <si>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</si>
  <si>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</si>
  <si>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</si>
  <si>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</si>
  <si>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</si>
  <si>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</si>
  <si>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</si>
  <si>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</si>
  <si>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</si>
  <si>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</si>
  <si>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</si>
  <si>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</si>
  <si>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</si>
  <si>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</si>
  <si>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</si>
  <si>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</si>
  <si>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</si>
  <si>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</si>
  <si>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</si>
  <si>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</si>
  <si>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</si>
  <si>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</si>
  <si>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</si>
  <si>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</si>
  <si>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</si>
  <si>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</si>
  <si>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</si>
  <si>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</si>
  <si>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</si>
  <si>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</si>
  <si>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</si>
  <si>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</si>
  <si>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</si>
  <si>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</si>
  <si>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</si>
  <si>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</si>
  <si>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</si>
  <si>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</si>
  <si>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</si>
  <si>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</si>
  <si>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</si>
  <si>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</si>
  <si>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</si>
  <si>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</si>
  <si>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</si>
  <si>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</si>
  <si>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</si>
  <si>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</si>
  <si>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</si>
  <si>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</si>
  <si>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</si>
  <si>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</si>
  <si>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</si>
  <si>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</si>
  <si>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</si>
  <si>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</si>
  <si>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</si>
  <si>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</si>
  <si>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</si>
  <si>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</si>
  <si>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</si>
  <si>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</si>
  <si>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</si>
  <si>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</si>
  <si>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</si>
  <si>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</si>
  <si>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</si>
  <si>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</si>
  <si>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</si>
  <si>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</si>
  <si>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</si>
  <si>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</si>
  <si>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</si>
  <si>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</si>
  <si>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</si>
  <si>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</si>
  <si>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</si>
  <si>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</si>
  <si>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</si>
  <si>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</si>
  <si>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</si>
  <si>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</si>
  <si>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</si>
  <si>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</si>
  <si>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</si>
  <si>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</si>
  <si>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</si>
  <si>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</si>
  <si>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</si>
  <si>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</si>
  <si>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</si>
  <si>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</si>
  <si>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</si>
  <si>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</si>
  <si>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</si>
  <si>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</si>
  <si>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</si>
  <si>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</si>
  <si>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</si>
  <si>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</si>
  <si>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</si>
  <si>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</si>
  <si>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</si>
  <si>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</si>
  <si>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</si>
  <si>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</si>
  <si>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</si>
  <si>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</si>
  <si>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</si>
  <si>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</si>
  <si>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</si>
  <si>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</si>
  <si>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</si>
  <si>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</si>
  <si>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</si>
  <si>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</si>
  <si>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</si>
  <si>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</si>
  <si>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</si>
  <si>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</si>
  <si>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</si>
  <si>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</si>
  <si>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</si>
  <si>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</si>
  <si>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</si>
  <si>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</si>
  <si>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</si>
  <si>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</si>
  <si>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</si>
  <si>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</si>
  <si>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</si>
  <si>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</si>
  <si>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</si>
  <si>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</si>
  <si>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</si>
  <si>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</si>
  <si>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</si>
  <si>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</si>
  <si>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</si>
  <si>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</si>
  <si>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</si>
  <si>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</si>
  <si>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</si>
  <si>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</si>
  <si>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</si>
  <si>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</si>
  <si>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</si>
  <si>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</si>
  <si>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</si>
  <si>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</si>
  <si>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</si>
  <si>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</si>
  <si>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</si>
  <si>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</si>
  <si>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</si>
  <si>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</si>
  <si>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</si>
  <si>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</si>
  <si>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</si>
  <si>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</si>
  <si>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</si>
  <si>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</si>
  <si>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</si>
  <si>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</si>
  <si>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</si>
  <si>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</si>
  <si>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</si>
  <si>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</si>
  <si>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</si>
  <si>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</si>
  <si>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</si>
  <si>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</si>
  <si>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</si>
  <si>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</si>
  <si>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</si>
  <si>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</si>
  <si>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</si>
  <si>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</si>
  <si>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</si>
  <si>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</si>
  <si>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</si>
  <si>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</si>
  <si>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</si>
  <si>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</si>
  <si>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</si>
  <si>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</si>
  <si>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</si>
  <si>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</si>
  <si>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</si>
  <si>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</si>
  <si>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</si>
  <si>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</si>
  <si>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</si>
  <si>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</si>
  <si>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</si>
  <si>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</si>
  <si>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</si>
  <si>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</si>
  <si>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</si>
  <si>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</si>
  <si>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</si>
  <si>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</si>
  <si>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</si>
  <si>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</si>
  <si>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</si>
  <si>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</si>
  <si>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</si>
  <si>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</si>
  <si>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</si>
  <si>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</si>
  <si>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</si>
  <si>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</si>
  <si>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</si>
  <si>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</si>
  <si>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</si>
  <si>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</si>
  <si>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</si>
  <si>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</si>
  <si>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</si>
  <si>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</si>
  <si>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</si>
  <si>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</si>
  <si>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</si>
  <si>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</si>
  <si>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</si>
  <si>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</si>
  <si>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</si>
  <si>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</si>
  <si>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</si>
  <si>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</si>
  <si>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</si>
  <si>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</si>
  <si>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</si>
  <si>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</si>
  <si>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</si>
  <si>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</si>
  <si>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</si>
  <si>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</si>
  <si>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</si>
  <si>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</si>
  <si>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</si>
  <si>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</si>
  <si>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</si>
  <si>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</si>
  <si>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</si>
  <si>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</si>
  <si>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</si>
  <si>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</si>
  <si>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</si>
  <si>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</si>
  <si>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</si>
  <si>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</si>
  <si>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</si>
  <si>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</si>
  <si>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</si>
  <si>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</si>
  <si>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</si>
  <si>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</si>
  <si>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</si>
  <si>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</si>
  <si>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</si>
  <si>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</si>
  <si>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</si>
  <si>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</si>
  <si>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</si>
  <si>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</si>
  <si>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</si>
  <si>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</si>
  <si>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</si>
  <si>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</si>
  <si>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</si>
  <si>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</si>
  <si>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</si>
  <si>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</si>
  <si>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</si>
  <si>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</si>
  <si>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</si>
  <si>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</si>
  <si>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</si>
  <si>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</si>
  <si>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</si>
  <si>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</si>
  <si>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</si>
  <si>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</si>
  <si>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</si>
  <si>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</si>
  <si>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</si>
  <si>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</si>
  <si>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</si>
  <si>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</si>
  <si>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</si>
  <si>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</si>
  <si>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</si>
  <si>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</si>
  <si>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</si>
  <si>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</si>
  <si>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</si>
  <si>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</si>
  <si>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</si>
  <si>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</si>
  <si>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</si>
  <si>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</si>
  <si>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</si>
  <si>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</si>
  <si>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</si>
  <si>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</si>
  <si>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</si>
  <si>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</si>
  <si>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</si>
  <si>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</si>
  <si>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</si>
  <si>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</si>
  <si>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</si>
  <si>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</si>
  <si>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</si>
  <si>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</si>
  <si>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</si>
  <si>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</si>
  <si>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</si>
  <si>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</si>
  <si>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</si>
  <si>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</si>
  <si>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</si>
  <si>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</si>
  <si>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</si>
  <si>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</si>
  <si>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</si>
  <si>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</si>
  <si>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</si>
  <si>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</si>
  <si>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</si>
  <si>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</si>
  <si>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</si>
  <si>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</si>
  <si>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</si>
  <si>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</si>
  <si>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</si>
  <si>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</si>
  <si>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</si>
  <si>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</si>
  <si>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</si>
  <si>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</si>
  <si>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</si>
  <si>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</si>
  <si>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</si>
  <si>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</si>
  <si>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</si>
  <si>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</si>
  <si>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</si>
  <si>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</si>
  <si>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</si>
  <si>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</si>
  <si>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</si>
  <si>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</si>
  <si>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</si>
  <si>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</si>
  <si>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</si>
  <si>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</si>
  <si>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</si>
  <si>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</si>
  <si>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</si>
  <si>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</si>
  <si>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</si>
  <si>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</si>
  <si>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</si>
  <si>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</si>
  <si>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</si>
  <si>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</si>
  <si>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</si>
  <si>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</si>
  <si>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</si>
  <si>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</si>
  <si>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</si>
  <si>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</si>
  <si>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</si>
  <si>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</si>
  <si>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</si>
  <si>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</si>
  <si>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</si>
  <si>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</si>
  <si>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</si>
  <si>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</si>
  <si>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</si>
  <si>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</si>
  <si>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</si>
  <si>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</si>
  <si>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</si>
  <si>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</si>
  <si>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</si>
  <si>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</si>
  <si>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</si>
  <si>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</si>
  <si>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</si>
  <si>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</si>
  <si>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</si>
  <si>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</si>
  <si>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</si>
  <si>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</si>
  <si>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</si>
  <si>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</si>
  <si>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</si>
  <si>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</si>
  <si>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</si>
  <si>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</si>
  <si>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</si>
  <si>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</si>
  <si>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</si>
  <si>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</si>
  <si>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</si>
  <si>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</si>
  <si>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</si>
  <si>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</si>
  <si>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</si>
  <si>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</si>
  <si>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</si>
  <si>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</si>
  <si>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</si>
  <si>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</si>
  <si>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</si>
  <si>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</si>
  <si>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</si>
  <si>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</si>
  <si>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</si>
  <si>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</si>
  <si>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</si>
  <si>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</si>
  <si>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</si>
  <si>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</si>
  <si>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</si>
  <si>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</si>
  <si>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</si>
  <si>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</si>
  <si>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</si>
  <si>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</si>
  <si>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</si>
  <si>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</si>
  <si>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</si>
  <si>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</si>
  <si>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</si>
  <si>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</si>
  <si>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</si>
  <si>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</si>
  <si>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</si>
  <si>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</si>
  <si>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</si>
  <si>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</si>
  <si>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</si>
  <si>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</si>
  <si>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</si>
  <si>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</si>
  <si>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</si>
  <si>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</si>
  <si>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</si>
  <si>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</si>
  <si>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</si>
  <si>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</si>
  <si>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</si>
  <si>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</si>
  <si>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</si>
  <si>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</si>
  <si>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</si>
  <si>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</si>
  <si>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</si>
  <si>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</si>
  <si>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</si>
  <si>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</si>
  <si>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</si>
  <si>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</si>
  <si>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</si>
  <si>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</si>
  <si>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</si>
  <si>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</si>
  <si>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</si>
  <si>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</si>
  <si>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</si>
  <si>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</si>
  <si>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</si>
  <si>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</si>
  <si>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</si>
  <si>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</si>
  <si>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</si>
  <si>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</si>
  <si>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</si>
  <si>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</si>
  <si>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</si>
  <si>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</si>
  <si>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</si>
  <si>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</si>
  <si>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</si>
  <si>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</si>
  <si>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</si>
  <si>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</si>
  <si>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</si>
  <si>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</si>
  <si>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</si>
  <si>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</si>
  <si>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</si>
  <si>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</si>
  <si>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</si>
  <si>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</si>
  <si>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</si>
  <si>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</si>
  <si>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</si>
  <si>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</si>
  <si>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</si>
  <si>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</si>
  <si>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</si>
  <si>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</si>
  <si>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</si>
  <si>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</si>
  <si>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</si>
  <si>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</si>
  <si>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</si>
  <si>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</si>
  <si>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</si>
  <si>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</si>
  <si>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</si>
  <si>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</si>
  <si>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</si>
  <si>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</si>
  <si>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</si>
  <si>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</si>
  <si>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</si>
  <si>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</si>
  <si>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</si>
  <si>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</si>
  <si>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</si>
  <si>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</si>
  <si>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</si>
  <si>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</si>
  <si>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</si>
  <si>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</si>
  <si>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</si>
  <si>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</si>
  <si>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</si>
  <si>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</si>
  <si>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</si>
  <si>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</si>
  <si>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</si>
  <si>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</si>
  <si>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</si>
  <si>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</si>
  <si>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</si>
  <si>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</si>
  <si>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</si>
  <si>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</si>
  <si>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</si>
  <si>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</si>
  <si>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</si>
  <si>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</si>
  <si>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</si>
  <si>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</si>
  <si>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</si>
  <si>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</si>
  <si>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</si>
  <si>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</si>
  <si>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</si>
  <si>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</si>
  <si>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</si>
  <si>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</si>
  <si>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</si>
  <si>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</si>
  <si>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</si>
  <si>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</si>
  <si>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</si>
  <si>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</si>
  <si>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</si>
  <si>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</si>
  <si>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</si>
  <si>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</si>
  <si>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</si>
  <si>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</si>
  <si>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</si>
  <si>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</si>
  <si>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</si>
  <si>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</si>
  <si>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</si>
  <si>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</si>
  <si>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</si>
  <si>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</si>
  <si>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</si>
  <si>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</si>
  <si>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</si>
  <si>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</si>
  <si>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</si>
  <si>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</si>
  <si>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</si>
  <si>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</si>
  <si>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</si>
  <si>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</si>
  <si>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</si>
  <si>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</si>
  <si>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</si>
  <si>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</si>
  <si>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</si>
  <si>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</si>
  <si>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</si>
  <si>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</si>
  <si>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</si>
  <si>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</si>
  <si>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</si>
  <si>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</si>
  <si>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</si>
  <si>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</si>
  <si>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</si>
  <si>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</si>
  <si>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</si>
  <si>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</si>
  <si>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</si>
  <si>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</si>
  <si>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</si>
  <si>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</si>
  <si>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</si>
  <si>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</si>
  <si>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</si>
  <si>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</si>
  <si>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</si>
  <si>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</si>
  <si>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</si>
  <si>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</si>
  <si>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</si>
  <si>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</si>
  <si>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</si>
  <si>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</si>
  <si>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</si>
  <si>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</si>
  <si>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</si>
  <si>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</si>
  <si>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</si>
  <si>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</si>
  <si>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</si>
  <si>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</si>
  <si>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</si>
  <si>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</si>
  <si>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</si>
  <si>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</si>
  <si>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</si>
  <si>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</si>
  <si>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</si>
  <si>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</si>
  <si>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</si>
  <si>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</si>
  <si>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</si>
  <si>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</si>
  <si>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</si>
  <si>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</si>
  <si>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</si>
  <si>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</si>
  <si>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</si>
  <si>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</si>
  <si>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</si>
  <si>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</si>
  <si>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</si>
  <si>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</si>
  <si>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</si>
  <si>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</si>
  <si>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</si>
  <si>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</si>
  <si>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</si>
  <si>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</si>
  <si>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</si>
  <si>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</si>
  <si>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</si>
  <si>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</si>
  <si>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</si>
  <si>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</si>
  <si>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</si>
  <si>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</si>
  <si>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</si>
  <si>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</si>
  <si>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</si>
  <si>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</si>
  <si>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</si>
  <si>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</si>
  <si>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</si>
  <si>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</si>
  <si>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</si>
  <si>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</si>
  <si>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</si>
  <si>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</si>
  <si>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</si>
  <si>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</si>
  <si>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</si>
  <si>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</si>
  <si>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</si>
  <si>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</si>
  <si>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</si>
  <si>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</si>
  <si>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</si>
  <si>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</si>
  <si>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</si>
  <si>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</si>
  <si>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</si>
  <si>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</si>
  <si>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</si>
  <si>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</si>
  <si>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</si>
  <si>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</si>
  <si>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</si>
  <si>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</si>
  <si>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</si>
  <si>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</si>
  <si>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</si>
  <si>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</si>
  <si>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</si>
  <si>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</si>
  <si>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</si>
  <si>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</si>
  <si>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</si>
  <si>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</si>
  <si>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</si>
  <si>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</si>
  <si>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</si>
  <si>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</si>
  <si>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</si>
  <si>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</si>
  <si>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</si>
  <si>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</si>
  <si>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</si>
  <si>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</si>
  <si>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</si>
  <si>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</si>
  <si>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</si>
  <si>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</si>
  <si>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</si>
  <si>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</si>
  <si>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</si>
  <si>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</si>
  <si>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</si>
  <si>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</si>
  <si>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</si>
  <si>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</si>
  <si>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</si>
  <si>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</si>
  <si>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</si>
  <si>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</si>
  <si>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</si>
  <si>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</si>
  <si>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</si>
  <si>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</si>
  <si>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</si>
  <si>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</si>
  <si>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</si>
  <si>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</si>
  <si>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</si>
  <si>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</si>
  <si>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</si>
  <si>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</si>
  <si>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</si>
  <si>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</si>
  <si>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</si>
  <si>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</si>
  <si>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</si>
  <si>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</si>
  <si>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</si>
  <si>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</si>
  <si>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</si>
  <si>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</si>
  <si>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</si>
  <si>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</si>
  <si>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</si>
  <si>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</si>
  <si>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</si>
  <si>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</si>
  <si>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</si>
  <si>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</si>
  <si>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</si>
  <si>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</si>
  <si>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</si>
  <si>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</si>
  <si>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</si>
  <si>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</si>
  <si>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</si>
  <si>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</si>
  <si>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</si>
  <si>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</si>
  <si>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</si>
  <si>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</si>
  <si>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</si>
  <si>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</si>
  <si>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</si>
  <si>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</si>
  <si>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</si>
  <si>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</si>
  <si>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</si>
  <si>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</si>
  <si>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</si>
  <si>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</si>
  <si>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</si>
  <si>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</si>
  <si>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</si>
  <si>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</si>
  <si>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</si>
  <si>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</si>
  <si>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</si>
  <si>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</si>
  <si>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</si>
  <si>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</si>
  <si>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</si>
  <si>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</si>
  <si>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</si>
  <si>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</si>
  <si>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</si>
  <si>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</si>
  <si>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</si>
  <si>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</si>
  <si>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</si>
  <si>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</si>
  <si>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</si>
  <si>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</si>
  <si>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</si>
  <si>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</si>
  <si>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</si>
  <si>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</si>
  <si>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</si>
  <si>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</si>
  <si>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</si>
  <si>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</si>
  <si>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</si>
  <si>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</si>
  <si>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</si>
  <si>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</si>
  <si>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</si>
  <si>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</si>
  <si>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</si>
  <si>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</si>
  <si>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</si>
  <si>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</si>
  <si>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</si>
  <si>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</si>
  <si>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</si>
  <si>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</si>
  <si>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</si>
  <si>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</si>
  <si>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</si>
  <si>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</si>
  <si>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</si>
  <si>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</si>
  <si>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</si>
  <si>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</si>
  <si>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</si>
  <si>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</si>
  <si>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</si>
  <si>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</si>
  <si>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</si>
  <si>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</si>
  <si>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</si>
  <si>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</si>
  <si>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</si>
  <si>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</si>
  <si>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</si>
  <si>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</si>
  <si>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</si>
  <si>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</si>
  <si>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</si>
  <si>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</si>
  <si>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</si>
  <si>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</si>
  <si>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</si>
  <si>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</si>
  <si>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</si>
  <si>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</si>
  <si>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</si>
  <si>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</si>
  <si>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</si>
  <si>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</si>
  <si>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</si>
  <si>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</si>
  <si>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</si>
  <si>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</si>
  <si>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</si>
  <si>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</si>
  <si>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</si>
  <si>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</si>
  <si>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</si>
  <si>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</si>
  <si>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</si>
  <si>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</si>
  <si>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</si>
  <si>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</si>
  <si>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</si>
  <si>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</si>
  <si>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</si>
  <si>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</si>
  <si>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</si>
  <si>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</si>
  <si>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</si>
  <si>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</si>
  <si>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</si>
  <si>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</si>
  <si>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</si>
  <si>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</si>
  <si>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</si>
  <si>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</si>
  <si>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</si>
  <si>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</si>
  <si>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</si>
  <si>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</si>
  <si>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</si>
  <si>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</si>
  <si>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</si>
  <si>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</si>
  <si>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</si>
  <si>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</si>
  <si>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</si>
  <si>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</si>
  <si>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</si>
  <si>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</si>
  <si>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</si>
  <si>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</si>
  <si>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</si>
  <si>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</si>
  <si>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</si>
  <si>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</si>
  <si>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</si>
  <si>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</si>
  <si>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</si>
  <si>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</si>
  <si>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</si>
  <si>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</si>
  <si>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</si>
  <si>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</si>
  <si>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</si>
  <si>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</si>
  <si>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</si>
  <si>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</si>
  <si>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</si>
  <si>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</si>
  <si>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</si>
  <si>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</si>
  <si>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</si>
  <si>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</si>
  <si>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</si>
  <si>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</si>
  <si>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</si>
  <si>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</si>
  <si>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</si>
  <si>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</si>
  <si>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</si>
  <si>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</si>
  <si>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</si>
  <si>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</si>
  <si>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</si>
  <si>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</si>
  <si>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</si>
  <si>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</si>
  <si>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</si>
  <si>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</si>
  <si>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</si>
  <si>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</si>
  <si>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</si>
  <si>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</si>
  <si>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</si>
  <si>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</si>
  <si>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</si>
  <si>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</si>
  <si>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</si>
  <si>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</si>
  <si>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</si>
  <si>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</si>
  <si>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</si>
  <si>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</si>
  <si>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</si>
  <si>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</si>
  <si>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</si>
  <si>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</si>
  <si>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</si>
  <si>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</si>
  <si>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</si>
  <si>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</si>
  <si>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</si>
  <si>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</si>
  <si>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</si>
  <si>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</si>
  <si>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</si>
  <si>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</si>
  <si>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</si>
  <si>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</si>
  <si>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</si>
  <si>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</si>
  <si>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</si>
  <si>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</si>
  <si>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</si>
  <si>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</si>
  <si>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</si>
  <si>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</si>
  <si>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</si>
  <si>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</si>
  <si>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</si>
  <si>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</si>
  <si>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</si>
  <si>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</si>
  <si>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</si>
  <si>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</si>
  <si>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</si>
  <si>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</si>
  <si>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</si>
  <si>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</si>
  <si>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</si>
  <si>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</si>
  <si>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</si>
  <si>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</si>
  <si>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</si>
  <si>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</si>
  <si>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</si>
  <si>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</si>
  <si>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</si>
  <si>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</si>
  <si>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</si>
  <si>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</si>
  <si>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</si>
  <si>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</si>
  <si>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</si>
  <si>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</si>
  <si>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</si>
  <si>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</si>
  <si>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</si>
  <si>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</si>
  <si>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</si>
  <si>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</si>
  <si>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</si>
  <si>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</si>
  <si>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</si>
  <si>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</si>
  <si>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</si>
  <si>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</si>
  <si>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</si>
  <si>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</si>
  <si>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</si>
  <si>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</si>
  <si>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</si>
  <si>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</si>
  <si>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</si>
  <si>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</si>
  <si>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</si>
  <si>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</si>
  <si>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</si>
  <si>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</si>
  <si>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</si>
  <si>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</si>
  <si>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</si>
  <si>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</si>
  <si>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</si>
  <si>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</si>
  <si>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</si>
  <si>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</si>
  <si>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</si>
  <si>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</si>
  <si>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</si>
  <si>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</si>
  <si>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</si>
  <si>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</si>
  <si>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</si>
  <si>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</si>
  <si>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</si>
  <si>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</si>
  <si>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</si>
  <si>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</si>
  <si>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</si>
  <si>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</si>
  <si>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</si>
  <si>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</si>
  <si>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</si>
  <si>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</si>
  <si>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</si>
  <si>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</si>
  <si>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</si>
  <si>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</si>
  <si>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</si>
  <si>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</si>
  <si>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</si>
  <si>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</si>
  <si>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</si>
  <si>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</si>
  <si>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</si>
  <si>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</si>
  <si>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</si>
  <si>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</si>
  <si>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</si>
  <si>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</si>
  <si>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</si>
  <si>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</si>
  <si>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</si>
  <si>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</si>
  <si>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</si>
  <si>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</si>
  <si>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</si>
  <si>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</si>
  <si>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</si>
  <si>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</si>
  <si>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</si>
  <si>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</si>
  <si>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</si>
  <si>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</si>
  <si>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</si>
  <si>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</si>
  <si>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</si>
  <si>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</si>
  <si>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</si>
  <si>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</si>
  <si>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</si>
  <si>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</si>
  <si>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</si>
  <si>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</si>
  <si>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</si>
  <si>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</si>
  <si>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</si>
  <si>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</si>
  <si>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</si>
  <si>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</si>
  <si>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</si>
  <si>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</si>
  <si>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</si>
  <si>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</si>
  <si>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</si>
  <si>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</si>
  <si>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</si>
  <si>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</si>
  <si>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</si>
  <si>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</si>
  <si>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</si>
  <si>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</si>
  <si>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</si>
  <si>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</si>
  <si>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</si>
  <si>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</si>
  <si>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</si>
  <si>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</si>
  <si>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</si>
  <si>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</si>
  <si>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</si>
  <si>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</si>
  <si>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</si>
  <si>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</si>
  <si>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</si>
  <si>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</si>
  <si>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</si>
  <si>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</si>
  <si>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</si>
  <si>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</si>
  <si>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</si>
  <si>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</si>
  <si>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</si>
  <si>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</si>
  <si>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</si>
  <si>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</si>
  <si>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</si>
  <si>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</si>
  <si>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</si>
  <si>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</si>
  <si>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</si>
  <si>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</si>
  <si>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</si>
  <si>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</si>
  <si>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</si>
  <si>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</si>
  <si>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</si>
  <si>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</si>
  <si>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</si>
  <si>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</si>
  <si>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</si>
  <si>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</si>
  <si>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</si>
  <si>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</si>
  <si>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</si>
  <si>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</si>
  <si>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</si>
  <si>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</si>
  <si>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</si>
  <si>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</si>
  <si>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</si>
  <si>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</si>
  <si>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</si>
  <si>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</si>
  <si>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</si>
  <si>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</si>
  <si>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</si>
  <si>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</si>
  <si>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</si>
  <si>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</si>
  <si>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</si>
  <si>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</si>
  <si>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</si>
  <si>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</si>
  <si>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</si>
  <si>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</si>
  <si>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</si>
  <si>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</si>
  <si>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</si>
  <si>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</si>
  <si>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</si>
  <si>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</si>
  <si>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</si>
  <si>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</si>
  <si>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</si>
  <si>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</si>
  <si>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</si>
  <si>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</si>
  <si>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</si>
  <si>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</si>
  <si>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</si>
  <si>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</si>
  <si>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</si>
  <si>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</si>
  <si>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</si>
  <si>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</si>
  <si>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</si>
  <si>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</si>
  <si>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</si>
  <si>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</si>
  <si>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</si>
  <si>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</si>
  <si>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</si>
  <si>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</si>
  <si>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</si>
  <si>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</si>
  <si>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</si>
  <si>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</si>
  <si>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</si>
  <si>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</si>
  <si>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</si>
  <si>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</si>
  <si>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</si>
  <si>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</si>
  <si>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</si>
  <si>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</si>
  <si>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</si>
  <si>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</si>
  <si>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</si>
  <si>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</si>
  <si>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</si>
  <si>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</si>
  <si>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</si>
  <si>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</si>
  <si>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</si>
  <si>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</si>
  <si>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</si>
  <si>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</si>
  <si>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</si>
  <si>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</si>
  <si>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</si>
  <si>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</si>
  <si>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</si>
  <si>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</si>
  <si>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</si>
  <si>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</si>
  <si>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</si>
  <si>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</si>
  <si>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</si>
  <si>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</si>
  <si>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</si>
  <si>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</si>
  <si>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</si>
  <si>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</si>
  <si>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</si>
  <si>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</si>
  <si>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</si>
  <si>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</si>
  <si>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</si>
  <si>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</si>
  <si>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</si>
  <si>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</si>
  <si>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</si>
  <si>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</si>
  <si>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</si>
  <si>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</si>
  <si>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</si>
  <si>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</si>
  <si>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</si>
  <si>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</si>
  <si>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</si>
  <si>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</si>
  <si>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</si>
  <si>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</si>
  <si>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</si>
  <si>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</si>
  <si>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</si>
  <si>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</si>
  <si>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</si>
  <si>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</si>
  <si>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</si>
  <si>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</si>
  <si>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</si>
  <si>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</si>
  <si>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</si>
  <si>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</si>
  <si>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</si>
  <si>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</si>
  <si>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</si>
  <si>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</si>
  <si>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</si>
  <si>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</si>
  <si>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</si>
  <si>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</si>
  <si>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</si>
  <si>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</si>
  <si>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</si>
  <si>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</si>
  <si>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</si>
  <si>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</si>
  <si>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</si>
  <si>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</si>
  <si>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</si>
  <si>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</si>
  <si>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</si>
  <si>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</si>
  <si>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</si>
  <si>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</si>
  <si>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</si>
  <si>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</si>
  <si>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</si>
  <si>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</si>
  <si>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</si>
  <si>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</si>
  <si>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</si>
  <si>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</si>
  <si>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</si>
  <si>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</si>
  <si>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</si>
  <si>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</si>
  <si>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</si>
  <si>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</si>
  <si>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</si>
  <si>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</si>
  <si>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</si>
  <si>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</si>
  <si>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</si>
  <si>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</si>
  <si>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</si>
  <si>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</si>
  <si>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</si>
  <si>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</si>
  <si>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</si>
  <si>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</si>
  <si>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</si>
  <si>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</si>
  <si>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</si>
  <si>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</si>
  <si>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</si>
  <si>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</si>
  <si>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</si>
  <si>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</si>
  <si>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</si>
  <si>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</si>
  <si>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</si>
  <si>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</si>
  <si>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</si>
  <si>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</si>
  <si>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</si>
  <si>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</si>
  <si>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</si>
  <si>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</si>
  <si>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</si>
  <si>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</si>
  <si>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</si>
  <si>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</si>
  <si>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</si>
  <si>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</si>
  <si>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</si>
  <si>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</si>
  <si>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</si>
  <si>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</si>
  <si>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</si>
  <si>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</si>
  <si>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</si>
  <si>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</si>
  <si>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</si>
  <si>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</si>
  <si>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</si>
  <si>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</si>
  <si>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</si>
  <si>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</si>
  <si>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</si>
  <si>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</si>
  <si>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</si>
  <si>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</si>
  <si>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</si>
  <si>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</si>
  <si>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</si>
  <si>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</si>
  <si>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</si>
  <si>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</si>
  <si>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</si>
  <si>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</si>
  <si>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</si>
  <si>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</si>
  <si>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</si>
  <si>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</si>
  <si>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</si>
  <si>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</si>
  <si>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</si>
  <si>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</si>
  <si>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</si>
  <si>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</si>
  <si>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</si>
  <si>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</si>
  <si>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</si>
  <si>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</si>
  <si>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</si>
  <si>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</si>
  <si>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</si>
  <si>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</si>
  <si>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UU000001509</t>
  </si>
  <si>
    <t>车位总数</t>
  </si>
  <si>
    <t>深圳区域公司深圳市福田区文天祥小学（岗厦）物业管理服务中心</t>
  </si>
  <si>
    <t>建筑面积</t>
  </si>
  <si>
    <t>项目类型</t>
  </si>
  <si>
    <t>教育科研</t>
  </si>
  <si>
    <t>项目来源</t>
  </si>
  <si>
    <t>市场拓展-存量项目</t>
  </si>
  <si>
    <t>收费面积</t>
  </si>
  <si>
    <t>项目性质</t>
  </si>
  <si>
    <t>非住</t>
  </si>
  <si>
    <t>业务组织</t>
  </si>
  <si>
    <t>定档</t>
  </si>
  <si>
    <t>接管时间</t>
  </si>
  <si>
    <t>2022-11-01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</si>
  <si>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</si>
  <si>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</si>
  <si>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</si>
  <si>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</si>
  <si>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</si>
  <si>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</si>
  <si>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</si>
  <si>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</si>
  <si>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</si>
  <si>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</si>
  <si>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</si>
  <si>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</si>
  <si>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</si>
  <si>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</si>
  <si>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</si>
  <si>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</si>
  <si>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</si>
  <si>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</si>
  <si>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</si>
  <si>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</si>
  <si>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</si>
  <si>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</si>
  <si>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</si>
  <si>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</si>
  <si>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</si>
  <si>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</si>
  <si>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</si>
  <si>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</si>
  <si>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</si>
  <si>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</si>
  <si>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</si>
  <si>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</si>
  <si>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</si>
  <si>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</si>
  <si>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</si>
  <si>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</si>
  <si>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</si>
  <si>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</si>
  <si>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</si>
  <si>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</si>
  <si>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</si>
  <si>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</si>
  <si>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</si>
  <si>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</si>
  <si>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</si>
  <si>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</si>
  <si>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</si>
  <si>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</si>
  <si>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</si>
  <si>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</si>
  <si>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</si>
  <si>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</si>
  <si>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</si>
  <si>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</si>
  <si>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</si>
  <si>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</si>
  <si>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</si>
  <si>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</si>
  <si>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</si>
  <si>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</si>
  <si>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</si>
  <si>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</si>
  <si>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</si>
  <si>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</si>
  <si>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</si>
  <si>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</si>
  <si>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</si>
  <si>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</si>
  <si>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</si>
  <si>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</si>
  <si>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</si>
  <si>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</si>
  <si>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</si>
  <si>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</si>
  <si>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</si>
  <si>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</si>
  <si>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</si>
  <si>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</si>
  <si>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</si>
  <si>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</si>
  <si>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</si>
  <si>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</si>
  <si>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</si>
  <si>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</si>
  <si>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</si>
  <si>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</si>
  <si>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</si>
  <si>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</si>
  <si>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</si>
  <si>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</si>
  <si>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</si>
  <si>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</si>
  <si>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</si>
  <si>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</si>
  <si>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</si>
  <si>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</si>
  <si>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</si>
  <si>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</si>
  <si>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</si>
  <si>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</si>
  <si>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</si>
  <si>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</si>
  <si>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</si>
  <si>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</si>
  <si>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</si>
  <si>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</si>
  <si>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</si>
  <si>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</si>
  <si>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</si>
  <si>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</si>
  <si>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</si>
  <si>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</si>
  <si>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</si>
  <si>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</si>
  <si>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</si>
  <si>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</si>
  <si>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</si>
  <si>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</si>
  <si>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</si>
  <si>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</si>
  <si>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</si>
  <si>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</si>
  <si>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</si>
  <si>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</si>
  <si>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</si>
  <si>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</si>
  <si>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</si>
  <si>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</si>
  <si>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</si>
  <si>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</si>
  <si>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</si>
  <si>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</si>
  <si>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</si>
  <si>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</si>
  <si>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</si>
  <si>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</si>
  <si>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</si>
  <si>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</si>
  <si>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</si>
  <si>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</si>
  <si>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</si>
  <si>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</si>
  <si>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</si>
  <si>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</si>
  <si>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</si>
  <si>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</si>
  <si>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</si>
  <si>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</si>
  <si>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</si>
  <si>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</si>
  <si>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</si>
  <si>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</si>
  <si>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</si>
  <si>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</si>
  <si>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</si>
  <si>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</si>
  <si>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</si>
  <si>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</si>
  <si>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</si>
  <si>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</si>
  <si>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</si>
  <si>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</si>
  <si>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</si>
  <si>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</si>
  <si>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</si>
  <si>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</si>
  <si>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</si>
  <si>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</si>
  <si>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</si>
  <si>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</si>
  <si>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</si>
  <si>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</si>
  <si>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</si>
  <si>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</si>
  <si>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</si>
  <si>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</si>
  <si>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</si>
  <si>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</si>
  <si>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</si>
  <si>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</si>
  <si>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</si>
  <si>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</si>
  <si>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</si>
  <si>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</si>
  <si>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</si>
  <si>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</si>
  <si>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</si>
  <si>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</si>
  <si>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</si>
  <si>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</si>
  <si>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</si>
  <si>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</si>
  <si>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</si>
  <si>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</si>
  <si>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</si>
  <si>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</si>
  <si>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</si>
  <si>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</si>
  <si>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</si>
  <si>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</si>
  <si>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</si>
  <si>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</si>
  <si>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</si>
  <si>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</si>
  <si>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</si>
  <si>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</si>
  <si>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</si>
  <si>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</si>
  <si>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</si>
  <si>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</si>
  <si>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</si>
  <si>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</si>
  <si>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</si>
  <si>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</si>
  <si>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</si>
  <si>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</si>
  <si>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</si>
  <si>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</si>
  <si>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</si>
  <si>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</si>
  <si>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</si>
  <si>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</si>
  <si>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</si>
  <si>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</si>
  <si>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</si>
  <si>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</si>
  <si>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</si>
  <si>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</si>
  <si>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</si>
  <si>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</si>
  <si>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</si>
  <si>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</si>
  <si>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</si>
  <si>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</si>
  <si>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</si>
  <si>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</si>
  <si>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</si>
  <si>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</si>
  <si>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</si>
  <si>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</si>
  <si>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</si>
  <si>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</si>
  <si>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</si>
  <si>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</si>
  <si>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</si>
  <si>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</si>
  <si>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</si>
  <si>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</si>
  <si>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</si>
  <si>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</si>
  <si>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</si>
  <si>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</si>
  <si>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</si>
  <si>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</si>
  <si>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</si>
  <si>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</si>
  <si>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</si>
  <si>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</si>
  <si>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</si>
  <si>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</si>
  <si>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</si>
  <si>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</si>
  <si>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</si>
  <si>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</si>
  <si>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</si>
  <si>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</si>
  <si>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</si>
  <si>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</si>
  <si>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</si>
  <si>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</si>
  <si>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</si>
  <si>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</si>
  <si>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</si>
  <si>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</si>
  <si>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</si>
  <si>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</si>
  <si>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</si>
  <si>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</si>
  <si>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</si>
  <si>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</si>
  <si>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</si>
  <si>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</si>
  <si>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</si>
  <si>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</si>
  <si>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</si>
  <si>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</si>
  <si>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</si>
  <si>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</si>
  <si>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</si>
  <si>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</si>
  <si>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</si>
  <si>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</si>
  <si>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</si>
  <si>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</si>
  <si>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</si>
  <si>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</si>
  <si>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</si>
  <si>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</si>
  <si>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</si>
  <si>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</si>
  <si>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</si>
  <si>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</si>
  <si>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</si>
  <si>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</si>
  <si>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</si>
  <si>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</si>
  <si>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</si>
  <si>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</si>
  <si>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</si>
  <si>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</si>
  <si>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</si>
  <si>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</si>
  <si>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</si>
  <si>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</si>
  <si>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</si>
  <si>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</si>
  <si>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</si>
  <si>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</si>
  <si>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</si>
  <si>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</si>
  <si>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</si>
  <si>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</si>
  <si>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</si>
  <si>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</si>
  <si>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</si>
  <si>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</si>
  <si>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</si>
  <si>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</si>
  <si>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</si>
  <si>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</si>
  <si>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</si>
  <si>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</si>
  <si>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</si>
  <si>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</si>
  <si>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</si>
  <si>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</si>
  <si>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</si>
  <si>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</si>
  <si>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</si>
  <si>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</si>
  <si>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</si>
  <si>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</si>
  <si>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</si>
  <si>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</si>
  <si>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</si>
  <si>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</si>
  <si>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</si>
  <si>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</si>
  <si>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</si>
  <si>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</si>
  <si>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</si>
  <si>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</si>
  <si>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</si>
  <si>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</si>
  <si>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</si>
  <si>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</si>
  <si>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</si>
  <si>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</si>
  <si>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</si>
  <si>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</si>
  <si>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</si>
  <si>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</si>
  <si>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</si>
  <si>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</si>
  <si>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</si>
  <si>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</si>
  <si>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</si>
  <si>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</si>
  <si>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</si>
  <si>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</si>
  <si>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</si>
  <si>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</si>
  <si>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</si>
  <si>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</si>
  <si>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</si>
  <si>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</si>
  <si>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</si>
  <si>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</si>
  <si>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</si>
  <si>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</si>
  <si>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</si>
  <si>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</si>
  <si>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</si>
  <si>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</si>
  <si>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</si>
  <si>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</si>
  <si>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</si>
  <si>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</si>
  <si>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</si>
  <si>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</si>
  <si>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</si>
  <si>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</si>
  <si>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</si>
  <si>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</si>
  <si>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</si>
  <si>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</si>
  <si>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</si>
  <si>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</si>
  <si>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</si>
  <si>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</si>
  <si>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</si>
  <si>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</si>
  <si>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</si>
  <si>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</si>
  <si>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</si>
  <si>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</si>
  <si>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</si>
  <si>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</si>
  <si>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</si>
  <si>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GCFW-Z-2025-01436</t>
  </si>
  <si>
    <t>GCFW-Z-2025-02873</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</si>
  <si>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</si>
  <si>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</si>
  <si>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</si>
  <si>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</si>
  <si>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</si>
  <si>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</si>
  <si>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</si>
  <si>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</si>
  <si>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</si>
  <si>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</si>
  <si>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</si>
  <si>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</si>
  <si>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</si>
  <si>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</si>
  <si>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</si>
  <si>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</si>
  <si>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</si>
  <si>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</si>
  <si>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</si>
  <si>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</si>
  <si>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</si>
  <si>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</si>
  <si>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17时11分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</si>
  <si>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</si>
  <si>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</si>
  <si>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</si>
  <si>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</si>
  <si>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</si>
  <si>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</si>
  <si>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</si>
  <si>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</si>
  <si>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</si>
  <si>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</si>
  <si>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</si>
  <si>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</si>
  <si>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</si>
  <si>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PO250430000282</t>
  </si>
  <si>
    <t>9010020001</t>
  </si>
  <si>
    <t>消防维保/施工</t>
  </si>
  <si>
    <t>服务类/工程服务类/消防维保/施工</t>
  </si>
  <si>
    <t>深圳市伽玛消防设施工程有限公司</t>
  </si>
  <si>
    <t>2025-03-13 09:49:41.0</t>
  </si>
  <si>
    <t>U金地智慧服务集团公司/UB深圳区域公司/UBV深圳区域公司深圳非住学校项目组/UBVE深圳区域公司深圳市福田区文天祥小学（岗厦）物业管理服务中心//</t>
  </si>
  <si>
    <t>3558441</t>
  </si>
  <si>
    <t>PO250410000468</t>
  </si>
  <si>
    <t>9010010002</t>
  </si>
  <si>
    <t xml:space="preserve">电梯维保 </t>
  </si>
  <si>
    <t>服务类/工程服务类/电梯维保</t>
  </si>
  <si>
    <t>迅达（中国）电梯有限公司深圳分公司</t>
  </si>
  <si>
    <t>2025-03-05 09:04:44.0</t>
  </si>
  <si>
    <t>3536771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</si>
  <si>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</si>
  <si>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</si>
  <si>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</si>
  <si>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</si>
  <si>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</si>
  <si>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</si>
  <si>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</si>
  <si>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</si>
  <si>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</si>
  <si>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</si>
  <si>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</si>
  <si>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</si>
  <si>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</si>
  <si>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</si>
  <si>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</si>
  <si>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</si>
  <si>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</si>
  <si>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</si>
  <si>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</si>
  <si>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</si>
  <si>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</si>
  <si>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</si>
  <si>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</si>
  <si>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</si>
  <si>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</si>
  <si>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</si>
  <si>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</si>
  <si>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</si>
  <si>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</si>
  <si>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</si>
  <si>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</si>
  <si>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</si>
  <si>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</si>
  <si>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</si>
  <si>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</si>
  <si>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</si>
  <si>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</si>
  <si>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</si>
  <si>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</si>
  <si>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</si>
  <si>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</si>
  <si>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</si>
  <si>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</si>
  <si>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</si>
  <si>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</si>
  <si>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</si>
  <si>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</si>
  <si>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</si>
  <si>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</si>
  <si>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</si>
  <si>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</si>
  <si>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</si>
  <si>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</si>
  <si>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</si>
  <si>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</si>
  <si>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</si>
  <si>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</si>
  <si>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</si>
  <si>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</si>
  <si>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</si>
  <si>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</si>
  <si>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</si>
  <si>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</si>
  <si>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</si>
  <si>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</si>
  <si>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</si>
  <si>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</si>
  <si>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</si>
  <si>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</si>
  <si>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</si>
  <si>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</si>
  <si>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</si>
  <si>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</si>
  <si>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</si>
  <si>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</si>
  <si>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</si>
  <si>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</si>
  <si>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</si>
  <si>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</si>
  <si>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</si>
  <si>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</si>
  <si>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</si>
  <si>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</si>
  <si>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</si>
  <si>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</si>
  <si>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</si>
  <si>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</si>
  <si>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</si>
  <si>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</si>
  <si>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</si>
  <si>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</si>
  <si>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</si>
  <si>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</si>
  <si>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</si>
  <si>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</si>
  <si>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</si>
  <si>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</si>
  <si>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</si>
  <si>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</si>
  <si>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</si>
  <si>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</si>
  <si>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</si>
  <si>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</si>
  <si>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</si>
  <si>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</si>
  <si>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</si>
  <si>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</si>
  <si>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</si>
  <si>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</si>
  <si>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</si>
  <si>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</si>
  <si>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</si>
  <si>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</si>
  <si>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</si>
  <si>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</si>
  <si>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</si>
  <si>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</si>
  <si>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</si>
  <si>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</si>
  <si>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</si>
  <si>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</si>
  <si>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</si>
  <si>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</si>
  <si>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</si>
  <si>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</si>
  <si>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</si>
  <si>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</si>
  <si>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</si>
  <si>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</si>
  <si>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</si>
  <si>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</si>
  <si>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</si>
  <si>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</si>
  <si>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</si>
  <si>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</si>
  <si>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</si>
  <si>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2200986184665012224</t>
  </si>
  <si>
    <t>审核通过</t>
  </si>
  <si>
    <t>深圳区域公司非住学校项目组文天祥小学（岗厦）消防维保合同</t>
  </si>
  <si>
    <t>2025-10-31</t>
  </si>
  <si>
    <t>主合同</t>
  </si>
  <si>
    <t>线下签署（智能+物理）</t>
  </si>
  <si>
    <t>001</t>
  </si>
  <si>
    <t>银行转账</t>
  </si>
  <si>
    <t>CNY</t>
  </si>
  <si>
    <t>人民币</t>
  </si>
  <si>
    <t/>
  </si>
  <si>
    <t>增值税专用发票</t>
  </si>
  <si>
    <t>U1015000229</t>
  </si>
  <si>
    <t>深圳区域公司</t>
  </si>
  <si>
    <t>2025-03-15</t>
  </si>
  <si>
    <t>11501025</t>
  </si>
  <si>
    <t>王学思</t>
  </si>
  <si>
    <t>V1.0</t>
  </si>
  <si>
    <t>20031563</t>
  </si>
  <si>
    <t>丁斐</t>
  </si>
  <si>
    <t>正常</t>
  </si>
  <si>
    <t>待履约</t>
  </si>
  <si>
    <t>已签章</t>
  </si>
  <si>
    <t>已归档</t>
  </si>
  <si>
    <t>JD-YWLX-061</t>
  </si>
  <si>
    <t>工程服务类</t>
  </si>
  <si>
    <t>2200986125105953792</t>
  </si>
  <si>
    <t>SealSign-20250425-0271</t>
  </si>
  <si>
    <t>新签</t>
  </si>
  <si>
    <t>关于深圳区域公司 深圳非住学校项目组文天祥小学（岗厦）消防维保服务外包需求，项目结算主体深圳市金地物业管理有限公司为一般纳税人，文天祥小学(岗厦)因合同降价改签补充协议，文天祥两校物业合并管理等原因，甲方来函建议延用文天祥小学前消防维保供应商“深圳市伽玛消防设施工程有限公司”，学校建筑面积13557.22，合同期限为2025年3月15日至10月31日，共7.5个月。含税单价为0.11元/平/月，合同总价为11184.70.（含税单价*13557.22*7.5）.总价在项目预算内。</t>
  </si>
  <si>
    <t>2025-04-30 16:11:35:327</t>
  </si>
  <si>
    <t>2025-04-25 18:41:09:920</t>
  </si>
  <si>
    <t>2025-04-30 17:37:20:272</t>
  </si>
  <si>
    <t>eipuser</t>
  </si>
  <si>
    <t>EIP接口用户</t>
  </si>
  <si>
    <t>2200983421524706304</t>
  </si>
  <si>
    <t>fxyz_engineeringservice</t>
  </si>
  <si>
    <t>2200986184665013248</t>
  </si>
  <si>
    <t>132</t>
  </si>
  <si>
    <t>深圳市金地物业管理有限公司</t>
  </si>
  <si>
    <t>2200986184665013249</t>
  </si>
  <si>
    <t>429822</t>
  </si>
  <si>
    <t>2200233099730673664</t>
  </si>
  <si>
    <t>GCFW-Z-2025-02823</t>
  </si>
  <si>
    <t>废弃</t>
  </si>
  <si>
    <t>已作废</t>
  </si>
  <si>
    <t>未签章</t>
  </si>
  <si>
    <t>未归档</t>
  </si>
  <si>
    <t>2200233057074562048</t>
  </si>
  <si>
    <t>SealSign-20250424-0279</t>
  </si>
  <si>
    <t>2025-04-24 17:46:19:739</t>
  </si>
  <si>
    <t>2025-04-25 18:47:24:572</t>
  </si>
  <si>
    <t>2200231045561850880</t>
  </si>
  <si>
    <t>2200233099730628608</t>
  </si>
  <si>
    <t>2200233099730628609</t>
  </si>
  <si>
    <t>2199479498662019072</t>
  </si>
  <si>
    <t>GCFW-Z-2025-02751</t>
  </si>
  <si>
    <t>关闭</t>
  </si>
  <si>
    <t>2199479444446447616</t>
  </si>
  <si>
    <t>SealSign-20250423-0266</t>
  </si>
  <si>
    <t>2025-04-23 16:17:19:563</t>
  </si>
  <si>
    <t>2025-04-24 17:45:33:896</t>
  </si>
  <si>
    <t>2199461473153993728</t>
  </si>
  <si>
    <t>2199479498661974016</t>
  </si>
  <si>
    <t>2199479498661974017</t>
  </si>
  <si>
    <t>2193631809722392576</t>
  </si>
  <si>
    <t>GCFW-Z-2025-02350</t>
  </si>
  <si>
    <t>文天祥小学（岗厦）消防维保服务合同</t>
  </si>
  <si>
    <t>2193631804445963264</t>
  </si>
  <si>
    <t>SealSign-20250415-0166</t>
  </si>
  <si>
    <t>2025-04-15 15:01:55:642</t>
  </si>
  <si>
    <t>2025-04-16 16:31:13:446</t>
  </si>
  <si>
    <t>2193625318198152192</t>
  </si>
  <si>
    <t>2193631809722393600</t>
  </si>
  <si>
    <t>2193631809722393601</t>
  </si>
  <si>
    <t>2174162125063215104</t>
  </si>
  <si>
    <t>文天祥小学（岗厦）电梯维保服务合同</t>
  </si>
  <si>
    <t>2025-03-01</t>
  </si>
  <si>
    <t>20016515</t>
  </si>
  <si>
    <t>张凤英</t>
  </si>
  <si>
    <t>履约中</t>
  </si>
  <si>
    <t>JD-YWLX-060</t>
  </si>
  <si>
    <t>电梯维保/施工</t>
  </si>
  <si>
    <t>2174082283777064960</t>
  </si>
  <si>
    <t>SealSign-20250319-0192</t>
  </si>
  <si>
    <t>文天祥小学（岗厦）项目，电梯维保2800元；
承包方式：350元/月/台，半包（包含500元内配件），与集采价格一致；
合同有效期：2025年3月1日至2025年10月31日。</t>
  </si>
  <si>
    <t>ID-000028</t>
  </si>
  <si>
    <t>杨振华</t>
  </si>
  <si>
    <t>2025-03-24 18:37:27:423</t>
  </si>
  <si>
    <t>2025-03-19 18:24:50:184</t>
  </si>
  <si>
    <t>2025-04-15 02:24:06:903</t>
  </si>
  <si>
    <t>2174159434022957056</t>
  </si>
  <si>
    <t>2174162125063260160</t>
  </si>
  <si>
    <t>2174162125063260161</t>
  </si>
  <si>
    <t>WYCSR-202212-2330</t>
  </si>
  <si>
    <t>2174082332649099264</t>
  </si>
  <si>
    <t>GCFW-Z-2025-01422</t>
  </si>
  <si>
    <t>2025-03-19 15:49:48:109</t>
  </si>
  <si>
    <t>2025-04-15 02:24:05:229</t>
  </si>
  <si>
    <t>2174082284674691072</t>
  </si>
  <si>
    <t>2174082332649100288</t>
  </si>
  <si>
    <t>2174082332649100289</t>
  </si>
  <si>
    <t>2168291936283136000</t>
  </si>
  <si>
    <t>GCFW-Z-2025-01204</t>
  </si>
  <si>
    <t>2168291882310846464</t>
  </si>
  <si>
    <t>SealSign-20250311-0171</t>
  </si>
  <si>
    <t>2025-03-11 16:01:05:926</t>
  </si>
  <si>
    <t>2025-04-15 02:23:34:986</t>
  </si>
  <si>
    <t>2168287949395870720</t>
  </si>
  <si>
    <t>2168291936283137024</t>
  </si>
  <si>
    <t>2168291936283137025</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</si>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</sst>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4</c:v>
                </c:pt>
                <c:pt idx="3">
                  <c:v>4</c:v>
                </c:pt>
                <c:pt idx="4">
                  <c:v>4</c:v>
                </c:pt>
                <c:pt idx="5">
                  <c:v>4</c:v>
                </c:pt>
                <c:pt idx="6">
                  <c:v>4</c:v>
                </c:pt>
                <c:pt idx="7">
                  <c:v>4</c:v>
                </c:pt>
                <c:pt idx="8">
                  <c:v>4</c:v>
                </c:pt>
                <c:pt idx="9">
                  <c:v>4</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4</c:v>
                </c:pt>
                <c:pt idx="3">
                  <c:v>4</c:v>
                </c:pt>
                <c:pt idx="4">
                  <c:v>4</c:v>
                </c:pt>
                <c:pt idx="5">
                  <c:v>4</c:v>
                </c:pt>
                <c:pt idx="6">
                  <c:v>4</c:v>
                </c:pt>
                <c:pt idx="7">
                  <c:v>4</c:v>
                </c:pt>
                <c:pt idx="8">
                  <c:v>4</c:v>
                </c:pt>
                <c:pt idx="9">
                  <c:v>4</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0.0108497315277758</c:v>
                </c:pt>
                <c:pt idx="1">
                  <c:v>0.989150268472224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0.0210091809598685</c:v>
                </c:pt>
                <c:pt idx="1">
                  <c:v>0.978990819040132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0.00702246094416089</c:v>
                </c:pt>
                <c:pt idx="3">
                  <c:v>0.0137082248124139</c:v>
                </c:pt>
                <c:pt idx="4">
                  <c:v>0.0181462257528232</c:v>
                </c:pt>
                <c:pt idx="5">
                  <c:v>0.0210091809598685</c:v>
                </c:pt>
                <c:pt idx="6">
                  <c:v>0.0232633696873123</c:v>
                </c:pt>
                <c:pt idx="7">
                  <c:v>0.0249813363708396</c:v>
                </c:pt>
                <c:pt idx="8">
                  <c:v>0.0262047806382668</c:v>
                </c:pt>
                <c:pt idx="9">
                  <c:v>0.0273099929846798</c:v>
                </c:pt>
                <c:pt idx="10">
                  <c:v>0.0249159900566011</c:v>
                </c:pt>
                <c:pt idx="11">
                  <c:v>0.022907877972063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1177.40216450216</c:v>
                </c:pt>
                <c:pt idx="3">
                  <c:v>2972.81774891775</c:v>
                </c:pt>
                <c:pt idx="4">
                  <c:v>4828.08051948052</c:v>
                </c:pt>
                <c:pt idx="5">
                  <c:v>6623.4961038961</c:v>
                </c:pt>
                <c:pt idx="6">
                  <c:v>8478.75887445888</c:v>
                </c:pt>
                <c:pt idx="7">
                  <c:v>10334.0216450217</c:v>
                </c:pt>
                <c:pt idx="8">
                  <c:v>12129.4372294372</c:v>
                </c:pt>
                <c:pt idx="9">
                  <c:v>13984.7</c:v>
                </c:pt>
                <c:pt idx="10">
                  <c:v>13984.7</c:v>
                </c:pt>
                <c:pt idx="11">
                  <c:v>13984.7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69259.3864908103</c:v>
                </c:pt>
                <c:pt idx="1">
                  <c:v>118460.858264639</c:v>
                </c:pt>
                <c:pt idx="2">
                  <c:v>167662.330038469</c:v>
                </c:pt>
                <c:pt idx="3">
                  <c:v>216863.801812298</c:v>
                </c:pt>
                <c:pt idx="4">
                  <c:v>266065.273586127</c:v>
                </c:pt>
                <c:pt idx="5">
                  <c:v>315266.745359956</c:v>
                </c:pt>
                <c:pt idx="6">
                  <c:v>364468.217133785</c:v>
                </c:pt>
                <c:pt idx="7">
                  <c:v>413669.688907615</c:v>
                </c:pt>
                <c:pt idx="8">
                  <c:v>462871.160681444</c:v>
                </c:pt>
                <c:pt idx="9">
                  <c:v>512072.632455273</c:v>
                </c:pt>
                <c:pt idx="10">
                  <c:v>561274.104229102</c:v>
                </c:pt>
                <c:pt idx="11">
                  <c:v>610475.576002931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60.2375576002931</c:v>
                </c:pt>
                <c:pt idx="1">
                  <c:v>0.12</c:v>
                </c:pt>
                <c:pt idx="2">
                  <c:v>0.4</c:v>
                </c:pt>
                <c:pt idx="3">
                  <c:v>0</c:v>
                </c:pt>
                <c:pt idx="4">
                  <c:v>0.2</c:v>
                </c:pt>
                <c:pt idx="5">
                  <c:v>0.09</c:v>
                </c:pt>
                <c:pt idx="6">
                  <c:v>57.9404335849057</c:v>
                </c:pt>
                <c:pt idx="7">
                  <c:v>2.29712401538743</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30.8166745359956</c:v>
                </c:pt>
                <c:pt idx="1">
                  <c:v>0.12</c:v>
                </c:pt>
                <c:pt idx="2">
                  <c:v>0.4</c:v>
                </c:pt>
                <c:pt idx="3">
                  <c:v>0</c:v>
                </c:pt>
                <c:pt idx="4">
                  <c:v>0.1</c:v>
                </c:pt>
                <c:pt idx="5">
                  <c:v>0.09</c:v>
                </c:pt>
                <c:pt idx="6">
                  <c:v>29.1020747924529</c:v>
                </c:pt>
                <c:pt idx="7">
                  <c:v>0</c:v>
                </c:pt>
                <c:pt idx="8">
                  <c:v>1.71459974354277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0.66234961038961</c:v>
                </c:pt>
                <c:pt idx="1">
                  <c:v>0</c:v>
                </c:pt>
                <c:pt idx="2">
                  <c:v>0</c:v>
                </c:pt>
                <c:pt idx="3">
                  <c:v>0</c:v>
                </c:pt>
                <c:pt idx="4">
                  <c:v>0</c:v>
                </c:pt>
                <c:pt idx="5">
                  <c:v>0</c:v>
                </c:pt>
                <c:pt idx="6">
                  <c:v>0</c:v>
                </c:pt>
                <c:pt idx="7">
                  <c:v>0</c:v>
                </c:pt>
                <c:pt idx="8">
                  <c:v>0.66234961038961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0.0109956252672898</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0.0214932214576218</c:v>
                </c:pt>
                <c:pt idx="1">
                  <c:v>0</c:v>
                </c:pt>
                <c:pt idx="2">
                  <c:v>0</c:v>
                </c:pt>
                <c:pt idx="3">
                  <c:v>0</c:v>
                </c:pt>
                <c:pt idx="4">
                  <c:v>0</c:v>
                </c:pt>
                <c:pt idx="5">
                  <c:v>0</c:v>
                </c:pt>
                <c:pt idx="6">
                  <c:v>0</c:v>
                </c:pt>
                <c:pt idx="7">
                  <c:v>0</c:v>
                </c:pt>
                <c:pt idx="8">
                  <c:v>0.386299842213342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0.0239302224517689</c:v>
                </c:pt>
                <c:pt idx="3">
                  <c:v>0.0364910950767652</c:v>
                </c:pt>
                <c:pt idx="4">
                  <c:v>0.0377074649126575</c:v>
                </c:pt>
                <c:pt idx="5">
                  <c:v>0.0364910950767652</c:v>
                </c:pt>
                <c:pt idx="6">
                  <c:v>0.0377074649126575</c:v>
                </c:pt>
                <c:pt idx="7">
                  <c:v>0.0377074649126575</c:v>
                </c:pt>
                <c:pt idx="8">
                  <c:v>0.0364910950767652</c:v>
                </c:pt>
                <c:pt idx="9">
                  <c:v>0.0377074649126575</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0.00702246094416089</c:v>
                      </c:pt>
                      <c:pt idx="3">
                        <c:v>0.0137082248124139</c:v>
                      </c:pt>
                      <c:pt idx="4">
                        <c:v>0.0181462257528232</c:v>
                      </c:pt>
                      <c:pt idx="5">
                        <c:v>0.0210091809598685</c:v>
                      </c:pt>
                      <c:pt idx="6">
                        <c:v>0.0232633696873123</c:v>
                      </c:pt>
                      <c:pt idx="7">
                        <c:v>0.0249813363708396</c:v>
                      </c:pt>
                      <c:pt idx="8">
                        <c:v>0.0262047806382668</c:v>
                      </c:pt>
                      <c:pt idx="9">
                        <c:v>0.0273099929846798</c:v>
                      </c:pt>
                      <c:pt idx="10">
                        <c:v>0.0249159900566011</c:v>
                      </c:pt>
                      <c:pt idx="11">
                        <c:v>0.022907877972063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1177.40216450216</c:v>
                </c:pt>
                <c:pt idx="3">
                  <c:v>1795.41558441558</c:v>
                </c:pt>
                <c:pt idx="4">
                  <c:v>1855.26277056277</c:v>
                </c:pt>
                <c:pt idx="5">
                  <c:v>1795.41558441558</c:v>
                </c:pt>
                <c:pt idx="6">
                  <c:v>1855.26277056277</c:v>
                </c:pt>
                <c:pt idx="7">
                  <c:v>1855.26277056277</c:v>
                </c:pt>
                <c:pt idx="8">
                  <c:v>1795.41558441558</c:v>
                </c:pt>
                <c:pt idx="9">
                  <c:v>1855.26277056277</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69259.3864908103</c:v>
                </c:pt>
                <c:pt idx="1">
                  <c:v>49201.4717738292</c:v>
                </c:pt>
                <c:pt idx="2">
                  <c:v>49201.4717738292</c:v>
                </c:pt>
                <c:pt idx="3">
                  <c:v>49201.4717738292</c:v>
                </c:pt>
                <c:pt idx="4">
                  <c:v>49201.4717738292</c:v>
                </c:pt>
                <c:pt idx="5">
                  <c:v>49201.4717738292</c:v>
                </c:pt>
                <c:pt idx="6">
                  <c:v>49201.4717738292</c:v>
                </c:pt>
                <c:pt idx="7">
                  <c:v>49201.4717738292</c:v>
                </c:pt>
                <c:pt idx="8">
                  <c:v>49201.4717738292</c:v>
                </c:pt>
                <c:pt idx="9">
                  <c:v>49201.4717738292</c:v>
                </c:pt>
                <c:pt idx="10">
                  <c:v>49201.4717738292</c:v>
                </c:pt>
                <c:pt idx="11">
                  <c:v>49201.4717738292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1177.40216450216</c:v>
                </c:pt>
                <c:pt idx="3">
                  <c:v>1795.41558441558</c:v>
                </c:pt>
                <c:pt idx="4">
                  <c:v>1855.26277056277</c:v>
                </c:pt>
                <c:pt idx="5">
                  <c:v>1795.41558441558</c:v>
                </c:pt>
                <c:pt idx="6">
                  <c:v>1855.26277056277</c:v>
                </c:pt>
                <c:pt idx="7">
                  <c:v>1855.26277056277</c:v>
                </c:pt>
                <c:pt idx="8">
                  <c:v>1795.41558441558</c:v>
                </c:pt>
                <c:pt idx="9">
                  <c:v>1855.26277056277</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44461.4398241436</c:v>
                </c:pt>
                <c:pt idx="1">
                  <c:v>33140.6851071625</c:v>
                </c:pt>
                <c:pt idx="2">
                  <c:v>33140.6851071625</c:v>
                </c:pt>
                <c:pt idx="3">
                  <c:v>33140.6851071625</c:v>
                </c:pt>
                <c:pt idx="4">
                  <c:v>33140.6851071625</c:v>
                </c:pt>
                <c:pt idx="5">
                  <c:v>33140.6851071625</c:v>
                </c:pt>
                <c:pt idx="6">
                  <c:v>33140.6851071625</c:v>
                </c:pt>
                <c:pt idx="7">
                  <c:v>33140.6851071625</c:v>
                </c:pt>
                <c:pt idx="8">
                  <c:v>33140.6851071625</c:v>
                </c:pt>
                <c:pt idx="9">
                  <c:v>33140.6851071625</c:v>
                </c:pt>
                <c:pt idx="10">
                  <c:v>33140.6851071625</c:v>
                </c:pt>
                <c:pt idx="11">
                  <c:v>33140.6851071625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1200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4000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166.666666666667</c:v>
                </c:pt>
                <c:pt idx="1">
                  <c:v>166.666666666667</c:v>
                </c:pt>
                <c:pt idx="2">
                  <c:v>166.666666666667</c:v>
                </c:pt>
                <c:pt idx="3">
                  <c:v>166.666666666667</c:v>
                </c:pt>
                <c:pt idx="4">
                  <c:v>166.666666666667</c:v>
                </c:pt>
                <c:pt idx="5">
                  <c:v>166.666666666667</c:v>
                </c:pt>
                <c:pt idx="6">
                  <c:v>166.666666666667</c:v>
                </c:pt>
                <c:pt idx="7">
                  <c:v>166.666666666667</c:v>
                </c:pt>
                <c:pt idx="8">
                  <c:v>166.666666666667</c:v>
                </c:pt>
                <c:pt idx="9">
                  <c:v>166.666666666667</c:v>
                </c:pt>
                <c:pt idx="10">
                  <c:v>166.666666666667</c:v>
                </c:pt>
                <c:pt idx="11">
                  <c:v>166.666666666667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900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1177.40216450216</c:v>
                </c:pt>
                <c:pt idx="3">
                  <c:v>1795.41558441558</c:v>
                </c:pt>
                <c:pt idx="4">
                  <c:v>1855.26277056277</c:v>
                </c:pt>
                <c:pt idx="5">
                  <c:v>1795.41558441558</c:v>
                </c:pt>
                <c:pt idx="6">
                  <c:v>1855.26277056277</c:v>
                </c:pt>
                <c:pt idx="7">
                  <c:v>1855.26277056277</c:v>
                </c:pt>
                <c:pt idx="8">
                  <c:v>1795.41558441558</c:v>
                </c:pt>
                <c:pt idx="9">
                  <c:v>1855.26277056277</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1177.40216450216</c:v>
                      </c:pt>
                      <c:pt idx="3">
                        <c:v>2972.81774891775</c:v>
                      </c:pt>
                      <c:pt idx="4">
                        <c:v>4828.08051948052</c:v>
                      </c:pt>
                      <c:pt idx="5">
                        <c:v>6623.4961038961</c:v>
                      </c:pt>
                      <c:pt idx="6">
                        <c:v>8478.75887445888</c:v>
                      </c:pt>
                      <c:pt idx="7">
                        <c:v>10334.0216450217</c:v>
                      </c:pt>
                      <c:pt idx="8">
                        <c:v>12129.4372294372</c:v>
                      </c:pt>
                      <c:pt idx="9">
                        <c:v>13984.7</c:v>
                      </c:pt>
                      <c:pt idx="10">
                        <c:v>13984.7</c:v>
                      </c:pt>
                      <c:pt idx="11">
                        <c:v>13984.7</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44461.4398241436</c:v>
                      </c:pt>
                      <c:pt idx="1">
                        <c:v>77602.1249313062</c:v>
                      </c:pt>
                      <c:pt idx="2">
                        <c:v>110742.810038469</c:v>
                      </c:pt>
                      <c:pt idx="3">
                        <c:v>143883.495145631</c:v>
                      </c:pt>
                      <c:pt idx="4">
                        <c:v>177024.180252794</c:v>
                      </c:pt>
                      <c:pt idx="5">
                        <c:v>210164.865359956</c:v>
                      </c:pt>
                      <c:pt idx="6">
                        <c:v>243305.550467119</c:v>
                      </c:pt>
                      <c:pt idx="7">
                        <c:v>276446.235574281</c:v>
                      </c:pt>
                      <c:pt idx="8">
                        <c:v>309586.920681444</c:v>
                      </c:pt>
                      <c:pt idx="9">
                        <c:v>342727.605788606</c:v>
                      </c:pt>
                      <c:pt idx="10">
                        <c:v>375868.290895769</c:v>
                      </c:pt>
                      <c:pt idx="11">
                        <c:v>409008.976002931</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44461.4398241436</c:v>
                </c:pt>
                <c:pt idx="1">
                  <c:v>33140.6851071625</c:v>
                </c:pt>
                <c:pt idx="2">
                  <c:v>33140.6851071625</c:v>
                </c:pt>
                <c:pt idx="3">
                  <c:v>33140.6851071625</c:v>
                </c:pt>
                <c:pt idx="4">
                  <c:v>33140.6851071625</c:v>
                </c:pt>
                <c:pt idx="5">
                  <c:v>33140.6851071625</c:v>
                </c:pt>
                <c:pt idx="6">
                  <c:v>33140.6851071625</c:v>
                </c:pt>
                <c:pt idx="7">
                  <c:v>33140.6851071625</c:v>
                </c:pt>
                <c:pt idx="8">
                  <c:v>33140.6851071625</c:v>
                </c:pt>
                <c:pt idx="9">
                  <c:v>33140.6851071625</c:v>
                </c:pt>
                <c:pt idx="10">
                  <c:v>33140.6851071625</c:v>
                </c:pt>
                <c:pt idx="11">
                  <c:v>33140.6851071625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1200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4000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166.666666666667</c:v>
                </c:pt>
                <c:pt idx="1">
                  <c:v>166.666666666667</c:v>
                </c:pt>
                <c:pt idx="2">
                  <c:v>166.666666666667</c:v>
                </c:pt>
                <c:pt idx="3">
                  <c:v>166.666666666667</c:v>
                </c:pt>
                <c:pt idx="4">
                  <c:v>166.666666666667</c:v>
                </c:pt>
                <c:pt idx="5">
                  <c:v>166.666666666667</c:v>
                </c:pt>
                <c:pt idx="6">
                  <c:v>166.666666666667</c:v>
                </c:pt>
                <c:pt idx="7">
                  <c:v>166.666666666667</c:v>
                </c:pt>
                <c:pt idx="8">
                  <c:v>166.666666666667</c:v>
                </c:pt>
                <c:pt idx="9">
                  <c:v>166.666666666667</c:v>
                </c:pt>
                <c:pt idx="10">
                  <c:v>166.666666666667</c:v>
                </c:pt>
                <c:pt idx="11">
                  <c:v>166.666666666667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900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1200</c:v>
                      </c:pt>
                      <c:pt idx="1">
                        <c:v>1200</c:v>
                      </c:pt>
                      <c:pt idx="2">
                        <c:v>1200</c:v>
                      </c:pt>
                      <c:pt idx="3">
                        <c:v>1200</c:v>
                      </c:pt>
                      <c:pt idx="4">
                        <c:v>1200</c:v>
                      </c:pt>
                      <c:pt idx="5">
                        <c:v>1200</c:v>
                      </c:pt>
                      <c:pt idx="6">
                        <c:v>1200</c:v>
                      </c:pt>
                      <c:pt idx="7">
                        <c:v>1200</c:v>
                      </c:pt>
                      <c:pt idx="8">
                        <c:v>1200</c:v>
                      </c:pt>
                      <c:pt idx="9">
                        <c:v>1200</c:v>
                      </c:pt>
                      <c:pt idx="10">
                        <c:v>1200</c:v>
                      </c:pt>
                      <c:pt idx="11">
                        <c:v>1200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166.666666666667</c:v>
                      </c:pt>
                      <c:pt idx="1">
                        <c:v>333.333333333334</c:v>
                      </c:pt>
                      <c:pt idx="2">
                        <c:v>500.000000000001</c:v>
                      </c:pt>
                      <c:pt idx="3">
                        <c:v>666.666666666668</c:v>
                      </c:pt>
                      <c:pt idx="4">
                        <c:v>833.333333333335</c:v>
                      </c:pt>
                      <c:pt idx="5">
                        <c:v>1000</c:v>
                      </c:pt>
                      <c:pt idx="6">
                        <c:v>1166.66666666667</c:v>
                      </c:pt>
                      <c:pt idx="7">
                        <c:v>1333.33333333334</c:v>
                      </c:pt>
                      <c:pt idx="8">
                        <c:v>1500</c:v>
                      </c:pt>
                      <c:pt idx="9">
                        <c:v>1666.66666666667</c:v>
                      </c:pt>
                      <c:pt idx="10">
                        <c:v>1833.33333333334</c:v>
                      </c:pt>
                      <c:pt idx="11">
                        <c:v>2000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900</c:v>
                      </c:pt>
                      <c:pt idx="1">
                        <c:v>900</c:v>
                      </c:pt>
                      <c:pt idx="2">
                        <c:v>900</c:v>
                      </c:pt>
                      <c:pt idx="3">
                        <c:v>900</c:v>
                      </c:pt>
                      <c:pt idx="4">
                        <c:v>900</c:v>
                      </c:pt>
                      <c:pt idx="5">
                        <c:v>900</c:v>
                      </c:pt>
                      <c:pt idx="6">
                        <c:v>900</c:v>
                      </c:pt>
                      <c:pt idx="7">
                        <c:v>900</c:v>
                      </c:pt>
                      <c:pt idx="8">
                        <c:v>900</c:v>
                      </c:pt>
                      <c:pt idx="9">
                        <c:v>900</c:v>
                      </c:pt>
                      <c:pt idx="10">
                        <c:v>900</c:v>
                      </c:pt>
                      <c:pt idx="11">
                        <c:v>900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8" t="s">
        <v>78</v>
      </c>
      <c r="D33" s="29" t="s">
        <v>79</v>
      </c>
    </row>
    <row r="34" ht="16.5" spans="1:2">
      <c r="A34" s="445" t="s">
        <v>80</v>
      </c>
      <c r="B34" s="446" t="s">
        <v>81</v>
      </c>
    </row>
    <row r="35" ht="16.5" spans="1:4">
      <c r="A35" s="451" t="s">
        <v>82</v>
      </c>
      <c r="B35" s="452" t="s">
        <v>83</v>
      </c>
      <c r="C35" s="28" t="s">
        <v>84</v>
      </c>
      <c r="D35" s="29" t="s">
        <v>85</v>
      </c>
    </row>
    <row r="36" ht="16.5" spans="1:6">
      <c r="A36" s="451" t="s">
        <v>86</v>
      </c>
      <c r="B36" s="452" t="s">
        <v>87</v>
      </c>
      <c r="C36" s="28" t="s">
        <v>88</v>
      </c>
      <c r="D36" s="29" t="s">
        <v>89</v>
      </c>
      <c r="F36" s="1"/>
    </row>
    <row r="37" ht="16.5" spans="1:6">
      <c r="A37" s="451" t="s">
        <v>90</v>
      </c>
      <c r="B37" s="452" t="s">
        <v>91</v>
      </c>
      <c r="C37" s="28" t="s">
        <v>92</v>
      </c>
      <c r="D37" s="29" t="s">
        <v>93</v>
      </c>
      <c r="F37" s="1"/>
    </row>
    <row r="38" ht="16.5" spans="1:4">
      <c r="A38" s="451" t="s">
        <v>94</v>
      </c>
      <c r="B38" s="452" t="s">
        <v>95</v>
      </c>
      <c r="C38" s="28" t="s">
        <v>96</v>
      </c>
      <c r="D38" s="29" t="s">
        <v>97</v>
      </c>
    </row>
    <row r="39" ht="16.5" spans="1:4">
      <c r="A39" s="454" t="s">
        <v>98</v>
      </c>
      <c r="B39" s="455" t="s">
        <v>99</v>
      </c>
      <c r="C39" s="28" t="s">
        <v>100</v>
      </c>
      <c r="D39" s="29" t="s">
        <v>101</v>
      </c>
    </row>
    <row r="40" ht="16.5" spans="1:4">
      <c r="A40" s="458"/>
      <c r="B40" s="459"/>
      <c r="C40" s="28" t="s">
        <v>102</v>
      </c>
      <c r="D40" s="29"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8" t="s">
        <v>135</v>
      </c>
      <c r="D51" s="467" t="s">
        <v>136</v>
      </c>
    </row>
    <row r="52" ht="16.5" spans="1:4">
      <c r="A52" s="458"/>
      <c r="B52" s="459"/>
      <c r="C52" s="28" t="s">
        <v>137</v>
      </c>
      <c r="D52" s="29" t="s">
        <v>138</v>
      </c>
    </row>
    <row r="53" ht="16.5" spans="1:4">
      <c r="A53" s="454" t="s">
        <v>139</v>
      </c>
      <c r="B53" s="455" t="s">
        <v>140</v>
      </c>
      <c r="C53" s="28" t="s">
        <v>141</v>
      </c>
      <c r="D53" s="29" t="s">
        <v>142</v>
      </c>
    </row>
    <row r="54" ht="16.5" spans="1:4">
      <c r="A54" s="458"/>
      <c r="B54" s="459"/>
      <c r="C54" s="28" t="s">
        <v>143</v>
      </c>
      <c r="D54" s="467" t="s">
        <v>144</v>
      </c>
    </row>
    <row r="55" ht="16.5" spans="1:4">
      <c r="A55" s="451" t="s">
        <v>145</v>
      </c>
      <c r="B55" s="452" t="s">
        <v>146</v>
      </c>
      <c r="C55" s="28" t="s">
        <v>147</v>
      </c>
      <c r="D55" s="29" t="s">
        <v>148</v>
      </c>
    </row>
    <row r="56" ht="16.5" spans="1:2">
      <c r="A56" s="445" t="s">
        <v>149</v>
      </c>
      <c r="B56" s="446" t="s">
        <v>150</v>
      </c>
    </row>
    <row r="57" ht="16.5" spans="1:4">
      <c r="A57" s="451" t="s">
        <v>151</v>
      </c>
      <c r="B57" s="452" t="s">
        <v>152</v>
      </c>
      <c r="C57" s="28" t="s">
        <v>153</v>
      </c>
      <c r="D57" s="29" t="s">
        <v>154</v>
      </c>
    </row>
    <row r="58" ht="16.5" spans="1:4">
      <c r="A58" s="451" t="s">
        <v>155</v>
      </c>
      <c r="B58" s="452" t="s">
        <v>156</v>
      </c>
      <c r="C58" s="28" t="s">
        <v>157</v>
      </c>
      <c r="D58" s="29"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5" activePane="bottomLeft" state="frozen"/>
      <selection/>
      <selection pane="bottomLeft" activeCell="H10" sqref="H10:I10"/>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深圳区域公司深圳市福田区文天祥小学（岗厦）物业管理服务中心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61.0475576002931</v>
      </c>
      <c r="E4" s="343"/>
      <c r="F4" s="342" t="s">
        <v>176</v>
      </c>
      <c r="G4" s="344"/>
      <c r="H4" s="345">
        <f>L3/12</f>
        <v>0.5</v>
      </c>
      <c r="I4" s="345"/>
      <c r="J4" s="381">
        <f t="shared" ref="J4:J9" si="0">H4</f>
        <v>0.5</v>
      </c>
      <c r="K4" s="382">
        <f t="shared" ref="K4:K9" si="1">1-J4</f>
        <v>0.5</v>
      </c>
      <c r="L4" s="383"/>
      <c r="M4" s="384"/>
      <c r="N4" s="385"/>
      <c r="O4" s="386" t="s">
        <v>177</v>
      </c>
      <c r="P4" s="387">
        <f>SUM(P6:P10)</f>
        <v>21</v>
      </c>
      <c r="Q4" s="421" t="s">
        <v>178</v>
      </c>
      <c r="R4" s="422">
        <f>SUM(Q6:Q10)</f>
        <v>20</v>
      </c>
      <c r="S4" s="421" t="s">
        <v>179</v>
      </c>
      <c r="T4" s="423">
        <f>SUM(R6:R10)</f>
        <v>27</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31.5266745359956</v>
      </c>
      <c r="E5" s="343"/>
      <c r="F5" s="342" t="s">
        <v>181</v>
      </c>
      <c r="G5" s="344"/>
      <c r="H5" s="345">
        <f>D6/D4</f>
        <v>0.0108497315277758</v>
      </c>
      <c r="I5" s="345"/>
      <c r="J5" s="388">
        <f t="shared" si="0"/>
        <v>0.0108497315277758</v>
      </c>
      <c r="K5" s="389">
        <f t="shared" si="1"/>
        <v>0.989150268472224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0.66234961038961</v>
      </c>
      <c r="E6" s="346"/>
      <c r="F6" s="342" t="s">
        <v>186</v>
      </c>
      <c r="G6" s="344"/>
      <c r="H6" s="345">
        <f>D6/D5</f>
        <v>0.0210091809598685</v>
      </c>
      <c r="I6" s="345"/>
      <c r="J6" s="392">
        <f t="shared" si="0"/>
        <v>0.0210091809598685</v>
      </c>
      <c r="K6" s="393">
        <f t="shared" si="1"/>
        <v>0.978990819040132</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6</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2</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60.2375576002931</v>
      </c>
      <c r="Q48" s="415">
        <f>INDEX('4主要费项费项月累成本使用情况'!C5:N5,MATCH($L$3&amp;"月",表3_3[[#Headers],[1月]:[12月]],0))/10000</f>
        <v>30.8166745359956</v>
      </c>
      <c r="R48" s="415">
        <f>INDEX('4主要费项费项月累成本使用情况'!C3:N3,MATCH($L$3&amp;"月",表3_3[[#Headers],[1月]:[12月]],0))/10000</f>
        <v>0.66234961038961</v>
      </c>
      <c r="S48" s="435">
        <f t="shared" ref="S48:S56" si="2">IFERROR(R48/P48,"无年度目标")</f>
        <v>0.0109956252672898</v>
      </c>
      <c r="T48" s="436">
        <f t="shared" ref="T48:T56" si="3">IFERROR(R48/Q48,"无月度目标")</f>
        <v>0.0214932214576218</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0.12</v>
      </c>
      <c r="Q49" s="415">
        <f>INDEX('4主要费项费项月累成本使用情况'!C9:N9,MATCH($L$3&amp;"月",表3_3[[#Headers],[1月]:[12月]],0))/10000</f>
        <v>0.12</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0.4</v>
      </c>
      <c r="Q50" s="415">
        <f>INDEX('4主要费项费项月累成本使用情况'!C13:N13,MATCH($L$3&amp;"月",表3_3[[#Headers],[1月]:[12月]],0))/10000</f>
        <v>0.4</v>
      </c>
      <c r="R50" s="415">
        <f>INDEX('4主要费项费项月累成本使用情况'!C10:N10,MATCH($L$3&amp;"月",表3_3[[#Headers],[1月]:[12月]],0))/10000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0.2</v>
      </c>
      <c r="Q52" s="415">
        <f>INDEX('4主要费项费项月累成本使用情况'!C21:N21,MATCH($L$3&amp;"月",表3_3[[#Headers],[1月]:[12月]],0))/10000</f>
        <v>0.1</v>
      </c>
      <c r="R52" s="415">
        <f>INDEX('4主要费项费项月累成本使用情况'!C19:N19,MATCH($L$3&amp;"月",表3_3[[#Headers],[1月]:[12月]],0))/10000</f>
        <v>0</v>
      </c>
      <c r="S52" s="435">
        <f t="shared" si="2"/>
        <v>0</v>
      </c>
      <c r="T52" s="436">
        <f t="shared" si="3"/>
        <v>0</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0.09</v>
      </c>
      <c r="Q53" s="415">
        <f>INDEX('4主要费项费项月累成本使用情况'!C25:N25,MATCH($L$3&amp;"月",表3_3[[#Headers],[1月]:[12月]],0))/10000</f>
        <v>0.09</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57.9404335849057</v>
      </c>
      <c r="Q54" s="415">
        <f>INDEX('4主要费项费项月累成本使用情况'!C29:N29,MATCH($L$3&amp;"月",表3_3[[#Headers],[1月]:[12月]],0))/10000</f>
        <v>29.1020747924529</v>
      </c>
      <c r="R54" s="415">
        <f>INDEX('4主要费项费项月累成本使用情况'!C27:N27,MATCH($L$3&amp;"月",表3_3[[#Headers],[1月]:[12月]],0))/10000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2.29712401538743</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1.71459974354277</v>
      </c>
      <c r="R56" s="415">
        <f>INDEX('4主要费项费项月累成本使用情况'!C35:N35,MATCH($L$3&amp;"月",表3_3[[#Headers],[1月]:[12月]],0))/10000</f>
        <v>0.66234961038961</v>
      </c>
      <c r="S56" s="435" t="str">
        <f t="shared" si="2"/>
        <v>无年度目标</v>
      </c>
      <c r="T56" s="436">
        <f t="shared" si="3"/>
        <v>0.386299842213342</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6" sqref="D6:E6"/>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深圳区域公司深圳市福田区文天祥小学（岗厦）物业管理服务中心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61.0475576002931</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21</v>
      </c>
      <c r="Q4" s="421" t="s">
        <v>178</v>
      </c>
      <c r="R4" s="422">
        <f>SUM(Q6:Q10)</f>
        <v>20</v>
      </c>
      <c r="S4" s="421" t="s">
        <v>179</v>
      </c>
      <c r="T4" s="423">
        <f>SUM(R6:R10)</f>
        <v>27</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18.2224180252794</v>
      </c>
      <c r="E5" s="343"/>
      <c r="F5" s="342" t="s">
        <v>181</v>
      </c>
      <c r="G5" s="344"/>
      <c r="H5" s="345">
        <f>D6/D4</f>
        <v>0.0079087201999009</v>
      </c>
      <c r="I5" s="345"/>
      <c r="J5" s="388">
        <f t="shared" si="0"/>
        <v>0.0079087201999009</v>
      </c>
      <c r="K5" s="389">
        <f t="shared" si="1"/>
        <v>0.992091279800099</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0.482808051948052</v>
      </c>
      <c r="E6" s="346"/>
      <c r="F6" s="342" t="s">
        <v>186</v>
      </c>
      <c r="G6" s="344"/>
      <c r="H6" s="345">
        <f>D6/D5</f>
        <v>0.026495279126967</v>
      </c>
      <c r="I6" s="345"/>
      <c r="J6" s="392">
        <f t="shared" si="0"/>
        <v>0.026495279126967</v>
      </c>
      <c r="K6" s="393">
        <f t="shared" si="1"/>
        <v>0.973504720873033</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6</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2</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2</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60.2375576002931</v>
      </c>
      <c r="Q48" s="415">
        <f>INDEX('4-1主要费项费项月累成本使用情况 '!C5:N5,MATCH($L$3&amp;"月",表3_3[[#Headers],[1月]:[12月]],0))/10000</f>
        <v>17.7024180252794</v>
      </c>
      <c r="R48" s="415">
        <f>INDEX('4-1主要费项费项月累成本使用情况 '!C3:N3,MATCH($L$3&amp;"月",表3_3[[#Headers],[1月]:[12月]],0))/10000</f>
        <v>0.482808051948052</v>
      </c>
      <c r="S48" s="435">
        <f t="shared" ref="S48:S56" si="2">IFERROR(R48/P48,"无年度目标")</f>
        <v>0.00801506686495706</v>
      </c>
      <c r="T48" s="436">
        <f t="shared" ref="T48:T56" si="3">IFERROR(R48/Q48,"无月度目标")</f>
        <v>0.0272735651851964</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0.12</v>
      </c>
      <c r="Q49" s="415">
        <f>INDEX('4-1主要费项费项月累成本使用情况 '!C9:N9,MATCH($L$3&amp;"月",表3_3[[#Headers],[1月]:[12月]],0))/10000</f>
        <v>0.12</v>
      </c>
      <c r="R49" s="415">
        <f>INDEX('4-1主要费项费项月累成本使用情况 '!C7:N7,MATCH($L$3&amp;"月",表3_3[[#Headers],[1月]:[12月]],0))/10000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0.4</v>
      </c>
      <c r="Q50" s="415">
        <f>INDEX('4-1主要费项费项月累成本使用情况 '!C13:N13,MATCH($L$3&amp;"月",表3_3[[#Headers],[1月]:[12月]],0))/10000</f>
        <v>0.4</v>
      </c>
      <c r="R50" s="415">
        <f>INDEX('4-1主要费项费项月累成本使用情况 '!C10:N10,MATCH($L$3&amp;"月",表3_3[[#Headers],[1月]:[12月]],0))/10000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57.9404335849057</v>
      </c>
      <c r="Q54" s="415">
        <f>INDEX('4-1主要费项费项月累成本使用情况 '!C29:N29,MATCH($L$3&amp;"月",表3_3[[#Headers],[1月]:[12月]],0))/10000</f>
        <v>24.2956816603774</v>
      </c>
      <c r="R54" s="415">
        <f>INDEX('4-1主要费项费项月累成本使用情况 '!C27:N27,MATCH($L$3&amp;"月",表3_3[[#Headers],[1月]:[12月]],0))/10000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2.29712401538743</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1.617512364902</v>
      </c>
      <c r="R56" s="415">
        <f>INDEX('4-1主要费项费项月累成本使用情况 '!C35:N35,MATCH($L$3&amp;"月",表3_3[[#Headers],[1月]:[12月]],0))/10000</f>
        <v>0.482808051948052</v>
      </c>
      <c r="S56" s="435" t="str">
        <f t="shared" si="2"/>
        <v>无年度目标</v>
      </c>
      <c r="T56" s="436">
        <f t="shared" si="3"/>
        <v>0.298488013089968</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3" workbookViewId="0">
      <selection activeCell="P83" sqref="P83"/>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612016.92</v>
      </c>
      <c r="D3">
        <v>51001.41</v>
      </c>
      <c r="E3">
        <v>51001.41</v>
      </c>
      <c r="F3">
        <v>51001.41</v>
      </c>
      <c r="G3">
        <v>51001.41</v>
      </c>
      <c r="H3">
        <v>51001.41</v>
      </c>
      <c r="I3">
        <v>51001.41</v>
      </c>
      <c r="J3">
        <v>51001.41</v>
      </c>
      <c r="K3">
        <v>51001.41</v>
      </c>
      <c r="L3">
        <v>51001.41</v>
      </c>
      <c r="M3">
        <v>51001.41</v>
      </c>
      <c r="N3">
        <v>51001.41</v>
      </c>
      <c r="O3">
        <v>51001.41</v>
      </c>
      <c r="P3">
        <v>612016.867924528</v>
      </c>
      <c r="Q3">
        <v>51001.4056603774</v>
      </c>
      <c r="R3">
        <v>51001.4056603774</v>
      </c>
      <c r="S3">
        <v>51001.4056603774</v>
      </c>
      <c r="T3">
        <v>51001.4056603774</v>
      </c>
      <c r="U3">
        <v>51001.4056603774</v>
      </c>
      <c r="V3">
        <v>51001.4056603774</v>
      </c>
      <c r="W3">
        <v>51001.4056603774</v>
      </c>
      <c r="X3">
        <v>51001.4056603774</v>
      </c>
      <c r="Y3">
        <v>51001.4056603774</v>
      </c>
      <c r="Z3">
        <v>51001.4056603774</v>
      </c>
      <c r="AA3">
        <v>51001.4056603774</v>
      </c>
      <c r="AB3">
        <v>51001.4056603774</v>
      </c>
    </row>
    <row r="4" spans="1:28">
      <c r="A4">
        <v>6001</v>
      </c>
      <c r="B4" t="s">
        <v>256</v>
      </c>
      <c r="C4">
        <v>612016.92</v>
      </c>
      <c r="D4">
        <v>51001.41</v>
      </c>
      <c r="E4">
        <v>51001.41</v>
      </c>
      <c r="F4">
        <v>51001.41</v>
      </c>
      <c r="G4">
        <v>51001.41</v>
      </c>
      <c r="H4">
        <v>51001.41</v>
      </c>
      <c r="I4">
        <v>51001.41</v>
      </c>
      <c r="J4">
        <v>51001.41</v>
      </c>
      <c r="K4">
        <v>51001.41</v>
      </c>
      <c r="L4">
        <v>51001.41</v>
      </c>
      <c r="M4">
        <v>51001.41</v>
      </c>
      <c r="N4">
        <v>51001.41</v>
      </c>
      <c r="O4">
        <v>51001.41</v>
      </c>
      <c r="P4">
        <v>612016.867924528</v>
      </c>
      <c r="Q4">
        <v>51001.4056603774</v>
      </c>
      <c r="R4">
        <v>51001.4056603774</v>
      </c>
      <c r="S4">
        <v>51001.4056603774</v>
      </c>
      <c r="T4">
        <v>51001.4056603774</v>
      </c>
      <c r="U4">
        <v>51001.4056603774</v>
      </c>
      <c r="V4">
        <v>51001.4056603774</v>
      </c>
      <c r="W4">
        <v>51001.4056603774</v>
      </c>
      <c r="X4">
        <v>51001.4056603774</v>
      </c>
      <c r="Y4">
        <v>51001.4056603774</v>
      </c>
      <c r="Z4">
        <v>51001.4056603774</v>
      </c>
      <c r="AA4">
        <v>51001.4056603774</v>
      </c>
      <c r="AB4">
        <v>51001.4056603774</v>
      </c>
    </row>
    <row r="5" spans="1:28">
      <c r="A5">
        <v>6001.03</v>
      </c>
      <c r="B5" t="s">
        <v>257</v>
      </c>
      <c r="C5">
        <v>612016.92</v>
      </c>
      <c r="D5">
        <v>51001.41</v>
      </c>
      <c r="E5">
        <v>51001.41</v>
      </c>
      <c r="F5">
        <v>51001.41</v>
      </c>
      <c r="G5">
        <v>51001.41</v>
      </c>
      <c r="H5">
        <v>51001.41</v>
      </c>
      <c r="I5">
        <v>51001.41</v>
      </c>
      <c r="J5">
        <v>51001.41</v>
      </c>
      <c r="K5">
        <v>51001.41</v>
      </c>
      <c r="L5">
        <v>51001.41</v>
      </c>
      <c r="M5">
        <v>51001.41</v>
      </c>
      <c r="N5">
        <v>51001.41</v>
      </c>
      <c r="O5">
        <v>51001.41</v>
      </c>
      <c r="P5">
        <v>612016.867924528</v>
      </c>
      <c r="Q5">
        <v>51001.4056603774</v>
      </c>
      <c r="R5">
        <v>51001.4056603774</v>
      </c>
      <c r="S5">
        <v>51001.4056603774</v>
      </c>
      <c r="T5">
        <v>51001.4056603774</v>
      </c>
      <c r="U5">
        <v>51001.4056603774</v>
      </c>
      <c r="V5">
        <v>51001.4056603774</v>
      </c>
      <c r="W5">
        <v>51001.4056603774</v>
      </c>
      <c r="X5">
        <v>51001.4056603774</v>
      </c>
      <c r="Y5">
        <v>51001.4056603774</v>
      </c>
      <c r="Z5">
        <v>51001.4056603774</v>
      </c>
      <c r="AA5">
        <v>51001.4056603774</v>
      </c>
      <c r="AB5">
        <v>51001.4056603774</v>
      </c>
    </row>
    <row r="6" spans="1:28">
      <c r="A6" t="s">
        <v>258</v>
      </c>
      <c r="B6" t="s">
        <v>259</v>
      </c>
      <c r="C6">
        <v>612016.92</v>
      </c>
      <c r="D6">
        <v>51001.41</v>
      </c>
      <c r="E6">
        <v>51001.41</v>
      </c>
      <c r="F6">
        <v>51001.41</v>
      </c>
      <c r="G6">
        <v>51001.41</v>
      </c>
      <c r="H6">
        <v>51001.41</v>
      </c>
      <c r="I6">
        <v>51001.41</v>
      </c>
      <c r="J6">
        <v>51001.41</v>
      </c>
      <c r="K6">
        <v>51001.41</v>
      </c>
      <c r="L6">
        <v>51001.41</v>
      </c>
      <c r="M6">
        <v>51001.41</v>
      </c>
      <c r="N6">
        <v>51001.41</v>
      </c>
      <c r="O6">
        <v>51001.41</v>
      </c>
      <c r="P6">
        <v>612016.867924528</v>
      </c>
      <c r="Q6">
        <v>51001.4056603774</v>
      </c>
      <c r="R6">
        <v>51001.4056603774</v>
      </c>
      <c r="S6">
        <v>51001.4056603774</v>
      </c>
      <c r="T6">
        <v>51001.4056603774</v>
      </c>
      <c r="U6">
        <v>51001.4056603774</v>
      </c>
      <c r="V6">
        <v>51001.4056603774</v>
      </c>
      <c r="W6">
        <v>51001.4056603774</v>
      </c>
      <c r="X6">
        <v>51001.4056603774</v>
      </c>
      <c r="Y6">
        <v>51001.4056603774</v>
      </c>
      <c r="Z6">
        <v>51001.4056603774</v>
      </c>
      <c r="AA6">
        <v>51001.4056603774</v>
      </c>
      <c r="AB6">
        <v>51001.4056603774</v>
      </c>
    </row>
    <row r="7" spans="1:28">
      <c r="A7" t="s">
        <v>260</v>
      </c>
      <c r="B7" t="s">
        <v>261</v>
      </c>
      <c r="C7">
        <v>601828.2</v>
      </c>
      <c r="D7">
        <v>51001.41</v>
      </c>
      <c r="E7">
        <v>51001.41</v>
      </c>
      <c r="F7">
        <v>51001.41</v>
      </c>
      <c r="G7">
        <v>49869.33</v>
      </c>
      <c r="H7">
        <v>49869.33</v>
      </c>
      <c r="I7">
        <v>49869.33</v>
      </c>
      <c r="J7">
        <v>49869.33</v>
      </c>
      <c r="K7">
        <v>49869.33</v>
      </c>
      <c r="L7">
        <v>49869.33</v>
      </c>
      <c r="M7">
        <v>49869.33</v>
      </c>
      <c r="N7">
        <v>49869.33</v>
      </c>
      <c r="O7">
        <v>49869.33</v>
      </c>
      <c r="P7">
        <v>612016.867924528</v>
      </c>
      <c r="Q7">
        <v>51001.4056603774</v>
      </c>
      <c r="R7">
        <v>51001.4056603774</v>
      </c>
      <c r="S7">
        <v>51001.4056603774</v>
      </c>
      <c r="T7">
        <v>51001.4056603774</v>
      </c>
      <c r="U7">
        <v>51001.4056603774</v>
      </c>
      <c r="V7">
        <v>51001.4056603774</v>
      </c>
      <c r="W7">
        <v>51001.4056603774</v>
      </c>
      <c r="X7">
        <v>51001.4056603774</v>
      </c>
      <c r="Y7">
        <v>51001.4056603774</v>
      </c>
      <c r="Z7">
        <v>51001.4056603774</v>
      </c>
      <c r="AA7">
        <v>51001.4056603774</v>
      </c>
      <c r="AB7">
        <v>51001.4056603774</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10188.72</v>
      </c>
      <c r="G19">
        <v>1132.08</v>
      </c>
      <c r="H19">
        <v>1132.08</v>
      </c>
      <c r="I19">
        <v>1132.08</v>
      </c>
      <c r="J19">
        <v>1132.08</v>
      </c>
      <c r="K19">
        <v>1132.08</v>
      </c>
      <c r="L19">
        <v>1132.08</v>
      </c>
      <c r="M19">
        <v>1132.08</v>
      </c>
      <c r="N19">
        <v>1132.08</v>
      </c>
      <c r="O19">
        <v>1132.08</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629977.01</v>
      </c>
      <c r="D74" s="326">
        <v>54099.96</v>
      </c>
      <c r="E74" s="326">
        <v>52577.15</v>
      </c>
      <c r="F74" s="326">
        <v>51203.1</v>
      </c>
      <c r="G74" s="326">
        <v>56155.69</v>
      </c>
      <c r="H74" s="326">
        <v>51536.11</v>
      </c>
      <c r="I74" s="326">
        <v>51575.08</v>
      </c>
      <c r="J74" s="326">
        <v>54029.73</v>
      </c>
      <c r="K74" s="326">
        <v>47859.42</v>
      </c>
      <c r="L74" s="326">
        <v>52954.44</v>
      </c>
      <c r="M74" s="326">
        <v>54662.11</v>
      </c>
      <c r="N74" s="326">
        <v>51662.11</v>
      </c>
      <c r="O74" s="326">
        <v>51662.11</v>
      </c>
      <c r="P74" s="326">
        <v>610475.576002931</v>
      </c>
      <c r="Q74" s="326">
        <v>53515.3613335776</v>
      </c>
      <c r="R74" s="326">
        <v>49978.2013335776</v>
      </c>
      <c r="S74" s="326">
        <v>50778.2013335776</v>
      </c>
      <c r="T74" s="326">
        <v>50178.2013335776</v>
      </c>
      <c r="U74" s="326">
        <v>50178.2013335776</v>
      </c>
      <c r="V74" s="326">
        <v>52178.2013335776</v>
      </c>
      <c r="W74" s="326">
        <v>50178.2013335776</v>
      </c>
      <c r="X74" s="326">
        <v>50178.2013335776</v>
      </c>
      <c r="Y74" s="326">
        <v>50778.2013335776</v>
      </c>
      <c r="Z74" s="326">
        <v>50178.2013335776</v>
      </c>
      <c r="AA74" s="326">
        <v>50178.2013335776</v>
      </c>
      <c r="AB74" s="326">
        <v>52178.2013335776</v>
      </c>
    </row>
    <row r="75" spans="1:28">
      <c r="A75">
        <v>6401</v>
      </c>
      <c r="B75" t="s">
        <v>5</v>
      </c>
      <c r="C75">
        <v>629977.01</v>
      </c>
      <c r="D75">
        <v>54099.96</v>
      </c>
      <c r="E75">
        <v>52577.15</v>
      </c>
      <c r="F75">
        <v>51203.1</v>
      </c>
      <c r="G75">
        <v>56155.69</v>
      </c>
      <c r="H75">
        <v>51536.11</v>
      </c>
      <c r="I75">
        <v>51575.08</v>
      </c>
      <c r="J75">
        <v>54029.73</v>
      </c>
      <c r="K75">
        <v>47859.42</v>
      </c>
      <c r="L75">
        <v>52954.44</v>
      </c>
      <c r="M75">
        <v>54662.11</v>
      </c>
      <c r="N75">
        <v>51662.11</v>
      </c>
      <c r="O75" s="327">
        <v>51662.11</v>
      </c>
      <c r="P75">
        <v>610475.576002931</v>
      </c>
      <c r="Q75">
        <v>53515.3613335776</v>
      </c>
      <c r="R75">
        <v>49978.2013335776</v>
      </c>
      <c r="S75">
        <v>50778.2013335776</v>
      </c>
      <c r="T75">
        <v>50178.2013335776</v>
      </c>
      <c r="U75">
        <v>50178.2013335776</v>
      </c>
      <c r="V75">
        <v>52178.2013335776</v>
      </c>
      <c r="W75">
        <v>50178.2013335776</v>
      </c>
      <c r="X75">
        <v>50178.2013335776</v>
      </c>
      <c r="Y75">
        <v>50778.2013335776</v>
      </c>
      <c r="Z75">
        <v>50178.2013335776</v>
      </c>
      <c r="AA75">
        <v>50178.2013335776</v>
      </c>
      <c r="AB75">
        <v>52178.2013335776</v>
      </c>
    </row>
    <row r="76" spans="1:28">
      <c r="A76">
        <v>6401.03</v>
      </c>
      <c r="B76" t="s">
        <v>6</v>
      </c>
      <c r="C76">
        <v>629977.01</v>
      </c>
      <c r="D76">
        <v>54099.96</v>
      </c>
      <c r="E76">
        <v>52577.15</v>
      </c>
      <c r="F76">
        <v>51203.1</v>
      </c>
      <c r="G76">
        <v>56155.69</v>
      </c>
      <c r="H76">
        <v>51536.11</v>
      </c>
      <c r="I76">
        <v>51575.08</v>
      </c>
      <c r="J76">
        <v>54029.73</v>
      </c>
      <c r="K76">
        <v>47859.42</v>
      </c>
      <c r="L76">
        <v>52954.44</v>
      </c>
      <c r="M76">
        <v>54662.11</v>
      </c>
      <c r="N76">
        <v>51662.11</v>
      </c>
      <c r="O76" s="327">
        <v>51662.11</v>
      </c>
      <c r="P76">
        <v>610475.576002931</v>
      </c>
      <c r="Q76">
        <v>53515.3613335776</v>
      </c>
      <c r="R76">
        <v>49978.2013335776</v>
      </c>
      <c r="S76">
        <v>50778.2013335776</v>
      </c>
      <c r="T76">
        <v>50178.2013335776</v>
      </c>
      <c r="U76">
        <v>50178.2013335776</v>
      </c>
      <c r="V76">
        <v>52178.2013335776</v>
      </c>
      <c r="W76">
        <v>50178.2013335776</v>
      </c>
      <c r="X76">
        <v>50178.2013335776</v>
      </c>
      <c r="Y76">
        <v>50778.2013335776</v>
      </c>
      <c r="Z76">
        <v>50178.2013335776</v>
      </c>
      <c r="AA76">
        <v>50178.2013335776</v>
      </c>
      <c r="AB76">
        <v>52178.2013335776</v>
      </c>
    </row>
    <row r="77" spans="1:28">
      <c r="A77" t="s">
        <v>7</v>
      </c>
      <c r="B77" t="s">
        <v>8</v>
      </c>
      <c r="C77">
        <v>513.28</v>
      </c>
      <c r="J77">
        <v>513.28</v>
      </c>
      <c r="O77" s="327"/>
      <c r="P77" s="326">
        <v>1200</v>
      </c>
      <c r="Q77">
        <v>0</v>
      </c>
      <c r="R77">
        <v>0</v>
      </c>
      <c r="S77">
        <v>600</v>
      </c>
      <c r="T77">
        <v>0</v>
      </c>
      <c r="U77">
        <v>0</v>
      </c>
      <c r="V77">
        <v>0</v>
      </c>
      <c r="W77">
        <v>0</v>
      </c>
      <c r="X77">
        <v>0</v>
      </c>
      <c r="Y77">
        <v>600</v>
      </c>
      <c r="Z77">
        <v>0</v>
      </c>
      <c r="AA77">
        <v>0</v>
      </c>
      <c r="AB77">
        <v>0</v>
      </c>
    </row>
    <row r="78" spans="1:28">
      <c r="A78" t="s">
        <v>10</v>
      </c>
      <c r="B78" t="s">
        <v>11</v>
      </c>
      <c r="C78">
        <v>405262.82</v>
      </c>
      <c r="D78">
        <v>34084.08</v>
      </c>
      <c r="E78">
        <v>33639.85</v>
      </c>
      <c r="F78">
        <v>34111.54</v>
      </c>
      <c r="G78">
        <v>34111.54</v>
      </c>
      <c r="H78">
        <v>34084.08</v>
      </c>
      <c r="I78">
        <v>34084.08</v>
      </c>
      <c r="J78">
        <v>34084.08</v>
      </c>
      <c r="K78">
        <v>30727.25</v>
      </c>
      <c r="L78">
        <v>34084.08</v>
      </c>
      <c r="M78">
        <v>34084.08</v>
      </c>
      <c r="N78">
        <v>34084.08</v>
      </c>
      <c r="O78" s="327">
        <v>34084.08</v>
      </c>
      <c r="P78">
        <v>413008.976002931</v>
      </c>
      <c r="Q78">
        <v>34084.0813335776</v>
      </c>
      <c r="R78">
        <v>34084.0813335776</v>
      </c>
      <c r="S78">
        <v>34084.0813335776</v>
      </c>
      <c r="T78">
        <v>34084.0813335776</v>
      </c>
      <c r="U78">
        <v>34084.0813335776</v>
      </c>
      <c r="V78">
        <v>36084.0813335776</v>
      </c>
      <c r="W78">
        <v>34084.0813335776</v>
      </c>
      <c r="X78">
        <v>34084.0813335776</v>
      </c>
      <c r="Y78">
        <v>34084.0813335776</v>
      </c>
      <c r="Z78">
        <v>34084.0813335776</v>
      </c>
      <c r="AA78">
        <v>34084.0813335776</v>
      </c>
      <c r="AB78">
        <v>36084.0813335776</v>
      </c>
    </row>
    <row r="79" spans="1:28">
      <c r="A79" t="s">
        <v>12</v>
      </c>
      <c r="B79" s="327" t="s">
        <v>13</v>
      </c>
      <c r="C79">
        <v>332830.2</v>
      </c>
      <c r="D79">
        <v>27735.85</v>
      </c>
      <c r="E79">
        <v>27735.85</v>
      </c>
      <c r="F79">
        <v>27735.85</v>
      </c>
      <c r="G79">
        <v>27735.85</v>
      </c>
      <c r="H79">
        <v>27735.85</v>
      </c>
      <c r="I79">
        <v>27735.85</v>
      </c>
      <c r="J79">
        <v>27735.85</v>
      </c>
      <c r="K79">
        <v>27735.85</v>
      </c>
      <c r="L79">
        <v>27735.85</v>
      </c>
      <c r="M79">
        <v>27735.85</v>
      </c>
      <c r="N79">
        <v>27735.85</v>
      </c>
      <c r="O79" s="327">
        <v>27735.85</v>
      </c>
      <c r="P79" s="326">
        <v>332830.188679245</v>
      </c>
      <c r="Q79">
        <v>27735.8490566038</v>
      </c>
      <c r="R79">
        <v>27735.8490566038</v>
      </c>
      <c r="S79">
        <v>27735.8490566038</v>
      </c>
      <c r="T79">
        <v>27735.8490566038</v>
      </c>
      <c r="U79">
        <v>27735.8490566038</v>
      </c>
      <c r="V79">
        <v>27735.8490566038</v>
      </c>
      <c r="W79">
        <v>27735.8490566038</v>
      </c>
      <c r="X79">
        <v>27735.8490566038</v>
      </c>
      <c r="Y79">
        <v>27735.8490566038</v>
      </c>
      <c r="Z79">
        <v>27735.8490566038</v>
      </c>
      <c r="AA79">
        <v>27735.8490566038</v>
      </c>
      <c r="AB79">
        <v>27735.8490566038</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53207.52</v>
      </c>
      <c r="D81">
        <v>4433.96</v>
      </c>
      <c r="E81">
        <v>4433.96</v>
      </c>
      <c r="F81">
        <v>4433.96</v>
      </c>
      <c r="G81">
        <v>4433.96</v>
      </c>
      <c r="H81">
        <v>4433.96</v>
      </c>
      <c r="I81">
        <v>4433.96</v>
      </c>
      <c r="J81">
        <v>4433.96</v>
      </c>
      <c r="K81">
        <v>4433.96</v>
      </c>
      <c r="L81">
        <v>4433.96</v>
      </c>
      <c r="M81">
        <v>4433.96</v>
      </c>
      <c r="N81">
        <v>4433.96</v>
      </c>
      <c r="O81" s="326">
        <v>4433.96</v>
      </c>
      <c r="P81" s="326">
        <v>53207.5471698113</v>
      </c>
      <c r="Q81">
        <v>4433.96226415094</v>
      </c>
      <c r="R81">
        <v>4433.96226415094</v>
      </c>
      <c r="S81">
        <v>4433.96226415094</v>
      </c>
      <c r="T81">
        <v>4433.96226415094</v>
      </c>
      <c r="U81">
        <v>4433.96226415094</v>
      </c>
      <c r="V81">
        <v>4433.96226415094</v>
      </c>
      <c r="W81">
        <v>4433.96226415094</v>
      </c>
      <c r="X81">
        <v>4433.96226415094</v>
      </c>
      <c r="Y81">
        <v>4433.96226415094</v>
      </c>
      <c r="Z81">
        <v>4433.96226415094</v>
      </c>
      <c r="AA81">
        <v>4433.96226415094</v>
      </c>
      <c r="AB81">
        <v>4433.96226415094</v>
      </c>
    </row>
    <row r="82" spans="1:28">
      <c r="A82" t="s">
        <v>26</v>
      </c>
      <c r="B82" t="s">
        <v>27</v>
      </c>
      <c r="C82">
        <v>9846.1</v>
      </c>
      <c r="D82">
        <v>970.87</v>
      </c>
      <c r="E82">
        <v>526.65</v>
      </c>
      <c r="F82">
        <v>998.34</v>
      </c>
      <c r="G82">
        <v>998.34</v>
      </c>
      <c r="H82">
        <v>970.88</v>
      </c>
      <c r="I82">
        <v>970.88</v>
      </c>
      <c r="J82">
        <v>970.88</v>
      </c>
      <c r="K82">
        <v>-444.22</v>
      </c>
      <c r="L82">
        <v>970.87</v>
      </c>
      <c r="M82">
        <v>970.87</v>
      </c>
      <c r="N82">
        <v>970.87</v>
      </c>
      <c r="O82" s="326">
        <v>970.87</v>
      </c>
      <c r="P82" s="326">
        <v>11650.4854368932</v>
      </c>
      <c r="Q82">
        <v>970.873786407767</v>
      </c>
      <c r="R82">
        <v>970.873786407767</v>
      </c>
      <c r="S82">
        <v>970.873786407767</v>
      </c>
      <c r="T82">
        <v>970.873786407767</v>
      </c>
      <c r="U82">
        <v>970.873786407767</v>
      </c>
      <c r="V82">
        <v>970.873786407767</v>
      </c>
      <c r="W82">
        <v>970.873786407767</v>
      </c>
      <c r="X82">
        <v>970.873786407767</v>
      </c>
      <c r="Y82">
        <v>970.873786407767</v>
      </c>
      <c r="Z82">
        <v>970.873786407767</v>
      </c>
      <c r="AA82">
        <v>970.873786407767</v>
      </c>
      <c r="AB82">
        <v>970.873786407767</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4000</v>
      </c>
      <c r="Q84">
        <v>0</v>
      </c>
      <c r="R84">
        <v>0</v>
      </c>
      <c r="S84">
        <v>0</v>
      </c>
      <c r="T84">
        <v>0</v>
      </c>
      <c r="U84">
        <v>0</v>
      </c>
      <c r="V84">
        <v>2000</v>
      </c>
      <c r="W84">
        <v>0</v>
      </c>
      <c r="X84">
        <v>0</v>
      </c>
      <c r="Y84">
        <v>0</v>
      </c>
      <c r="Z84">
        <v>0</v>
      </c>
      <c r="AA84">
        <v>0</v>
      </c>
      <c r="AB84">
        <v>2000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9379</v>
      </c>
      <c r="D87">
        <v>943.4</v>
      </c>
      <c r="E87">
        <v>943.39</v>
      </c>
      <c r="F87">
        <v>943.39</v>
      </c>
      <c r="G87">
        <v>943.39</v>
      </c>
      <c r="H87">
        <v>943.39</v>
      </c>
      <c r="I87">
        <v>943.39</v>
      </c>
      <c r="J87">
        <v>943.39</v>
      </c>
      <c r="K87">
        <v>-998.34</v>
      </c>
      <c r="L87">
        <v>943.4</v>
      </c>
      <c r="M87">
        <v>943.4</v>
      </c>
      <c r="N87">
        <v>943.4</v>
      </c>
      <c r="O87" s="326">
        <v>943.4</v>
      </c>
      <c r="P87" s="326">
        <v>11320.7547169811</v>
      </c>
      <c r="Q87">
        <v>943.396226415094</v>
      </c>
      <c r="R87">
        <v>943.396226415094</v>
      </c>
      <c r="S87">
        <v>943.396226415094</v>
      </c>
      <c r="T87">
        <v>943.396226415094</v>
      </c>
      <c r="U87">
        <v>943.396226415094</v>
      </c>
      <c r="V87">
        <v>943.396226415094</v>
      </c>
      <c r="W87">
        <v>943.396226415094</v>
      </c>
      <c r="X87">
        <v>943.396226415094</v>
      </c>
      <c r="Y87">
        <v>943.396226415094</v>
      </c>
      <c r="Z87">
        <v>943.396226415094</v>
      </c>
      <c r="AA87">
        <v>943.396226415094</v>
      </c>
      <c r="AB87">
        <v>943.396226415094</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0</v>
      </c>
      <c r="O94" s="326"/>
      <c r="P94" s="326">
        <v>0</v>
      </c>
      <c r="Q94">
        <v>0</v>
      </c>
      <c r="R94">
        <v>0</v>
      </c>
      <c r="S94">
        <v>0</v>
      </c>
      <c r="T94">
        <v>0</v>
      </c>
      <c r="U94">
        <v>0</v>
      </c>
      <c r="V94">
        <v>0</v>
      </c>
      <c r="W94">
        <v>0</v>
      </c>
      <c r="X94">
        <v>0</v>
      </c>
      <c r="Y94">
        <v>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28">
      <c r="A102" t="s">
        <v>90</v>
      </c>
      <c r="B102" t="s">
        <v>91</v>
      </c>
      <c r="C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214899.41</v>
      </c>
      <c r="D106">
        <v>20015.88</v>
      </c>
      <c r="E106">
        <v>18937.3</v>
      </c>
      <c r="F106">
        <v>19291.56</v>
      </c>
      <c r="G106">
        <v>17044.15</v>
      </c>
      <c r="H106">
        <v>17452.03</v>
      </c>
      <c r="I106">
        <v>17491</v>
      </c>
      <c r="J106">
        <v>17572.37</v>
      </c>
      <c r="K106">
        <v>17132.17</v>
      </c>
      <c r="L106">
        <v>17228.86</v>
      </c>
      <c r="M106">
        <v>17578.03</v>
      </c>
      <c r="N106">
        <v>17578.03</v>
      </c>
      <c r="O106">
        <v>17578.03</v>
      </c>
      <c r="P106" s="326">
        <v>193366.6</v>
      </c>
      <c r="Q106">
        <v>18531.28</v>
      </c>
      <c r="R106">
        <v>15894.12</v>
      </c>
      <c r="S106">
        <v>15894.12</v>
      </c>
      <c r="T106">
        <v>15894.12</v>
      </c>
      <c r="U106">
        <v>15894.12</v>
      </c>
      <c r="V106">
        <v>15894.12</v>
      </c>
      <c r="W106">
        <v>15894.12</v>
      </c>
      <c r="X106">
        <v>15894.12</v>
      </c>
      <c r="Y106">
        <v>15894.12</v>
      </c>
      <c r="Z106">
        <v>15894.12</v>
      </c>
      <c r="AA106">
        <v>15894.12</v>
      </c>
      <c r="AB106">
        <v>15894.12</v>
      </c>
    </row>
    <row r="107" spans="1:28">
      <c r="A107" t="s">
        <v>106</v>
      </c>
      <c r="B107" t="s">
        <v>107</v>
      </c>
      <c r="C107">
        <v>191116.77</v>
      </c>
      <c r="D107">
        <v>17534.72</v>
      </c>
      <c r="E107">
        <v>15136</v>
      </c>
      <c r="F107">
        <v>17606.34</v>
      </c>
      <c r="G107">
        <v>15358.93</v>
      </c>
      <c r="H107">
        <v>15696.35</v>
      </c>
      <c r="I107">
        <v>15735.32</v>
      </c>
      <c r="J107">
        <v>15816.69</v>
      </c>
      <c r="K107">
        <v>15370.83</v>
      </c>
      <c r="L107">
        <v>15411.52</v>
      </c>
      <c r="M107">
        <v>15816.69</v>
      </c>
      <c r="N107">
        <v>15816.69</v>
      </c>
      <c r="O107" s="326">
        <v>15816.69</v>
      </c>
      <c r="P107" s="326">
        <v>170232.96</v>
      </c>
      <c r="Q107">
        <v>14186.08</v>
      </c>
      <c r="R107">
        <v>14186.08</v>
      </c>
      <c r="S107">
        <v>14186.08</v>
      </c>
      <c r="T107">
        <v>14186.08</v>
      </c>
      <c r="U107">
        <v>14186.08</v>
      </c>
      <c r="V107">
        <v>14186.08</v>
      </c>
      <c r="W107">
        <v>14186.08</v>
      </c>
      <c r="X107">
        <v>14186.08</v>
      </c>
      <c r="Y107">
        <v>14186.08</v>
      </c>
      <c r="Z107">
        <v>14186.08</v>
      </c>
      <c r="AA107">
        <v>14186.08</v>
      </c>
      <c r="AB107">
        <v>14186.08</v>
      </c>
    </row>
    <row r="108" spans="1:28">
      <c r="A108" t="s">
        <v>110</v>
      </c>
      <c r="B108" t="s">
        <v>111</v>
      </c>
      <c r="C108">
        <v>3666.66</v>
      </c>
      <c r="E108">
        <v>2138.86</v>
      </c>
      <c r="F108">
        <v>152.78</v>
      </c>
      <c r="G108">
        <v>152.78</v>
      </c>
      <c r="H108">
        <v>152.78</v>
      </c>
      <c r="I108">
        <v>152.78</v>
      </c>
      <c r="J108">
        <v>152.78</v>
      </c>
      <c r="K108">
        <v>152.78</v>
      </c>
      <c r="L108">
        <v>152.78</v>
      </c>
      <c r="M108">
        <v>152.78</v>
      </c>
      <c r="N108">
        <v>152.78</v>
      </c>
      <c r="O108">
        <v>152.78</v>
      </c>
      <c r="P108" s="326">
        <v>2042.2</v>
      </c>
      <c r="Q108">
        <v>2042.2</v>
      </c>
      <c r="R108">
        <v>0</v>
      </c>
      <c r="S108">
        <v>0</v>
      </c>
      <c r="T108">
        <v>0</v>
      </c>
      <c r="U108">
        <v>0</v>
      </c>
      <c r="V108">
        <v>0</v>
      </c>
      <c r="W108">
        <v>0</v>
      </c>
      <c r="X108">
        <v>0</v>
      </c>
      <c r="Y108">
        <v>0</v>
      </c>
      <c r="Z108">
        <v>0</v>
      </c>
      <c r="AA108">
        <v>0</v>
      </c>
      <c r="AB108">
        <v>0</v>
      </c>
    </row>
    <row r="109" spans="1:28">
      <c r="A109" t="s">
        <v>113</v>
      </c>
      <c r="B109" t="s">
        <v>114</v>
      </c>
      <c r="C109">
        <v>130</v>
      </c>
      <c r="E109">
        <v>130</v>
      </c>
      <c r="P109" s="326">
        <v>816</v>
      </c>
      <c r="Q109">
        <v>68</v>
      </c>
      <c r="R109">
        <v>68</v>
      </c>
      <c r="S109">
        <v>68</v>
      </c>
      <c r="T109">
        <v>68</v>
      </c>
      <c r="U109">
        <v>68</v>
      </c>
      <c r="V109">
        <v>68</v>
      </c>
      <c r="W109">
        <v>68</v>
      </c>
      <c r="X109">
        <v>68</v>
      </c>
      <c r="Y109">
        <v>68</v>
      </c>
      <c r="Z109">
        <v>68</v>
      </c>
      <c r="AA109">
        <v>68</v>
      </c>
      <c r="AB109">
        <v>68</v>
      </c>
    </row>
    <row r="110" spans="1:28">
      <c r="A110" t="s">
        <v>116</v>
      </c>
      <c r="B110" t="s">
        <v>117</v>
      </c>
      <c r="C110">
        <v>16573.1</v>
      </c>
      <c r="D110">
        <v>1664.28</v>
      </c>
      <c r="E110">
        <v>1296.44</v>
      </c>
      <c r="F110">
        <v>1296.44</v>
      </c>
      <c r="G110">
        <v>1296.44</v>
      </c>
      <c r="H110">
        <v>1366.9</v>
      </c>
      <c r="I110">
        <v>1366.9</v>
      </c>
      <c r="J110">
        <v>1366.9</v>
      </c>
      <c r="K110">
        <v>1372.56</v>
      </c>
      <c r="L110">
        <v>1428.56</v>
      </c>
      <c r="M110">
        <v>1372.56</v>
      </c>
      <c r="N110">
        <v>1372.56</v>
      </c>
      <c r="O110">
        <v>1372.56</v>
      </c>
      <c r="P110" s="326">
        <v>16848.48</v>
      </c>
      <c r="Q110">
        <v>1404.04</v>
      </c>
      <c r="R110">
        <v>1404.04</v>
      </c>
      <c r="S110">
        <v>1404.04</v>
      </c>
      <c r="T110">
        <v>1404.04</v>
      </c>
      <c r="U110">
        <v>1404.04</v>
      </c>
      <c r="V110">
        <v>1404.04</v>
      </c>
      <c r="W110">
        <v>1404.04</v>
      </c>
      <c r="X110">
        <v>1404.04</v>
      </c>
      <c r="Y110">
        <v>1404.04</v>
      </c>
      <c r="Z110">
        <v>1404.04</v>
      </c>
      <c r="AA110">
        <v>1404.04</v>
      </c>
      <c r="AB110">
        <v>1404.04</v>
      </c>
    </row>
    <row r="111" spans="1:28">
      <c r="A111" t="s">
        <v>119</v>
      </c>
      <c r="B111" t="s">
        <v>120</v>
      </c>
      <c r="C111">
        <v>3412.88</v>
      </c>
      <c r="D111">
        <v>816.88</v>
      </c>
      <c r="E111">
        <v>236</v>
      </c>
      <c r="F111">
        <v>236</v>
      </c>
      <c r="G111">
        <v>236</v>
      </c>
      <c r="H111">
        <v>236</v>
      </c>
      <c r="I111">
        <v>236</v>
      </c>
      <c r="J111">
        <v>236</v>
      </c>
      <c r="K111">
        <v>236</v>
      </c>
      <c r="L111">
        <v>236</v>
      </c>
      <c r="M111">
        <v>236</v>
      </c>
      <c r="N111">
        <v>236</v>
      </c>
      <c r="O111">
        <v>236</v>
      </c>
      <c r="P111" s="326">
        <v>2832</v>
      </c>
      <c r="Q111">
        <v>236</v>
      </c>
      <c r="R111">
        <v>236</v>
      </c>
      <c r="S111">
        <v>236</v>
      </c>
      <c r="T111">
        <v>236</v>
      </c>
      <c r="U111">
        <v>236</v>
      </c>
      <c r="V111">
        <v>236</v>
      </c>
      <c r="W111">
        <v>236</v>
      </c>
      <c r="X111">
        <v>236</v>
      </c>
      <c r="Y111">
        <v>236</v>
      </c>
      <c r="Z111">
        <v>236</v>
      </c>
      <c r="AA111">
        <v>236</v>
      </c>
      <c r="AB111">
        <v>236</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P113" s="326">
        <v>0</v>
      </c>
      <c r="Q113">
        <v>0</v>
      </c>
      <c r="R113">
        <v>0</v>
      </c>
      <c r="S113">
        <v>0</v>
      </c>
      <c r="T113">
        <v>0</v>
      </c>
      <c r="U113">
        <v>0</v>
      </c>
      <c r="V113">
        <v>0</v>
      </c>
      <c r="W113">
        <v>0</v>
      </c>
      <c r="X113">
        <v>0</v>
      </c>
      <c r="Y113">
        <v>0</v>
      </c>
      <c r="Z113">
        <v>0</v>
      </c>
      <c r="AA113">
        <v>0</v>
      </c>
      <c r="AB113">
        <v>0</v>
      </c>
    </row>
    <row r="114" spans="1:28">
      <c r="A114" t="s">
        <v>128</v>
      </c>
      <c r="B114" t="s">
        <v>129</v>
      </c>
      <c r="C114">
        <v>0</v>
      </c>
      <c r="P114" s="326">
        <v>594.96</v>
      </c>
      <c r="Q114">
        <v>594.96</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9301.5</v>
      </c>
      <c r="D124">
        <v>0</v>
      </c>
      <c r="E124">
        <v>0</v>
      </c>
      <c r="F124">
        <v>-2200</v>
      </c>
      <c r="G124">
        <v>5000</v>
      </c>
      <c r="H124">
        <v>0</v>
      </c>
      <c r="I124">
        <v>0</v>
      </c>
      <c r="J124">
        <v>1860</v>
      </c>
      <c r="K124">
        <v>0</v>
      </c>
      <c r="L124">
        <v>1641.5</v>
      </c>
      <c r="M124">
        <v>3000</v>
      </c>
      <c r="N124">
        <v>0</v>
      </c>
      <c r="O124">
        <v>0</v>
      </c>
      <c r="P124">
        <v>2900</v>
      </c>
      <c r="Q124">
        <v>900</v>
      </c>
      <c r="R124">
        <v>0</v>
      </c>
      <c r="S124">
        <v>200</v>
      </c>
      <c r="T124">
        <v>200</v>
      </c>
      <c r="U124">
        <v>200</v>
      </c>
      <c r="V124">
        <v>200</v>
      </c>
      <c r="W124">
        <v>200</v>
      </c>
      <c r="X124">
        <v>200</v>
      </c>
      <c r="Y124">
        <v>200</v>
      </c>
      <c r="Z124">
        <v>200</v>
      </c>
      <c r="AA124">
        <v>200</v>
      </c>
      <c r="AB124">
        <v>200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1641.5</v>
      </c>
      <c r="L127">
        <v>1641.5</v>
      </c>
      <c r="P127" s="326">
        <v>2000</v>
      </c>
      <c r="Q127">
        <v>0</v>
      </c>
      <c r="R127">
        <v>0</v>
      </c>
      <c r="S127">
        <v>200</v>
      </c>
      <c r="T127">
        <v>200</v>
      </c>
      <c r="U127">
        <v>200</v>
      </c>
      <c r="V127">
        <v>200</v>
      </c>
      <c r="W127">
        <v>200</v>
      </c>
      <c r="X127">
        <v>200</v>
      </c>
      <c r="Y127">
        <v>200</v>
      </c>
      <c r="Z127">
        <v>200</v>
      </c>
      <c r="AA127">
        <v>200</v>
      </c>
      <c r="AB127">
        <v>200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7660</v>
      </c>
      <c r="F132">
        <v>-2200</v>
      </c>
      <c r="G132">
        <v>5000</v>
      </c>
      <c r="J132">
        <v>1860</v>
      </c>
      <c r="M132">
        <v>3000</v>
      </c>
      <c r="P132" s="326">
        <v>900</v>
      </c>
      <c r="Q132">
        <v>900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1503.6</v>
      </c>
      <c r="D332">
        <v>0</v>
      </c>
      <c r="E332">
        <v>0</v>
      </c>
      <c r="F332">
        <v>0</v>
      </c>
      <c r="G332">
        <v>0</v>
      </c>
      <c r="H332">
        <v>0</v>
      </c>
      <c r="I332">
        <v>0</v>
      </c>
      <c r="J332">
        <v>877.1</v>
      </c>
      <c r="K332">
        <v>125.3</v>
      </c>
      <c r="L332">
        <v>125.3</v>
      </c>
      <c r="M332">
        <v>125.3</v>
      </c>
      <c r="N332">
        <v>125.3</v>
      </c>
      <c r="O332">
        <v>125.3</v>
      </c>
      <c r="P332">
        <v>1503.59856940831</v>
      </c>
      <c r="Q332">
        <v>125.299880784026</v>
      </c>
      <c r="R332">
        <v>125.299880784026</v>
      </c>
      <c r="S332">
        <v>125.299880784026</v>
      </c>
      <c r="T332">
        <v>125.299880784026</v>
      </c>
      <c r="U332">
        <v>125.299880784026</v>
      </c>
      <c r="V332">
        <v>125.299880784026</v>
      </c>
      <c r="W332">
        <v>125.299880784026</v>
      </c>
      <c r="X332">
        <v>125.299880784026</v>
      </c>
      <c r="Y332">
        <v>125.299880784026</v>
      </c>
      <c r="Z332">
        <v>125.299880784026</v>
      </c>
      <c r="AA332">
        <v>125.299880784026</v>
      </c>
      <c r="AB332">
        <v>125.299880784026</v>
      </c>
    </row>
    <row r="333" spans="1:28">
      <c r="A333">
        <v>6404</v>
      </c>
      <c r="B333" t="s">
        <v>674</v>
      </c>
      <c r="C333">
        <v>-19463.6899999999</v>
      </c>
      <c r="D333">
        <v>-3098.55</v>
      </c>
      <c r="E333">
        <v>-1575.73999999999</v>
      </c>
      <c r="F333">
        <v>-201.689999999988</v>
      </c>
      <c r="G333">
        <v>-5154.27999999999</v>
      </c>
      <c r="H333">
        <v>-534.699999999997</v>
      </c>
      <c r="I333">
        <v>-573.669999999991</v>
      </c>
      <c r="J333">
        <v>-3905.41999999999</v>
      </c>
      <c r="K333">
        <v>3016.69000000001</v>
      </c>
      <c r="L333">
        <v>-2078.33</v>
      </c>
      <c r="M333">
        <v>-3786</v>
      </c>
      <c r="N333">
        <v>-785.999999999997</v>
      </c>
      <c r="O333">
        <v>-785.999999999997</v>
      </c>
      <c r="P333">
        <v>37.6933521893125</v>
      </c>
      <c r="Q333">
        <v>-2639.25555398422</v>
      </c>
      <c r="R333">
        <v>897.904446015776</v>
      </c>
      <c r="S333">
        <v>97.9044460157758</v>
      </c>
      <c r="T333">
        <v>697.904446015776</v>
      </c>
      <c r="U333">
        <v>697.904446015776</v>
      </c>
      <c r="V333">
        <v>-1302.09555398422</v>
      </c>
      <c r="W333">
        <v>697.904446015776</v>
      </c>
      <c r="X333">
        <v>697.904446015776</v>
      </c>
      <c r="Y333">
        <v>97.9044460157758</v>
      </c>
      <c r="Z333">
        <v>697.904446015776</v>
      </c>
      <c r="AA333">
        <v>697.904446015776</v>
      </c>
      <c r="AB333">
        <v>-1302.09555398422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-19463.6899999999</v>
      </c>
      <c r="D347">
        <v>-3098.55</v>
      </c>
      <c r="E347">
        <v>-1575.73999999999</v>
      </c>
      <c r="F347">
        <v>-201.689999999988</v>
      </c>
      <c r="G347">
        <v>-5154.27999999999</v>
      </c>
      <c r="H347">
        <v>-534.699999999997</v>
      </c>
      <c r="I347">
        <v>-573.669999999991</v>
      </c>
      <c r="J347">
        <v>-3905.41999999999</v>
      </c>
      <c r="K347">
        <v>3016.69000000001</v>
      </c>
      <c r="L347">
        <v>-2078.33</v>
      </c>
      <c r="M347">
        <v>-3786</v>
      </c>
      <c r="N347">
        <v>-785.999999999997</v>
      </c>
      <c r="O347">
        <v>-785.999999999997</v>
      </c>
      <c r="P347">
        <v>37.6933521893125</v>
      </c>
      <c r="Q347">
        <v>-2639.25555398422</v>
      </c>
      <c r="R347">
        <v>897.904446015776</v>
      </c>
      <c r="S347">
        <v>97.9044460157758</v>
      </c>
      <c r="T347">
        <v>697.904446015776</v>
      </c>
      <c r="U347">
        <v>697.904446015776</v>
      </c>
      <c r="V347">
        <v>-1302.09555398422</v>
      </c>
      <c r="W347">
        <v>697.904446015776</v>
      </c>
      <c r="X347">
        <v>697.904446015776</v>
      </c>
      <c r="Y347">
        <v>97.9044460157758</v>
      </c>
      <c r="Z347">
        <v>697.904446015776</v>
      </c>
      <c r="AA347">
        <v>697.904446015776</v>
      </c>
      <c r="AB347">
        <v>-1302.09555398422</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-19463.6899999999</v>
      </c>
      <c r="D351">
        <v>-3098.55</v>
      </c>
      <c r="E351">
        <v>-1575.73999999999</v>
      </c>
      <c r="F351">
        <v>-201.689999999988</v>
      </c>
      <c r="G351">
        <v>-5154.27999999999</v>
      </c>
      <c r="H351">
        <v>-534.699999999997</v>
      </c>
      <c r="I351">
        <v>-573.669999999991</v>
      </c>
      <c r="J351">
        <v>-3905.41999999999</v>
      </c>
      <c r="K351">
        <v>3016.69000000001</v>
      </c>
      <c r="L351">
        <v>-2078.33</v>
      </c>
      <c r="M351">
        <v>-3786</v>
      </c>
      <c r="N351">
        <v>-785.999999999997</v>
      </c>
      <c r="O351">
        <v>-785.999999999997</v>
      </c>
      <c r="P351">
        <v>37.6933521893125</v>
      </c>
      <c r="Q351">
        <v>-2639.25555398422</v>
      </c>
      <c r="R351">
        <v>897.904446015776</v>
      </c>
      <c r="S351">
        <v>97.9044460157758</v>
      </c>
      <c r="T351">
        <v>697.904446015776</v>
      </c>
      <c r="U351">
        <v>697.904446015776</v>
      </c>
      <c r="V351">
        <v>-1302.09555398422</v>
      </c>
      <c r="W351">
        <v>697.904446015776</v>
      </c>
      <c r="X351">
        <v>697.904446015776</v>
      </c>
      <c r="Y351">
        <v>97.9044460157758</v>
      </c>
      <c r="Z351">
        <v>697.904446015776</v>
      </c>
      <c r="AA351">
        <v>697.904446015776</v>
      </c>
      <c r="AB351">
        <v>-1302.09555398422</v>
      </c>
    </row>
    <row r="352" spans="1:28">
      <c r="A352">
        <v>6714</v>
      </c>
      <c r="B352" t="s">
        <v>693</v>
      </c>
      <c r="C352">
        <v>-19463.6899999999</v>
      </c>
      <c r="D352">
        <v>-3098.55</v>
      </c>
      <c r="E352">
        <v>-1575.73999999999</v>
      </c>
      <c r="F352">
        <v>-201.689999999988</v>
      </c>
      <c r="G352">
        <v>-5154.27999999999</v>
      </c>
      <c r="H352">
        <v>-534.699999999997</v>
      </c>
      <c r="I352">
        <v>-573.669999999991</v>
      </c>
      <c r="J352">
        <v>-3905.41999999999</v>
      </c>
      <c r="K352">
        <v>3016.69000000001</v>
      </c>
      <c r="L352">
        <v>-2078.33</v>
      </c>
      <c r="M352">
        <v>-3786</v>
      </c>
      <c r="N352">
        <v>-785.999999999997</v>
      </c>
      <c r="O352">
        <v>-785.999999999997</v>
      </c>
      <c r="P352">
        <v>37.6933521893125</v>
      </c>
      <c r="Q352">
        <v>-2639.25555398422</v>
      </c>
      <c r="R352">
        <v>897.904446015776</v>
      </c>
      <c r="S352">
        <v>97.9044460157758</v>
      </c>
      <c r="T352">
        <v>697.904446015776</v>
      </c>
      <c r="U352">
        <v>697.904446015776</v>
      </c>
      <c r="V352">
        <v>-1302.09555398422</v>
      </c>
      <c r="W352">
        <v>697.904446015776</v>
      </c>
      <c r="X352">
        <v>697.904446015776</v>
      </c>
      <c r="Y352">
        <v>97.9044460157758</v>
      </c>
      <c r="Z352">
        <v>697.904446015776</v>
      </c>
      <c r="AA352">
        <v>697.904446015776</v>
      </c>
      <c r="AB352">
        <v>-1302.09555398422</v>
      </c>
    </row>
    <row r="353" spans="1:16">
      <c r="A353">
        <v>6801</v>
      </c>
      <c r="B353" t="s">
        <v>694</v>
      </c>
      <c r="C353">
        <v>0</v>
      </c>
      <c r="P353">
        <v>0</v>
      </c>
    </row>
    <row r="354" spans="1:28">
      <c r="A354">
        <v>6715</v>
      </c>
      <c r="B354" t="s">
        <v>695</v>
      </c>
      <c r="C354">
        <v>-19463.6899999999</v>
      </c>
      <c r="D354">
        <v>-3098.55</v>
      </c>
      <c r="E354">
        <v>-1575.73999999999</v>
      </c>
      <c r="F354">
        <v>-201.689999999988</v>
      </c>
      <c r="G354">
        <v>-5154.27999999999</v>
      </c>
      <c r="H354">
        <v>-534.699999999997</v>
      </c>
      <c r="I354">
        <v>-573.669999999991</v>
      </c>
      <c r="J354">
        <v>-3905.41999999999</v>
      </c>
      <c r="K354">
        <v>3016.69000000001</v>
      </c>
      <c r="L354">
        <v>-2078.33</v>
      </c>
      <c r="M354">
        <v>-3786</v>
      </c>
      <c r="N354">
        <v>-785.999999999997</v>
      </c>
      <c r="O354">
        <v>-785.999999999997</v>
      </c>
      <c r="P354">
        <v>37.6933521893125</v>
      </c>
      <c r="Q354">
        <v>-2639.25555398422</v>
      </c>
      <c r="R354">
        <v>897.904446015776</v>
      </c>
      <c r="S354">
        <v>97.9044460157758</v>
      </c>
      <c r="T354">
        <v>697.904446015776</v>
      </c>
      <c r="U354">
        <v>697.904446015776</v>
      </c>
      <c r="V354">
        <v>-1302.09555398422</v>
      </c>
      <c r="W354">
        <v>697.904446015776</v>
      </c>
      <c r="X354">
        <v>697.904446015776</v>
      </c>
      <c r="Y354">
        <v>97.9044460157758</v>
      </c>
      <c r="Z354">
        <v>697.904446015776</v>
      </c>
      <c r="AA354">
        <v>697.904446015776</v>
      </c>
      <c r="AB354">
        <v>-1302.09555398422</v>
      </c>
    </row>
    <row r="355" spans="1:16">
      <c r="A355">
        <v>6716</v>
      </c>
      <c r="B355" t="s">
        <v>696</v>
      </c>
      <c r="C355">
        <v>0</v>
      </c>
      <c r="P355">
        <v>0</v>
      </c>
    </row>
    <row r="356" spans="1:28">
      <c r="A356" t="s">
        <v>697</v>
      </c>
      <c r="B356" t="s">
        <v>698</v>
      </c>
      <c r="C356">
        <v>-0.0293457409641548</v>
      </c>
      <c r="D356">
        <v>-0.060754202677926</v>
      </c>
      <c r="E356">
        <v>-0.0308960085613317</v>
      </c>
      <c r="F356">
        <v>-0.00395459654938928</v>
      </c>
      <c r="G356">
        <v>-0.101061519671711</v>
      </c>
      <c r="H356">
        <v>-0.0104840238730654</v>
      </c>
      <c r="I356">
        <v>-0.0112481203951026</v>
      </c>
      <c r="J356">
        <v>-0.0593771819249702</v>
      </c>
      <c r="K356">
        <v>0.0616059438356705</v>
      </c>
      <c r="L356">
        <v>-0.0382936471756369</v>
      </c>
      <c r="M356">
        <v>-0.0717764469648976</v>
      </c>
      <c r="N356">
        <v>-0.0129545438057496</v>
      </c>
      <c r="O356">
        <v>-0.0129545438057496</v>
      </c>
      <c r="P356">
        <v>0.00251838144073292</v>
      </c>
      <c r="Q356">
        <v>-0.04929188991262</v>
      </c>
      <c r="R356">
        <v>0.0200622769814111</v>
      </c>
      <c r="S356">
        <v>0.00437643480429025</v>
      </c>
      <c r="T356">
        <v>0.0161408164371309</v>
      </c>
      <c r="U356">
        <v>0.0161408164371309</v>
      </c>
      <c r="V356">
        <v>-0.0230737890056713</v>
      </c>
      <c r="W356">
        <v>0.0161408164371309</v>
      </c>
      <c r="X356">
        <v>0.0161408164371309</v>
      </c>
      <c r="Y356">
        <v>0.00437643480429025</v>
      </c>
      <c r="Z356">
        <v>0.0161408164371309</v>
      </c>
      <c r="AA356">
        <v>0.0161408164371309</v>
      </c>
      <c r="AB356">
        <v>-0.0230737890056713</v>
      </c>
    </row>
    <row r="357" spans="2:28">
      <c r="B357" t="s">
        <v>697</v>
      </c>
      <c r="C357">
        <v>-0.031802535786102</v>
      </c>
      <c r="D357">
        <v>-0.060754202677926</v>
      </c>
      <c r="E357">
        <v>-0.0308960085613317</v>
      </c>
      <c r="F357">
        <v>-0.00395459654938928</v>
      </c>
      <c r="G357">
        <v>-0.101061519671711</v>
      </c>
      <c r="H357">
        <v>-0.0104840238730654</v>
      </c>
      <c r="I357">
        <v>-0.0112481203951026</v>
      </c>
      <c r="J357">
        <v>-0.0765747456785997</v>
      </c>
      <c r="K357">
        <v>0.0591491490137234</v>
      </c>
      <c r="L357">
        <v>-0.040750441997584</v>
      </c>
      <c r="M357">
        <v>-0.0742332417868447</v>
      </c>
      <c r="N357">
        <v>-0.0154113386276967</v>
      </c>
      <c r="O357">
        <v>-0.0154113386276967</v>
      </c>
      <c r="P357">
        <v>6.15887472466865e-5</v>
      </c>
      <c r="Q357">
        <v>-0.0517486826061078</v>
      </c>
      <c r="R357">
        <v>0.0176054842879233</v>
      </c>
      <c r="S357">
        <v>0.00191964211080239</v>
      </c>
      <c r="T357">
        <v>0.0136840237436431</v>
      </c>
      <c r="U357">
        <v>0.0136840237436431</v>
      </c>
      <c r="V357">
        <v>-0.0255305816991592</v>
      </c>
      <c r="W357">
        <v>0.0136840237436431</v>
      </c>
      <c r="X357">
        <v>0.0136840237436431</v>
      </c>
      <c r="Y357">
        <v>0.00191964211080239</v>
      </c>
      <c r="Z357">
        <v>0.0136840237436431</v>
      </c>
      <c r="AA357">
        <v>0.0136840237436431</v>
      </c>
      <c r="AB357">
        <v>-0.0255305816991592</v>
      </c>
    </row>
    <row r="358" spans="2:28">
      <c r="B358" t="s">
        <v>699</v>
      </c>
      <c r="C358">
        <v>-0.031802535786102</v>
      </c>
      <c r="D358">
        <v>-0.060754202677926</v>
      </c>
      <c r="E358">
        <v>-0.0308960085613317</v>
      </c>
      <c r="F358">
        <v>-0.00395459654938928</v>
      </c>
      <c r="G358">
        <v>-0.101061519671711</v>
      </c>
      <c r="H358">
        <v>-0.0104840238730654</v>
      </c>
      <c r="I358">
        <v>-0.0112481203951026</v>
      </c>
      <c r="J358">
        <v>-0.0765747456785997</v>
      </c>
      <c r="K358">
        <v>0.0591491490137234</v>
      </c>
      <c r="L358">
        <v>-0.040750441997584</v>
      </c>
      <c r="M358">
        <v>-0.0742332417868447</v>
      </c>
      <c r="N358">
        <v>-0.0154113386276967</v>
      </c>
      <c r="O358">
        <v>-0.0154113386276967</v>
      </c>
      <c r="P358">
        <v>6.15887472466865e-5</v>
      </c>
      <c r="Q358">
        <v>-0.0517486826061078</v>
      </c>
      <c r="R358">
        <v>0.0176054842879233</v>
      </c>
      <c r="S358">
        <v>0.00191964211080239</v>
      </c>
      <c r="T358">
        <v>0.0136840237436431</v>
      </c>
      <c r="U358">
        <v>0.0136840237436431</v>
      </c>
      <c r="V358">
        <v>-0.0255305816991592</v>
      </c>
      <c r="W358">
        <v>0.0136840237436431</v>
      </c>
      <c r="X358">
        <v>0.0136840237436431</v>
      </c>
      <c r="Y358">
        <v>0.00191964211080239</v>
      </c>
      <c r="Z358">
        <v>0.0136840237436431</v>
      </c>
      <c r="AA358">
        <v>0.0136840237436431</v>
      </c>
      <c r="AB358">
        <v>-0.0255305816991592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E42" sqref="E42"/>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4">
      <c r="B9" t="s">
        <v>731</v>
      </c>
      <c r="C9" t="s">
        <v>732</v>
      </c>
      <c r="D9">
        <v>0</v>
      </c>
    </row>
    <row r="10" customHeight="1" spans="2:16">
      <c r="B10" t="s">
        <v>195</v>
      </c>
      <c r="C10" t="s">
        <v>733</v>
      </c>
      <c r="D10">
        <v>2</v>
      </c>
      <c r="E10">
        <v>2</v>
      </c>
      <c r="F10">
        <v>2</v>
      </c>
      <c r="G10">
        <v>2</v>
      </c>
      <c r="H10">
        <v>2</v>
      </c>
      <c r="I10">
        <v>2</v>
      </c>
      <c r="J10">
        <v>2</v>
      </c>
      <c r="K10">
        <v>2</v>
      </c>
      <c r="L10">
        <v>2</v>
      </c>
      <c r="M10">
        <v>2</v>
      </c>
      <c r="N10">
        <v>2</v>
      </c>
      <c r="O10">
        <v>2</v>
      </c>
      <c r="P10">
        <v>2</v>
      </c>
    </row>
    <row r="11" customHeight="1" spans="2:4">
      <c r="B11" t="s">
        <v>734</v>
      </c>
      <c r="C11" t="s">
        <v>735</v>
      </c>
      <c r="D11">
        <v>0</v>
      </c>
    </row>
    <row r="12" customHeight="1" spans="2:4">
      <c r="B12" t="s">
        <v>736</v>
      </c>
      <c r="C12" t="s">
        <v>737</v>
      </c>
      <c r="D12">
        <v>0</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2</v>
      </c>
      <c r="E20">
        <v>2</v>
      </c>
      <c r="F20">
        <v>2</v>
      </c>
      <c r="G20">
        <v>2</v>
      </c>
      <c r="H20">
        <v>2</v>
      </c>
      <c r="I20">
        <v>2</v>
      </c>
      <c r="J20">
        <v>2</v>
      </c>
      <c r="K20">
        <v>2</v>
      </c>
      <c r="L20">
        <v>2</v>
      </c>
      <c r="M20">
        <v>2</v>
      </c>
      <c r="N20">
        <v>2</v>
      </c>
      <c r="O20">
        <v>2</v>
      </c>
      <c r="P20">
        <v>2</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731</v>
      </c>
      <c r="C24" s="326" t="s">
        <v>732</v>
      </c>
      <c r="D24" s="326">
        <v>0</v>
      </c>
      <c r="E24" s="326">
        <v>0</v>
      </c>
      <c r="F24" s="326">
        <v>0</v>
      </c>
      <c r="G24" s="326">
        <v>0</v>
      </c>
      <c r="H24" s="326">
        <v>0</v>
      </c>
      <c r="I24" s="326">
        <v>0</v>
      </c>
      <c r="J24" s="326">
        <v>0</v>
      </c>
      <c r="K24" s="326">
        <v>0</v>
      </c>
      <c r="L24" s="326">
        <v>0</v>
      </c>
      <c r="M24" s="326">
        <v>0</v>
      </c>
      <c r="N24" s="326">
        <v>0</v>
      </c>
      <c r="O24" s="326">
        <v>0</v>
      </c>
      <c r="P24" s="326">
        <v>0</v>
      </c>
    </row>
    <row r="25" s="326" customFormat="1" spans="2:16">
      <c r="B25" s="326" t="s">
        <v>195</v>
      </c>
      <c r="C25" s="326" t="s">
        <v>733</v>
      </c>
      <c r="D25" s="326">
        <v>193366.6</v>
      </c>
      <c r="E25" s="326">
        <v>18531.28</v>
      </c>
      <c r="F25" s="326">
        <v>15894.12</v>
      </c>
      <c r="G25" s="326">
        <v>15894.12</v>
      </c>
      <c r="H25" s="326">
        <v>15894.12</v>
      </c>
      <c r="I25" s="326">
        <v>15894.12</v>
      </c>
      <c r="J25" s="326">
        <v>15894.12</v>
      </c>
      <c r="K25" s="326">
        <v>15894.12</v>
      </c>
      <c r="L25" s="326">
        <v>15894.12</v>
      </c>
      <c r="M25" s="326">
        <v>15894.12</v>
      </c>
      <c r="N25" s="326">
        <v>15894.12</v>
      </c>
      <c r="O25" s="326">
        <v>15894.12</v>
      </c>
      <c r="P25" s="326">
        <v>15894.12</v>
      </c>
    </row>
    <row r="26" s="326" customFormat="1" spans="2:16">
      <c r="B26" s="326" t="s">
        <v>734</v>
      </c>
      <c r="C26" s="326" t="s">
        <v>735</v>
      </c>
      <c r="D26" s="326">
        <v>0</v>
      </c>
      <c r="E26" s="326">
        <v>0</v>
      </c>
      <c r="F26" s="326">
        <v>0</v>
      </c>
      <c r="G26" s="326">
        <v>0</v>
      </c>
      <c r="H26" s="326">
        <v>0</v>
      </c>
      <c r="I26" s="326">
        <v>0</v>
      </c>
      <c r="J26" s="326">
        <v>0</v>
      </c>
      <c r="K26" s="326">
        <v>0</v>
      </c>
      <c r="L26" s="326">
        <v>0</v>
      </c>
      <c r="M26" s="326">
        <v>0</v>
      </c>
      <c r="N26" s="326">
        <v>0</v>
      </c>
      <c r="O26" s="326">
        <v>0</v>
      </c>
      <c r="P26" s="326">
        <v>0</v>
      </c>
    </row>
    <row r="27" s="326" customFormat="1" spans="2:16">
      <c r="B27" s="326" t="s">
        <v>736</v>
      </c>
      <c r="C27" s="326" t="s">
        <v>737</v>
      </c>
      <c r="D27" s="326">
        <v>0</v>
      </c>
      <c r="E27" s="326">
        <v>0</v>
      </c>
      <c r="F27" s="326">
        <v>0</v>
      </c>
      <c r="G27" s="326">
        <v>0</v>
      </c>
      <c r="H27" s="326">
        <v>0</v>
      </c>
      <c r="I27" s="326">
        <v>0</v>
      </c>
      <c r="J27" s="326">
        <v>0</v>
      </c>
      <c r="K27" s="326">
        <v>0</v>
      </c>
      <c r="L27" s="326">
        <v>0</v>
      </c>
      <c r="M27" s="326">
        <v>0</v>
      </c>
      <c r="N27" s="326">
        <v>0</v>
      </c>
      <c r="O27" s="326">
        <v>0</v>
      </c>
      <c r="P27" s="326">
        <v>0</v>
      </c>
    </row>
    <row r="28" s="326" customFormat="1" spans="2:16">
      <c r="B28" s="326" t="s">
        <v>203</v>
      </c>
      <c r="C28" s="326" t="s">
        <v>738</v>
      </c>
      <c r="D28" s="326">
        <v>0</v>
      </c>
      <c r="E28" s="326">
        <v>0</v>
      </c>
      <c r="F28" s="326">
        <v>0</v>
      </c>
      <c r="G28" s="326">
        <v>0</v>
      </c>
      <c r="H28" s="326">
        <v>0</v>
      </c>
      <c r="I28" s="326">
        <v>0</v>
      </c>
      <c r="J28" s="326">
        <v>0</v>
      </c>
      <c r="K28" s="326">
        <v>0</v>
      </c>
      <c r="L28" s="326">
        <v>0</v>
      </c>
      <c r="M28" s="326">
        <v>0</v>
      </c>
      <c r="N28" s="326">
        <v>0</v>
      </c>
      <c r="O28" s="326">
        <v>0</v>
      </c>
      <c r="P28" s="326">
        <v>0</v>
      </c>
    </row>
    <row r="29" s="326" customFormat="1" spans="2:16">
      <c r="B29" s="326" t="s">
        <v>739</v>
      </c>
      <c r="C29" s="326" t="s">
        <v>740</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193366.6</v>
      </c>
      <c r="E35">
        <v>18531.28</v>
      </c>
      <c r="F35">
        <v>15894.12</v>
      </c>
      <c r="G35">
        <v>15894.12</v>
      </c>
      <c r="H35">
        <v>15894.12</v>
      </c>
      <c r="I35">
        <v>15894.12</v>
      </c>
      <c r="J35">
        <v>15894.12</v>
      </c>
      <c r="K35">
        <v>15894.12</v>
      </c>
      <c r="L35">
        <v>15894.12</v>
      </c>
      <c r="M35">
        <v>15894.12</v>
      </c>
      <c r="N35">
        <v>15894.12</v>
      </c>
      <c r="O35">
        <v>15894.12</v>
      </c>
      <c r="P35">
        <v>15894.12</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16">
      <c r="B40" t="s">
        <v>195</v>
      </c>
      <c r="C40" t="s">
        <v>733</v>
      </c>
      <c r="D40">
        <v>170232.96</v>
      </c>
      <c r="E40">
        <v>14186.08</v>
      </c>
      <c r="F40">
        <v>14186.08</v>
      </c>
      <c r="G40">
        <v>14186.08</v>
      </c>
      <c r="H40">
        <v>14186.08</v>
      </c>
      <c r="I40">
        <v>14186.08</v>
      </c>
      <c r="J40">
        <v>14186.08</v>
      </c>
      <c r="K40">
        <v>14186.08</v>
      </c>
      <c r="L40">
        <v>14186.08</v>
      </c>
      <c r="M40">
        <v>14186.08</v>
      </c>
      <c r="N40">
        <v>14186.08</v>
      </c>
      <c r="O40">
        <v>14186.08</v>
      </c>
      <c r="P40">
        <v>14186.08</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170232.96</v>
      </c>
      <c r="E50">
        <v>14186.08</v>
      </c>
      <c r="F50">
        <v>14186.08</v>
      </c>
      <c r="G50">
        <v>14186.08</v>
      </c>
      <c r="H50">
        <v>14186.08</v>
      </c>
      <c r="I50">
        <v>14186.08</v>
      </c>
      <c r="J50">
        <v>14186.08</v>
      </c>
      <c r="K50">
        <v>14186.08</v>
      </c>
      <c r="L50">
        <v>14186.08</v>
      </c>
      <c r="M50">
        <v>14186.08</v>
      </c>
      <c r="N50">
        <v>14186.08</v>
      </c>
      <c r="O50">
        <v>14186.08</v>
      </c>
      <c r="P50">
        <v>14186.08</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16">
      <c r="B70" t="s">
        <v>195</v>
      </c>
      <c r="C70" t="s">
        <v>733</v>
      </c>
      <c r="D70">
        <v>16848.48</v>
      </c>
      <c r="E70">
        <v>1404.04</v>
      </c>
      <c r="F70">
        <v>1404.04</v>
      </c>
      <c r="G70">
        <v>1404.04</v>
      </c>
      <c r="H70">
        <v>1404.04</v>
      </c>
      <c r="I70">
        <v>1404.04</v>
      </c>
      <c r="J70">
        <v>1404.04</v>
      </c>
      <c r="K70">
        <v>1404.04</v>
      </c>
      <c r="L70">
        <v>1404.04</v>
      </c>
      <c r="M70">
        <v>1404.04</v>
      </c>
      <c r="N70">
        <v>1404.04</v>
      </c>
      <c r="O70">
        <v>1404.04</v>
      </c>
      <c r="P70">
        <v>1404.04</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16848.48</v>
      </c>
      <c r="E80">
        <v>1404.04</v>
      </c>
      <c r="F80">
        <v>1404.04</v>
      </c>
      <c r="G80">
        <v>1404.04</v>
      </c>
      <c r="H80">
        <v>1404.04</v>
      </c>
      <c r="I80">
        <v>1404.04</v>
      </c>
      <c r="J80">
        <v>1404.04</v>
      </c>
      <c r="K80">
        <v>1404.04</v>
      </c>
      <c r="L80">
        <v>1404.04</v>
      </c>
      <c r="M80">
        <v>1404.04</v>
      </c>
      <c r="N80">
        <v>1404.04</v>
      </c>
      <c r="O80">
        <v>1404.04</v>
      </c>
      <c r="P80">
        <v>1404.04</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16">
      <c r="B85" t="s">
        <v>195</v>
      </c>
      <c r="C85" t="s">
        <v>733</v>
      </c>
      <c r="D85">
        <v>2832</v>
      </c>
      <c r="E85">
        <v>236</v>
      </c>
      <c r="F85">
        <v>236</v>
      </c>
      <c r="G85">
        <v>236</v>
      </c>
      <c r="H85">
        <v>236</v>
      </c>
      <c r="I85">
        <v>236</v>
      </c>
      <c r="J85">
        <v>236</v>
      </c>
      <c r="K85">
        <v>236</v>
      </c>
      <c r="L85">
        <v>236</v>
      </c>
      <c r="M85">
        <v>236</v>
      </c>
      <c r="N85">
        <v>236</v>
      </c>
      <c r="O85">
        <v>236</v>
      </c>
      <c r="P85">
        <v>236</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2832</v>
      </c>
      <c r="E95">
        <v>236</v>
      </c>
      <c r="F95">
        <v>236</v>
      </c>
      <c r="G95">
        <v>236</v>
      </c>
      <c r="H95">
        <v>236</v>
      </c>
      <c r="I95">
        <v>236</v>
      </c>
      <c r="J95">
        <v>236</v>
      </c>
      <c r="K95">
        <v>236</v>
      </c>
      <c r="L95">
        <v>236</v>
      </c>
      <c r="M95">
        <v>236</v>
      </c>
      <c r="N95">
        <v>236</v>
      </c>
      <c r="O95">
        <v>236</v>
      </c>
      <c r="P95">
        <v>236</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16">
      <c r="B100" t="s">
        <v>195</v>
      </c>
      <c r="C100" t="s">
        <v>733</v>
      </c>
      <c r="D100">
        <v>816</v>
      </c>
      <c r="E100">
        <v>68</v>
      </c>
      <c r="F100">
        <v>68</v>
      </c>
      <c r="G100">
        <v>68</v>
      </c>
      <c r="H100">
        <v>68</v>
      </c>
      <c r="I100">
        <v>68</v>
      </c>
      <c r="J100">
        <v>68</v>
      </c>
      <c r="K100">
        <v>68</v>
      </c>
      <c r="L100">
        <v>68</v>
      </c>
      <c r="M100">
        <v>68</v>
      </c>
      <c r="N100">
        <v>68</v>
      </c>
      <c r="O100">
        <v>68</v>
      </c>
      <c r="P100">
        <v>68</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816</v>
      </c>
      <c r="E110">
        <v>68</v>
      </c>
      <c r="F110">
        <v>68</v>
      </c>
      <c r="G110">
        <v>68</v>
      </c>
      <c r="H110">
        <v>68</v>
      </c>
      <c r="I110">
        <v>68</v>
      </c>
      <c r="J110">
        <v>68</v>
      </c>
      <c r="K110">
        <v>68</v>
      </c>
      <c r="L110">
        <v>68</v>
      </c>
      <c r="M110">
        <v>68</v>
      </c>
      <c r="N110">
        <v>68</v>
      </c>
      <c r="O110">
        <v>68</v>
      </c>
      <c r="P110">
        <v>68</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5">
      <c r="B115" t="s">
        <v>195</v>
      </c>
      <c r="C115" t="s">
        <v>733</v>
      </c>
      <c r="D115">
        <v>594.96</v>
      </c>
      <c r="E115">
        <v>594.96</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594.96</v>
      </c>
      <c r="E125">
        <v>594.96</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5">
      <c r="B190" t="s">
        <v>195</v>
      </c>
      <c r="C190" t="s">
        <v>733</v>
      </c>
      <c r="D190">
        <v>2042.2</v>
      </c>
      <c r="E190">
        <v>2042.2</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2042.2</v>
      </c>
      <c r="E200">
        <v>2042.2</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topLeftCell="G1" workbookViewId="0">
      <pane xSplit="26790" topLeftCell="A1" activePane="topLeft"/>
      <selection activeCell="Z57" sqref="Z57"/>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762</v>
      </c>
      <c r="B1" s="269" t="s">
        <v>763</v>
      </c>
      <c r="C1" s="270" t="s">
        <v>764</v>
      </c>
      <c r="D1" s="270"/>
      <c r="E1" s="270"/>
      <c r="F1" s="270"/>
      <c r="G1" s="270"/>
      <c r="H1" s="271" t="s">
        <v>719</v>
      </c>
      <c r="I1" s="271"/>
      <c r="J1" s="271"/>
      <c r="K1" s="271"/>
      <c r="L1" s="271"/>
      <c r="M1" s="271"/>
      <c r="N1" s="271"/>
      <c r="O1" s="271" t="s">
        <v>765</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766</v>
      </c>
      <c r="AD2" s="293"/>
      <c r="AE2" s="294"/>
      <c r="AF2" s="295" t="s">
        <v>767</v>
      </c>
      <c r="AG2" s="298"/>
      <c r="AH2" s="299"/>
      <c r="AI2" s="295" t="s">
        <v>768</v>
      </c>
      <c r="AJ2" s="298"/>
      <c r="AK2" s="299"/>
      <c r="AL2" s="295" t="s">
        <v>769</v>
      </c>
      <c r="AM2" s="298" t="s">
        <v>769</v>
      </c>
      <c r="AN2" s="299" t="s">
        <v>769</v>
      </c>
      <c r="AO2" s="295" t="s">
        <v>770</v>
      </c>
      <c r="AP2" s="298" t="s">
        <v>770</v>
      </c>
      <c r="AQ2" s="299" t="s">
        <v>770</v>
      </c>
      <c r="AR2" s="295" t="s">
        <v>771</v>
      </c>
      <c r="AS2" s="298" t="s">
        <v>771</v>
      </c>
      <c r="AT2" s="299" t="s">
        <v>771</v>
      </c>
      <c r="AU2" s="295" t="s">
        <v>772</v>
      </c>
      <c r="AV2" s="298" t="s">
        <v>772</v>
      </c>
      <c r="AW2" s="299" t="s">
        <v>772</v>
      </c>
      <c r="AX2" s="295" t="s">
        <v>773</v>
      </c>
      <c r="AY2" s="298" t="s">
        <v>773</v>
      </c>
      <c r="AZ2" s="299" t="s">
        <v>773</v>
      </c>
      <c r="BA2" s="295" t="s">
        <v>774</v>
      </c>
      <c r="BB2" s="298" t="s">
        <v>774</v>
      </c>
      <c r="BC2" s="299" t="s">
        <v>774</v>
      </c>
      <c r="BD2" s="295" t="s">
        <v>775</v>
      </c>
      <c r="BE2" s="298" t="s">
        <v>775</v>
      </c>
      <c r="BF2" s="299" t="s">
        <v>775</v>
      </c>
      <c r="BG2" s="295" t="s">
        <v>776</v>
      </c>
      <c r="BH2" s="298" t="s">
        <v>776</v>
      </c>
      <c r="BI2" s="299" t="s">
        <v>776</v>
      </c>
      <c r="BJ2" s="295" t="s">
        <v>777</v>
      </c>
      <c r="BK2" s="298" t="s">
        <v>777</v>
      </c>
      <c r="BL2" s="298" t="s">
        <v>777</v>
      </c>
      <c r="BM2" s="307"/>
      <c r="BN2" s="299"/>
    </row>
    <row r="3" s="260" customFormat="1" ht="53.1" customHeight="1" spans="1:66">
      <c r="A3" s="275"/>
      <c r="B3" s="276"/>
      <c r="C3" s="277" t="s">
        <v>778</v>
      </c>
      <c r="D3" s="278" t="s">
        <v>3</v>
      </c>
      <c r="E3" s="278" t="s">
        <v>779</v>
      </c>
      <c r="F3" s="278" t="s">
        <v>780</v>
      </c>
      <c r="G3" s="278" t="s">
        <v>781</v>
      </c>
      <c r="H3" s="260" t="s">
        <v>782</v>
      </c>
      <c r="I3" s="260" t="s">
        <v>783</v>
      </c>
      <c r="J3" s="260" t="s">
        <v>784</v>
      </c>
      <c r="K3" s="260" t="s">
        <v>785</v>
      </c>
      <c r="L3" s="260" t="s">
        <v>786</v>
      </c>
      <c r="M3" s="260" t="s">
        <v>787</v>
      </c>
      <c r="N3" s="260" t="s">
        <v>788</v>
      </c>
      <c r="O3" s="283" t="s">
        <v>766</v>
      </c>
      <c r="P3" s="283" t="s">
        <v>767</v>
      </c>
      <c r="Q3" s="283" t="s">
        <v>768</v>
      </c>
      <c r="R3" s="283" t="s">
        <v>769</v>
      </c>
      <c r="S3" s="283" t="s">
        <v>770</v>
      </c>
      <c r="T3" s="283" t="s">
        <v>771</v>
      </c>
      <c r="U3" s="283" t="s">
        <v>772</v>
      </c>
      <c r="V3" s="283" t="s">
        <v>773</v>
      </c>
      <c r="W3" s="283" t="s">
        <v>774</v>
      </c>
      <c r="X3" s="283" t="s">
        <v>775</v>
      </c>
      <c r="Y3" s="283" t="s">
        <v>776</v>
      </c>
      <c r="Z3" s="283" t="s">
        <v>777</v>
      </c>
      <c r="AA3" s="296" t="s">
        <v>789</v>
      </c>
      <c r="AB3" s="260" t="s">
        <v>790</v>
      </c>
      <c r="AC3" s="260" t="s">
        <v>791</v>
      </c>
      <c r="AD3" s="260" t="s">
        <v>792</v>
      </c>
      <c r="AE3" s="260" t="s">
        <v>793</v>
      </c>
      <c r="AF3" s="260" t="s">
        <v>791</v>
      </c>
      <c r="AG3" s="260" t="s">
        <v>792</v>
      </c>
      <c r="AH3" s="260" t="s">
        <v>793</v>
      </c>
      <c r="AI3" s="260" t="s">
        <v>791</v>
      </c>
      <c r="AJ3" s="260" t="s">
        <v>792</v>
      </c>
      <c r="AK3" s="260" t="s">
        <v>793</v>
      </c>
      <c r="AL3" s="260" t="s">
        <v>791</v>
      </c>
      <c r="AM3" s="260" t="s">
        <v>792</v>
      </c>
      <c r="AN3" s="260" t="s">
        <v>793</v>
      </c>
      <c r="AO3" s="260" t="s">
        <v>791</v>
      </c>
      <c r="AP3" s="260" t="s">
        <v>792</v>
      </c>
      <c r="AQ3" s="260" t="s">
        <v>793</v>
      </c>
      <c r="AR3" s="260" t="s">
        <v>791</v>
      </c>
      <c r="AS3" s="260" t="s">
        <v>792</v>
      </c>
      <c r="AT3" s="260" t="s">
        <v>793</v>
      </c>
      <c r="AU3" s="260" t="s">
        <v>791</v>
      </c>
      <c r="AV3" s="260" t="s">
        <v>792</v>
      </c>
      <c r="AW3" s="260" t="s">
        <v>793</v>
      </c>
      <c r="AX3" s="260" t="s">
        <v>791</v>
      </c>
      <c r="AY3" s="260" t="s">
        <v>792</v>
      </c>
      <c r="AZ3" s="260" t="s">
        <v>793</v>
      </c>
      <c r="BA3" s="260" t="s">
        <v>791</v>
      </c>
      <c r="BB3" s="260" t="s">
        <v>792</v>
      </c>
      <c r="BC3" s="260" t="s">
        <v>793</v>
      </c>
      <c r="BD3" s="260" t="s">
        <v>791</v>
      </c>
      <c r="BE3" s="260" t="s">
        <v>792</v>
      </c>
      <c r="BF3" s="260" t="s">
        <v>793</v>
      </c>
      <c r="BG3" s="260" t="s">
        <v>791</v>
      </c>
      <c r="BH3" s="260" t="s">
        <v>792</v>
      </c>
      <c r="BI3" s="260" t="s">
        <v>793</v>
      </c>
      <c r="BJ3" s="260" t="s">
        <v>791</v>
      </c>
      <c r="BK3" s="260" t="s">
        <v>792</v>
      </c>
      <c r="BL3" s="300" t="s">
        <v>793</v>
      </c>
      <c r="BM3" s="308"/>
      <c r="BN3" s="309"/>
    </row>
    <row r="4" s="261" customFormat="1" ht="33.95" customHeight="1" spans="2:66">
      <c r="B4" s="279" t="s">
        <v>794</v>
      </c>
      <c r="C4" s="280">
        <v>1</v>
      </c>
      <c r="D4" s="261" t="s">
        <v>795</v>
      </c>
      <c r="E4" s="261" t="s">
        <v>796</v>
      </c>
      <c r="G4" s="281"/>
      <c r="H4" s="261">
        <f>H5+H381+H582+H652+H658+H668</f>
        <v>610475.576002931</v>
      </c>
      <c r="P4" s="284"/>
      <c r="Q4" s="284"/>
      <c r="R4" s="284"/>
      <c r="S4" s="284"/>
      <c r="T4" s="284"/>
      <c r="U4" s="284"/>
      <c r="V4" s="284"/>
      <c r="W4" s="284"/>
      <c r="X4" s="284"/>
      <c r="Y4" s="284"/>
      <c r="Z4" s="284"/>
      <c r="AA4" s="284"/>
      <c r="AB4" s="261">
        <f t="shared" ref="AB4:AF4" si="0">AB5+AB381+AB582+AB652+AB658+AB668</f>
        <v>610475.576002931</v>
      </c>
      <c r="AC4" s="261">
        <f t="shared" si="0"/>
        <v>69259.3864908103</v>
      </c>
      <c r="AF4" s="261">
        <f t="shared" si="0"/>
        <v>49201.4717738292</v>
      </c>
      <c r="AI4" s="261">
        <f>AI5+AI381+AI582+AI652+AI658+AI668</f>
        <v>49201.4717738292</v>
      </c>
      <c r="AL4" s="261">
        <f>AL5+AL381+AL582+AL652+AL658+AL668</f>
        <v>49201.4717738292</v>
      </c>
      <c r="AO4" s="261">
        <f>AO5+AO381+AO582+AO652+AO658+AO668</f>
        <v>49201.4717738292</v>
      </c>
      <c r="AR4" s="261">
        <f>AR5+AR381+AR582+AR652+AR658+AR668</f>
        <v>49201.4717738292</v>
      </c>
      <c r="AU4" s="261">
        <f>AU5+AU381+AU582+AU652+AU658+AU668</f>
        <v>49201.4717738292</v>
      </c>
      <c r="AX4" s="261">
        <f>AX5+AX381+AX582+AX652+AX658+AX668</f>
        <v>49201.4717738292</v>
      </c>
      <c r="BA4" s="261">
        <f>BA5+BA381+BA582+BA652+BA658+BA668</f>
        <v>49201.4717738292</v>
      </c>
      <c r="BD4" s="261">
        <f>BD5+BD381+BD582+BD652+BD658+BD668</f>
        <v>49201.4717738292</v>
      </c>
      <c r="BG4" s="261">
        <f>BG5+BG381+BG582+BG652+BG658+BG668</f>
        <v>49201.4717738292</v>
      </c>
      <c r="BJ4" s="261">
        <f>BJ5+BJ381+BJ582+BJ652+BJ658+BJ668</f>
        <v>49201.4717738292</v>
      </c>
      <c r="BL4" s="301"/>
      <c r="BM4" s="307"/>
      <c r="BN4" s="284"/>
    </row>
    <row r="5" s="107" customFormat="1" ht="33.95" customHeight="1" outlineLevel="1" spans="2:66">
      <c r="B5" s="108" t="s">
        <v>794</v>
      </c>
      <c r="C5" s="109">
        <v>1.1</v>
      </c>
      <c r="D5" s="107" t="s">
        <v>214</v>
      </c>
      <c r="E5" s="108"/>
      <c r="F5" s="108"/>
      <c r="H5" s="107">
        <f>H6+H208+H308</f>
        <v>602375.576002931</v>
      </c>
      <c r="P5" s="285"/>
      <c r="Q5" s="285"/>
      <c r="R5" s="285"/>
      <c r="S5" s="285"/>
      <c r="T5" s="285"/>
      <c r="U5" s="285"/>
      <c r="V5" s="285"/>
      <c r="W5" s="285"/>
      <c r="X5" s="285"/>
      <c r="Y5" s="285"/>
      <c r="Z5" s="285"/>
      <c r="AA5" s="285"/>
      <c r="AB5" s="107">
        <f t="shared" ref="AB5:AF5" si="1">AB6+AB208+AB308</f>
        <v>602375.576002931</v>
      </c>
      <c r="AC5" s="107">
        <f t="shared" si="1"/>
        <v>62992.7198241436</v>
      </c>
      <c r="AF5" s="107">
        <f t="shared" si="1"/>
        <v>49034.8051071625</v>
      </c>
      <c r="AI5" s="107">
        <f>AI6+AI208+AI308</f>
        <v>49034.8051071625</v>
      </c>
      <c r="AL5" s="107">
        <f>AL6+AL208+AL308</f>
        <v>49034.8051071625</v>
      </c>
      <c r="AO5" s="107">
        <f>AO6+AO208+AO308</f>
        <v>49034.8051071625</v>
      </c>
      <c r="AR5" s="107">
        <f>AR6+AR208+AR308</f>
        <v>49034.8051071625</v>
      </c>
      <c r="AU5" s="107">
        <f>AU6+AU208+AU308</f>
        <v>49034.8051071625</v>
      </c>
      <c r="AX5" s="107">
        <f>AX6+AX208+AX308</f>
        <v>49034.8051071625</v>
      </c>
      <c r="BA5" s="107">
        <f>BA6+BA208+BA308</f>
        <v>49034.8051071625</v>
      </c>
      <c r="BD5" s="107">
        <f>BD6+BD208+BD308</f>
        <v>49034.8051071625</v>
      </c>
      <c r="BG5" s="107">
        <f>BG6+BG208+BG308</f>
        <v>49034.8051071625</v>
      </c>
      <c r="BJ5" s="107">
        <f>BJ6+BJ208+BJ308</f>
        <v>49034.8051071625</v>
      </c>
      <c r="BL5" s="302"/>
      <c r="BM5" s="310"/>
      <c r="BN5" s="285"/>
    </row>
    <row r="6" s="29" customFormat="1" ht="33.95" customHeight="1" outlineLevel="2" spans="2:66">
      <c r="B6" s="111" t="s">
        <v>794</v>
      </c>
      <c r="C6" s="112" t="s">
        <v>218</v>
      </c>
      <c r="D6" s="29" t="s">
        <v>219</v>
      </c>
      <c r="E6" s="111"/>
      <c r="F6" s="111"/>
      <c r="G6" s="111"/>
      <c r="H6" s="111">
        <f>H7+H29+H57+H111+H143+H159+H176+H189</f>
        <v>579404.335849056</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579404.335849056</v>
      </c>
      <c r="AC6" s="111">
        <f t="shared" si="2"/>
        <v>50701.0913207547</v>
      </c>
      <c r="AD6" s="111"/>
      <c r="AE6" s="111"/>
      <c r="AF6" s="111">
        <f t="shared" si="2"/>
        <v>48063.9313207547</v>
      </c>
      <c r="AG6" s="111"/>
      <c r="AH6" s="111"/>
      <c r="AI6" s="111">
        <f>AI7+AI29+AI57+AI111+AI143+AI159+AI176+AI189</f>
        <v>48063.9313207547</v>
      </c>
      <c r="AJ6" s="111"/>
      <c r="AK6" s="111"/>
      <c r="AL6" s="111">
        <f>AL7+AL29+AL57+AL111+AL143+AL159+AL176+AL189</f>
        <v>48063.9313207547</v>
      </c>
      <c r="AM6" s="111"/>
      <c r="AN6" s="111"/>
      <c r="AO6" s="111">
        <f>AO7+AO29+AO57+AO111+AO143+AO159+AO176+AO189</f>
        <v>48063.9313207547</v>
      </c>
      <c r="AP6" s="111"/>
      <c r="AQ6" s="111"/>
      <c r="AR6" s="111">
        <f>AR7+AR29+AR57+AR111+AR143+AR159+AR176+AR189</f>
        <v>48063.9313207547</v>
      </c>
      <c r="AS6" s="111"/>
      <c r="AT6" s="111"/>
      <c r="AU6" s="111">
        <f>AU7+AU29+AU57+AU111+AU143+AU159+AU176+AU189</f>
        <v>48063.9313207547</v>
      </c>
      <c r="AV6" s="111"/>
      <c r="AW6" s="111"/>
      <c r="AX6" s="111">
        <f>AX7+AX29+AX57+AX111+AX143+AX159+AX176+AX189</f>
        <v>48063.9313207547</v>
      </c>
      <c r="AY6" s="111"/>
      <c r="AZ6" s="111"/>
      <c r="BA6" s="111">
        <f>BA7+BA29+BA57+BA111+BA143+BA159+BA176+BA189</f>
        <v>48063.9313207547</v>
      </c>
      <c r="BB6" s="111"/>
      <c r="BC6" s="111"/>
      <c r="BD6" s="111">
        <f>BD7+BD29+BD57+BD111+BD143+BD159+BD176+BD189</f>
        <v>48063.9313207547</v>
      </c>
      <c r="BE6" s="111"/>
      <c r="BF6" s="111"/>
      <c r="BG6" s="111">
        <f>BG7+BG29+BG57+BG111+BG143+BG159+BG176+BG189</f>
        <v>48063.9313207547</v>
      </c>
      <c r="BH6" s="111"/>
      <c r="BI6" s="111"/>
      <c r="BJ6" s="111">
        <f>BJ7+BJ29+BJ57+BJ111+BJ143+BJ159+BJ176+BJ189</f>
        <v>48063.9313207547</v>
      </c>
      <c r="BK6" s="111"/>
      <c r="BL6" s="303"/>
      <c r="BM6" s="310"/>
      <c r="BN6" s="311"/>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7"/>
      <c r="Q7" s="287"/>
      <c r="R7" s="287"/>
      <c r="S7" s="287"/>
      <c r="T7" s="287"/>
      <c r="U7" s="287"/>
      <c r="V7" s="287"/>
      <c r="W7" s="287"/>
      <c r="X7" s="287"/>
      <c r="Y7" s="287"/>
      <c r="Z7" s="287"/>
      <c r="AA7" s="287"/>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4"/>
      <c r="BM7" s="310"/>
      <c r="BN7" s="312"/>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8"/>
      <c r="Q8" s="288"/>
      <c r="R8" s="288"/>
      <c r="S8" s="288"/>
      <c r="T8" s="288"/>
      <c r="U8" s="288"/>
      <c r="V8" s="288"/>
      <c r="W8" s="288"/>
      <c r="X8" s="288"/>
      <c r="Y8" s="288"/>
      <c r="Z8" s="288"/>
      <c r="AA8" s="288"/>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5"/>
      <c r="BM8" s="310"/>
      <c r="BN8" s="313"/>
    </row>
    <row r="9" s="262" customFormat="1" ht="33.95" hidden="1" customHeight="1" outlineLevel="5" spans="2:66">
      <c r="B9" s="174" t="s">
        <v>799</v>
      </c>
      <c r="C9" s="282" t="s">
        <v>800</v>
      </c>
      <c r="D9" s="262"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89"/>
      <c r="Q9" s="289"/>
      <c r="R9" s="289"/>
      <c r="S9" s="289"/>
      <c r="T9" s="289"/>
      <c r="U9" s="289"/>
      <c r="V9" s="289"/>
      <c r="W9" s="289"/>
      <c r="X9" s="289"/>
      <c r="Y9" s="289"/>
      <c r="Z9" s="289"/>
      <c r="AA9" s="289"/>
      <c r="AB9" s="174">
        <f>SUM(AC9,AF9,AI9,AL9,AO9,AR9,AU9,AX9,BA9,BD9,BG9,BJ9)</f>
        <v>0</v>
      </c>
      <c r="AC9" s="174">
        <f>AD9*AE9</f>
        <v>0</v>
      </c>
      <c r="AD9" s="174">
        <f>'1-2 人员岗位信息'!F11</f>
        <v>0</v>
      </c>
      <c r="AE9" s="297">
        <f>IFERROR(自有人工预算!E26/AD9,0)</f>
        <v>0</v>
      </c>
      <c r="AF9" s="174">
        <f t="shared" ref="AF9:AF14" si="9">AG9*AH9</f>
        <v>0</v>
      </c>
      <c r="AG9" s="174">
        <f>SUMIFS('1-2 人员岗位信息'!G:G,'1-2 人员岗位信息'!$C:$C,"自有人员",'1-2 人员岗位信息'!$B:$B,$D9)</f>
        <v>0</v>
      </c>
      <c r="AH9" s="297">
        <f>IFERROR(自有人工预算!F26/AG9,0)</f>
        <v>0</v>
      </c>
      <c r="AI9" s="174">
        <f t="shared" ref="AI9:AI14" si="10">AJ9*AK9</f>
        <v>0</v>
      </c>
      <c r="AJ9" s="174">
        <f>SUMIFS('1-2 人员岗位信息'!H:H,'1-2 人员岗位信息'!$C:$C,"自有人员",'1-2 人员岗位信息'!$B:$B,$D9)</f>
        <v>0</v>
      </c>
      <c r="AK9" s="297">
        <f>IFERROR(自有人工预算!G26/AJ9,0)</f>
        <v>0</v>
      </c>
      <c r="AL9" s="174">
        <f>AM9*AN9</f>
        <v>0</v>
      </c>
      <c r="AM9" s="174">
        <f>SUMIFS('1-2 人员岗位信息'!I:I,'1-2 人员岗位信息'!$C:$C,"自有人员",'1-2 人员岗位信息'!$B:$B,$D9)</f>
        <v>0</v>
      </c>
      <c r="AN9" s="297">
        <f>IFERROR(自有人工预算!H26/AM9,0)</f>
        <v>0</v>
      </c>
      <c r="AO9" s="174">
        <f t="shared" ref="AO9:AO14" si="11">AP9*AQ9</f>
        <v>0</v>
      </c>
      <c r="AP9" s="174">
        <f>SUMIFS('1-2 人员岗位信息'!J:J,'1-2 人员岗位信息'!$C:$C,"自有人员",'1-2 人员岗位信息'!$B:$B,$D9)</f>
        <v>0</v>
      </c>
      <c r="AQ9" s="297">
        <f>IFERROR(自有人工预算!I26/AP9,0)</f>
        <v>0</v>
      </c>
      <c r="AR9" s="174">
        <f>AS9*AT9</f>
        <v>0</v>
      </c>
      <c r="AS9" s="174">
        <f>SUMIFS('1-2 人员岗位信息'!K:K,'1-2 人员岗位信息'!$C:$C,"自有人员",'1-2 人员岗位信息'!$B:$B,$D9)</f>
        <v>0</v>
      </c>
      <c r="AT9" s="297">
        <f>IFERROR(自有人工预算!J26/AS9,0)</f>
        <v>0</v>
      </c>
      <c r="AU9" s="174">
        <f t="shared" ref="AU9:AU14" si="12">AV9*AW9</f>
        <v>0</v>
      </c>
      <c r="AV9" s="174">
        <f>SUMIFS('1-2 人员岗位信息'!L:L,'1-2 人员岗位信息'!$C:$C,"自有人员",'1-2 人员岗位信息'!$B:$B,$D9)</f>
        <v>0</v>
      </c>
      <c r="AW9" s="297">
        <f>IFERROR(自有人工预算!K26/AV9,0)</f>
        <v>0</v>
      </c>
      <c r="AX9" s="174">
        <f t="shared" ref="AX9:AX14" si="13">AY9*AZ9</f>
        <v>0</v>
      </c>
      <c r="AY9" s="174">
        <f>SUMIFS('1-2 人员岗位信息'!M:M,'1-2 人员岗位信息'!$C:$C,"自有人员",'1-2 人员岗位信息'!$B:$B,$D9)</f>
        <v>0</v>
      </c>
      <c r="AZ9" s="297">
        <f>IFERROR(自有人工预算!L26/AY9,0)</f>
        <v>0</v>
      </c>
      <c r="BA9" s="174">
        <f t="shared" ref="BA9:BA14" si="14">BB9*BC9</f>
        <v>0</v>
      </c>
      <c r="BB9" s="174">
        <f>SUMIFS('1-2 人员岗位信息'!N:N,'1-2 人员岗位信息'!$C:$C,"自有人员",'1-2 人员岗位信息'!$B:$B,$D9)</f>
        <v>0</v>
      </c>
      <c r="BC9" s="297">
        <f>IFERROR(自有人工预算!M26/BB9,0)</f>
        <v>0</v>
      </c>
      <c r="BD9" s="174">
        <f t="shared" ref="BD9:BD14" si="15">BE9*BF9</f>
        <v>0</v>
      </c>
      <c r="BE9" s="174">
        <f>SUMIFS('1-2 人员岗位信息'!O:O,'1-2 人员岗位信息'!$C:$C,"自有人员",'1-2 人员岗位信息'!$B:$B,$D9)</f>
        <v>0</v>
      </c>
      <c r="BF9" s="297">
        <f>IFERROR(自有人工预算!N26/BE9,0)</f>
        <v>0</v>
      </c>
      <c r="BG9" s="174">
        <f t="shared" ref="BG9:BG14" si="16">BH9*BI9</f>
        <v>0</v>
      </c>
      <c r="BH9" s="174">
        <f>SUMIFS('1-2 人员岗位信息'!P:P,'1-2 人员岗位信息'!$C:$C,"自有人员",'1-2 人员岗位信息'!$B:$B,$D9)</f>
        <v>0</v>
      </c>
      <c r="BI9" s="297">
        <f>IFERROR(自有人工预算!O26/BH9,0)</f>
        <v>0</v>
      </c>
      <c r="BJ9" s="174">
        <f t="shared" ref="BJ9:BJ14" si="17">BK9*BL9</f>
        <v>0</v>
      </c>
      <c r="BK9" s="174">
        <f>SUMIFS('1-2 人员岗位信息'!Q:Q,'1-2 人员岗位信息'!$C:$C,"自有人员",'1-2 人员岗位信息'!$B:$B,$D9)</f>
        <v>0</v>
      </c>
      <c r="BL9" s="297">
        <f>IFERROR(自有人工预算!P26/BK9,0)</f>
        <v>0</v>
      </c>
      <c r="BM9" s="310"/>
      <c r="BN9" s="314"/>
    </row>
    <row r="10" s="262" customFormat="1" ht="33.95" hidden="1" customHeight="1" outlineLevel="5" spans="2:66">
      <c r="B10" s="174" t="s">
        <v>799</v>
      </c>
      <c r="C10" s="282" t="s">
        <v>807</v>
      </c>
      <c r="D10" s="262"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799</v>
      </c>
      <c r="C11" s="282" t="s">
        <v>810</v>
      </c>
      <c r="D11" s="262"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799</v>
      </c>
      <c r="C12" s="282" t="s">
        <v>813</v>
      </c>
      <c r="D12" s="262"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799</v>
      </c>
      <c r="C13" s="282" t="s">
        <v>816</v>
      </c>
      <c r="D13" s="262"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799</v>
      </c>
      <c r="C14" s="282" t="s">
        <v>819</v>
      </c>
      <c r="D14" s="262"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799</v>
      </c>
      <c r="C16" s="282" t="s">
        <v>822</v>
      </c>
      <c r="D16" s="262"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799</v>
      </c>
      <c r="C17" s="282" t="s">
        <v>824</v>
      </c>
      <c r="D17" s="262"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799</v>
      </c>
      <c r="C18" s="282" t="s">
        <v>826</v>
      </c>
      <c r="D18" s="262"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799</v>
      </c>
      <c r="C19" s="282" t="s">
        <v>827</v>
      </c>
      <c r="D19" s="262"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799</v>
      </c>
      <c r="C20" s="282" t="s">
        <v>828</v>
      </c>
      <c r="D20" s="262"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799</v>
      </c>
      <c r="C21" s="282" t="s">
        <v>829</v>
      </c>
      <c r="D21" s="262"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799</v>
      </c>
      <c r="C23" s="282" t="s">
        <v>830</v>
      </c>
      <c r="D23" s="262"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799</v>
      </c>
      <c r="C24" s="282" t="s">
        <v>832</v>
      </c>
      <c r="D24" s="262"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799</v>
      </c>
      <c r="C25" s="282" t="s">
        <v>834</v>
      </c>
      <c r="D25" s="262"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799</v>
      </c>
      <c r="C26" s="282" t="s">
        <v>835</v>
      </c>
      <c r="D26" s="262"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799</v>
      </c>
      <c r="C27" s="282" t="s">
        <v>836</v>
      </c>
      <c r="D27" s="262"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799</v>
      </c>
      <c r="C28" s="282" t="s">
        <v>837</v>
      </c>
      <c r="D28" s="262"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4"/>
      <c r="BM29" s="310"/>
      <c r="BN29" s="312"/>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5"/>
      <c r="BM30" s="310"/>
      <c r="BN30" s="313"/>
    </row>
    <row r="31" s="262" customFormat="1" ht="33.95" hidden="1" customHeight="1" outlineLevel="5" spans="2:66">
      <c r="B31" s="174" t="s">
        <v>799</v>
      </c>
      <c r="C31" s="282" t="s">
        <v>840</v>
      </c>
      <c r="D31" s="262"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89"/>
      <c r="Q31" s="289"/>
      <c r="R31" s="289"/>
      <c r="S31" s="289"/>
      <c r="T31" s="289"/>
      <c r="U31" s="289"/>
      <c r="V31" s="289"/>
      <c r="W31" s="289"/>
      <c r="X31" s="289"/>
      <c r="Y31" s="289"/>
      <c r="Z31" s="289"/>
      <c r="AA31" s="289"/>
      <c r="AB31" s="174">
        <f t="shared" ref="AB31:AB38" si="63">SUM(AC31,AF31,AI31,AL31,AO31,AR31,AU31,AX31,BA31,BD31,BG31,BJ31)</f>
        <v>0</v>
      </c>
      <c r="AC31" s="174">
        <f t="shared" ref="AC31:AC38" si="64">AD31*AE31</f>
        <v>0</v>
      </c>
      <c r="AD31" s="174">
        <f>SUMIFS('1-2 人员岗位信息'!F:F,'1-2 人员岗位信息'!$C:$C,"自有人员",'1-2 人员岗位信息'!$B:$B,$D31)</f>
        <v>0</v>
      </c>
      <c r="AE31" s="297">
        <f>IFERROR(自有人工预算!E28/AD31,0)</f>
        <v>0</v>
      </c>
      <c r="AF31" s="174">
        <f t="shared" ref="AF31:AF38" si="65">AG31*AH31</f>
        <v>0</v>
      </c>
      <c r="AG31" s="174">
        <f>SUMIFS('1-2 人员岗位信息'!G:G,'1-2 人员岗位信息'!$C:$C,"自有人员",'1-2 人员岗位信息'!$B:$B,$D31)</f>
        <v>0</v>
      </c>
      <c r="AH31" s="297">
        <f>IFERROR(自有人工预算!F28/AG31,0)</f>
        <v>0</v>
      </c>
      <c r="AI31" s="174">
        <f t="shared" ref="AI31:AI38" si="66">AJ31*AK31</f>
        <v>0</v>
      </c>
      <c r="AJ31" s="174">
        <f>SUMIFS('1-2 人员岗位信息'!H:H,'1-2 人员岗位信息'!$C:$C,"自有人员",'1-2 人员岗位信息'!$B:$B,$D31)</f>
        <v>0</v>
      </c>
      <c r="AK31" s="297">
        <f>IFERROR(自有人工预算!G28/AJ31,0)</f>
        <v>0</v>
      </c>
      <c r="AL31" s="174">
        <f t="shared" ref="AL31:AL38" si="67">AM31*AN31</f>
        <v>0</v>
      </c>
      <c r="AM31" s="174">
        <f>SUMIFS('1-2 人员岗位信息'!I:I,'1-2 人员岗位信息'!$C:$C,"自有人员",'1-2 人员岗位信息'!$B:$B,$D31)</f>
        <v>0</v>
      </c>
      <c r="AN31" s="297">
        <f>IFERROR(自有人工预算!H28/AM31,0)</f>
        <v>0</v>
      </c>
      <c r="AO31" s="174">
        <f t="shared" ref="AO31:AO38" si="68">AP31*AQ31</f>
        <v>0</v>
      </c>
      <c r="AP31" s="174">
        <f>SUMIFS('1-2 人员岗位信息'!J:J,'1-2 人员岗位信息'!$C:$C,"自有人员",'1-2 人员岗位信息'!$B:$B,$D31)</f>
        <v>0</v>
      </c>
      <c r="AQ31" s="297">
        <f>IFERROR(自有人工预算!I28/AP31,0)</f>
        <v>0</v>
      </c>
      <c r="AR31" s="174">
        <f t="shared" ref="AR31:AR38" si="69">AS31*AT31</f>
        <v>0</v>
      </c>
      <c r="AS31" s="174">
        <f>SUMIFS('1-2 人员岗位信息'!K:K,'1-2 人员岗位信息'!$C:$C,"自有人员",'1-2 人员岗位信息'!$B:$B,$D31)</f>
        <v>0</v>
      </c>
      <c r="AT31" s="297">
        <f>IFERROR(自有人工预算!J28/AS31,0)</f>
        <v>0</v>
      </c>
      <c r="AU31" s="174">
        <f t="shared" ref="AU31:AU38" si="70">AV31*AW31</f>
        <v>0</v>
      </c>
      <c r="AV31" s="174">
        <f>SUMIFS('1-2 人员岗位信息'!L:L,'1-2 人员岗位信息'!$C:$C,"自有人员",'1-2 人员岗位信息'!$B:$B,$D31)</f>
        <v>0</v>
      </c>
      <c r="AW31" s="297">
        <f>IFERROR(自有人工预算!K28/AV31,0)</f>
        <v>0</v>
      </c>
      <c r="AX31" s="174">
        <f t="shared" ref="AX31:AX38" si="71">AY31*AZ31</f>
        <v>0</v>
      </c>
      <c r="AY31" s="174">
        <f>SUMIFS('1-2 人员岗位信息'!M:M,'1-2 人员岗位信息'!$C:$C,"自有人员",'1-2 人员岗位信息'!$B:$B,$D31)</f>
        <v>0</v>
      </c>
      <c r="AZ31" s="297">
        <f>IFERROR(自有人工预算!L28/AY31,0)</f>
        <v>0</v>
      </c>
      <c r="BA31" s="174">
        <f t="shared" ref="BA31:BA38" si="72">BB31*BC31</f>
        <v>0</v>
      </c>
      <c r="BB31" s="174">
        <f>SUMIFS('1-2 人员岗位信息'!N:N,'1-2 人员岗位信息'!$C:$C,"自有人员",'1-2 人员岗位信息'!$B:$B,$D31)</f>
        <v>0</v>
      </c>
      <c r="BC31" s="297">
        <f>IFERROR(自有人工预算!M28/BB31,0)</f>
        <v>0</v>
      </c>
      <c r="BD31" s="174">
        <f t="shared" ref="BD31:BD38" si="73">BE31*BF31</f>
        <v>0</v>
      </c>
      <c r="BE31" s="174">
        <f>SUMIFS('1-2 人员岗位信息'!O:O,'1-2 人员岗位信息'!$C:$C,"自有人员",'1-2 人员岗位信息'!$B:$B,$D31)</f>
        <v>0</v>
      </c>
      <c r="BF31" s="297">
        <f>IFERROR(自有人工预算!N28/BE31,0)</f>
        <v>0</v>
      </c>
      <c r="BG31" s="174">
        <f t="shared" ref="BG31:BG38" si="74">BH31*BI31</f>
        <v>0</v>
      </c>
      <c r="BH31" s="174">
        <f>SUMIFS('1-2 人员岗位信息'!P:P,'1-2 人员岗位信息'!$C:$C,"自有人员",'1-2 人员岗位信息'!$B:$B,$D31)</f>
        <v>0</v>
      </c>
      <c r="BI31" s="297">
        <f>IFERROR(自有人工预算!O28/BH31,0)</f>
        <v>0</v>
      </c>
      <c r="BJ31" s="174">
        <f t="shared" ref="BJ31:BJ38" si="75">BK31*BL31</f>
        <v>0</v>
      </c>
      <c r="BK31" s="174">
        <f>SUMIFS('1-2 人员岗位信息'!Q:Q,'1-2 人员岗位信息'!$C:$C,"自有人员",'1-2 人员岗位信息'!$B:$B,$D31)</f>
        <v>0</v>
      </c>
      <c r="BL31" s="297">
        <f>IFERROR(自有人工预算!P28/BK31,0)</f>
        <v>0</v>
      </c>
      <c r="BM31" s="310"/>
      <c r="BN31" s="314"/>
    </row>
    <row r="32" s="262" customFormat="1" ht="33.95" hidden="1" customHeight="1" outlineLevel="5" spans="2:66">
      <c r="B32" s="174" t="s">
        <v>799</v>
      </c>
      <c r="C32" s="282" t="s">
        <v>843</v>
      </c>
      <c r="D32" s="262"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799</v>
      </c>
      <c r="C33" s="282" t="s">
        <v>845</v>
      </c>
      <c r="D33" s="262"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799</v>
      </c>
      <c r="C34" s="282" t="s">
        <v>848</v>
      </c>
      <c r="D34" s="262"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799</v>
      </c>
      <c r="C35" s="282" t="s">
        <v>851</v>
      </c>
      <c r="D35" s="262"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799</v>
      </c>
      <c r="C36" s="282" t="s">
        <v>854</v>
      </c>
      <c r="D36" s="262"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799</v>
      </c>
      <c r="C37" s="282" t="s">
        <v>857</v>
      </c>
      <c r="D37" s="262"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799</v>
      </c>
      <c r="C38" s="282" t="s">
        <v>860</v>
      </c>
      <c r="D38" s="262"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799</v>
      </c>
      <c r="C40" s="282" t="s">
        <v>862</v>
      </c>
      <c r="D40" s="262"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799</v>
      </c>
      <c r="C41" s="282" t="s">
        <v>864</v>
      </c>
      <c r="D41" s="262"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799</v>
      </c>
      <c r="C42" s="282" t="s">
        <v>865</v>
      </c>
      <c r="D42" s="262"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799</v>
      </c>
      <c r="C43" s="282" t="s">
        <v>866</v>
      </c>
      <c r="D43" s="262"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799</v>
      </c>
      <c r="C44" s="282" t="s">
        <v>867</v>
      </c>
      <c r="D44" s="262"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799</v>
      </c>
      <c r="C45" s="282" t="s">
        <v>868</v>
      </c>
      <c r="D45" s="262"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799</v>
      </c>
      <c r="C46" s="282" t="s">
        <v>869</v>
      </c>
      <c r="D46" s="262"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799</v>
      </c>
      <c r="C47" s="282" t="s">
        <v>870</v>
      </c>
      <c r="D47" s="262"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799</v>
      </c>
      <c r="C49" s="282" t="s">
        <v>872</v>
      </c>
      <c r="D49" s="262"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799</v>
      </c>
      <c r="C50" s="282" t="s">
        <v>874</v>
      </c>
      <c r="D50" s="262"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799</v>
      </c>
      <c r="C51" s="282" t="s">
        <v>876</v>
      </c>
      <c r="D51" s="262"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799</v>
      </c>
      <c r="C52" s="282" t="s">
        <v>877</v>
      </c>
      <c r="D52" s="262"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799</v>
      </c>
      <c r="C53" s="282" t="s">
        <v>878</v>
      </c>
      <c r="D53" s="262"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799</v>
      </c>
      <c r="C54" s="282" t="s">
        <v>879</v>
      </c>
      <c r="D54" s="262"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799</v>
      </c>
      <c r="C55" s="282" t="s">
        <v>880</v>
      </c>
      <c r="D55" s="262"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799</v>
      </c>
      <c r="C56" s="282" t="s">
        <v>881</v>
      </c>
      <c r="D56" s="262"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8" customFormat="1" ht="33.95" customHeight="1" outlineLevel="3" spans="2:66">
      <c r="B57" s="114" t="s">
        <v>794</v>
      </c>
      <c r="C57" s="115" t="s">
        <v>882</v>
      </c>
      <c r="D57" s="48" t="s">
        <v>883</v>
      </c>
      <c r="E57" s="114"/>
      <c r="F57" s="114"/>
      <c r="G57" s="114"/>
      <c r="H57" s="114">
        <f>H58+H69+H80+H91</f>
        <v>332830.188679245</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332830.188679245</v>
      </c>
      <c r="AC57" s="114">
        <f t="shared" si="112"/>
        <v>27735.8490566038</v>
      </c>
      <c r="AD57" s="114"/>
      <c r="AE57" s="114"/>
      <c r="AF57" s="114">
        <f t="shared" si="112"/>
        <v>27735.8490566038</v>
      </c>
      <c r="AG57" s="114"/>
      <c r="AH57" s="114"/>
      <c r="AI57" s="114">
        <f>AI58+AI69+AI80+AI91</f>
        <v>27735.8490566038</v>
      </c>
      <c r="AJ57" s="114"/>
      <c r="AK57" s="114"/>
      <c r="AL57" s="114">
        <f>AL58+AL69+AL80+AL91</f>
        <v>27735.8490566038</v>
      </c>
      <c r="AM57" s="114"/>
      <c r="AN57" s="114"/>
      <c r="AO57" s="114">
        <f>AO58+AO69+AO80+AO91</f>
        <v>27735.8490566038</v>
      </c>
      <c r="AP57" s="114"/>
      <c r="AQ57" s="114"/>
      <c r="AR57" s="114">
        <f>AR58+AR69+AR80+AR91</f>
        <v>27735.8490566038</v>
      </c>
      <c r="AS57" s="114"/>
      <c r="AT57" s="114"/>
      <c r="AU57" s="114">
        <f>AU58+AU69+AU80+AU91</f>
        <v>27735.8490566038</v>
      </c>
      <c r="AV57" s="114"/>
      <c r="AW57" s="114"/>
      <c r="AX57" s="114">
        <f>AX58+AX69+AX80+AX91</f>
        <v>27735.8490566038</v>
      </c>
      <c r="AY57" s="114"/>
      <c r="AZ57" s="114"/>
      <c r="BA57" s="114">
        <f>BA58+BA69+BA80+BA91</f>
        <v>27735.8490566038</v>
      </c>
      <c r="BB57" s="114"/>
      <c r="BC57" s="114"/>
      <c r="BD57" s="114">
        <f>BD58+BD69+BD80+BD91</f>
        <v>27735.8490566038</v>
      </c>
      <c r="BE57" s="114"/>
      <c r="BF57" s="114"/>
      <c r="BG57" s="114">
        <f>BG58+BG69+BG80+BG91</f>
        <v>27735.8490566038</v>
      </c>
      <c r="BH57" s="114"/>
      <c r="BI57" s="114"/>
      <c r="BJ57" s="114">
        <f>BJ58+BJ69+BJ80+BJ91</f>
        <v>27735.8490566038</v>
      </c>
      <c r="BK57" s="114"/>
      <c r="BL57" s="304"/>
      <c r="BM57" s="310"/>
      <c r="BN57" s="312"/>
    </row>
    <row r="58" s="117" customFormat="1" ht="33.95" hidden="1" customHeight="1" outlineLevel="4" collapsed="1" spans="2:66">
      <c r="B58" s="118" t="s">
        <v>794</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799</v>
      </c>
      <c r="C59" s="282" t="s">
        <v>884</v>
      </c>
      <c r="D59" s="262" t="s">
        <v>885</v>
      </c>
      <c r="E59" s="174" t="s">
        <v>886</v>
      </c>
      <c r="F59" s="174"/>
      <c r="G59" s="174" t="s">
        <v>803</v>
      </c>
      <c r="H59" s="174">
        <f t="shared" ref="H59:H68" si="114">AB59</f>
        <v>0</v>
      </c>
      <c r="I59" s="174" t="s">
        <v>804</v>
      </c>
      <c r="J59" s="174" t="e">
        <f t="shared" ref="J59:J68" si="115">SUM(AD59,AG59,AJ59,AM59,AP59,AS59,AV59,AY59,BB59,BE59,BH59,BK59)/N59</f>
        <v>#DIV/0!</v>
      </c>
      <c r="K59" s="174" t="s">
        <v>805</v>
      </c>
      <c r="L59" s="174" t="e">
        <f t="shared" ref="L59:L68" si="116">H59/N59/J59</f>
        <v>#DIV/0!</v>
      </c>
      <c r="M59" s="174" t="s">
        <v>806</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f>IFERROR(自有人工预算!E27/AD59,0)</f>
        <v>0</v>
      </c>
      <c r="AF59" s="174">
        <f t="shared" ref="AF59:AF68" si="120">AG59*AH59</f>
        <v>0</v>
      </c>
      <c r="AG59" s="174">
        <f>SUMIFS('1-2 人员岗位信息'!G:G,'1-2 人员岗位信息'!$C:$C,"自有人员",'1-2 人员岗位信息'!$B:$B,$D59)</f>
        <v>0</v>
      </c>
      <c r="AH59" s="297">
        <f>IFERROR(自有人工预算!F27/AG59,0)</f>
        <v>0</v>
      </c>
      <c r="AI59" s="174">
        <f t="shared" ref="AI59:AI68" si="121">AJ59*AK59</f>
        <v>0</v>
      </c>
      <c r="AJ59" s="174">
        <f>SUMIFS('1-2 人员岗位信息'!H:H,'1-2 人员岗位信息'!$C:$C,"自有人员",'1-2 人员岗位信息'!$B:$B,$D59)</f>
        <v>0</v>
      </c>
      <c r="AK59" s="297">
        <f>IFERROR(自有人工预算!G27/AJ59,0)</f>
        <v>0</v>
      </c>
      <c r="AL59" s="174">
        <f t="shared" ref="AL59:AL68" si="122">AM59*AN59</f>
        <v>0</v>
      </c>
      <c r="AM59" s="174">
        <f>SUMIFS('1-2 人员岗位信息'!I:I,'1-2 人员岗位信息'!$C:$C,"自有人员",'1-2 人员岗位信息'!$B:$B,$D59)</f>
        <v>0</v>
      </c>
      <c r="AN59" s="297">
        <f>IFERROR(自有人工预算!H27/AM59,0)</f>
        <v>0</v>
      </c>
      <c r="AO59" s="174">
        <f t="shared" ref="AO59:AO68" si="123">AP59*AQ59</f>
        <v>0</v>
      </c>
      <c r="AP59" s="174">
        <f>SUMIFS('1-2 人员岗位信息'!J:J,'1-2 人员岗位信息'!$C:$C,"自有人员",'1-2 人员岗位信息'!$B:$B,$D59)</f>
        <v>0</v>
      </c>
      <c r="AQ59" s="297">
        <f>IFERROR(自有人工预算!I27/AP59,0)</f>
        <v>0</v>
      </c>
      <c r="AR59" s="174">
        <f t="shared" ref="AR59:AR68" si="124">AS59*AT59</f>
        <v>0</v>
      </c>
      <c r="AS59" s="174">
        <f>SUMIFS('1-2 人员岗位信息'!K:K,'1-2 人员岗位信息'!$C:$C,"自有人员",'1-2 人员岗位信息'!$B:$B,$D59)</f>
        <v>0</v>
      </c>
      <c r="AT59" s="297">
        <f>IFERROR(自有人工预算!J27/AS59,0)</f>
        <v>0</v>
      </c>
      <c r="AU59" s="174">
        <f t="shared" ref="AU59:AU68" si="125">AV59*AW59</f>
        <v>0</v>
      </c>
      <c r="AV59" s="174">
        <f>SUMIFS('1-2 人员岗位信息'!L:L,'1-2 人员岗位信息'!$C:$C,"自有人员",'1-2 人员岗位信息'!$B:$B,$D59)</f>
        <v>0</v>
      </c>
      <c r="AW59" s="297">
        <f>IFERROR(自有人工预算!K27/AV59,0)</f>
        <v>0</v>
      </c>
      <c r="AX59" s="174">
        <f t="shared" ref="AX59:AX68" si="126">AY59*AZ59</f>
        <v>0</v>
      </c>
      <c r="AY59" s="174">
        <f>SUMIFS('1-2 人员岗位信息'!M:M,'1-2 人员岗位信息'!$C:$C,"自有人员",'1-2 人员岗位信息'!$B:$B,$D59)</f>
        <v>0</v>
      </c>
      <c r="AZ59" s="297">
        <f>IFERROR(自有人工预算!L27/AY59,0)</f>
        <v>0</v>
      </c>
      <c r="BA59" s="174">
        <f t="shared" ref="BA59:BA68" si="127">BB59*BC59</f>
        <v>0</v>
      </c>
      <c r="BB59" s="174">
        <f>SUMIFS('1-2 人员岗位信息'!N:N,'1-2 人员岗位信息'!$C:$C,"自有人员",'1-2 人员岗位信息'!$B:$B,$D59)</f>
        <v>0</v>
      </c>
      <c r="BC59" s="297">
        <f>IFERROR(自有人工预算!M27/BB59,0)</f>
        <v>0</v>
      </c>
      <c r="BD59" s="174">
        <f t="shared" ref="BD59:BD68" si="128">BE59*BF59</f>
        <v>0</v>
      </c>
      <c r="BE59" s="174">
        <f>SUMIFS('1-2 人员岗位信息'!O:O,'1-2 人员岗位信息'!$C:$C,"自有人员",'1-2 人员岗位信息'!$B:$B,$D59)</f>
        <v>0</v>
      </c>
      <c r="BF59" s="297">
        <f>IFERROR(自有人工预算!N27/BE59,0)</f>
        <v>0</v>
      </c>
      <c r="BG59" s="174">
        <f t="shared" ref="BG59:BG68" si="129">BH59*BI59</f>
        <v>0</v>
      </c>
      <c r="BH59" s="174">
        <f>SUMIFS('1-2 人员岗位信息'!P:P,'1-2 人员岗位信息'!$C:$C,"自有人员",'1-2 人员岗位信息'!$B:$B,$D59)</f>
        <v>0</v>
      </c>
      <c r="BI59" s="297">
        <f>IFERROR(自有人工预算!O27/BH59,0)</f>
        <v>0</v>
      </c>
      <c r="BJ59" s="174">
        <f t="shared" ref="BJ59:BJ68" si="130">BK59*BL59</f>
        <v>0</v>
      </c>
      <c r="BK59" s="174">
        <f>SUMIFS('1-2 人员岗位信息'!Q:Q,'1-2 人员岗位信息'!$C:$C,"自有人员",'1-2 人员岗位信息'!$B:$B,$D59)</f>
        <v>0</v>
      </c>
      <c r="BL59" s="297">
        <f>IFERROR(自有人工预算!P27/BK59,0)</f>
        <v>0</v>
      </c>
      <c r="BM59" s="310"/>
      <c r="BN59" s="314"/>
    </row>
    <row r="60" s="262" customFormat="1" ht="33.95" hidden="1" customHeight="1" outlineLevel="5" spans="2:66">
      <c r="B60" s="174" t="s">
        <v>799</v>
      </c>
      <c r="C60" s="282" t="s">
        <v>887</v>
      </c>
      <c r="D60" s="262"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799</v>
      </c>
      <c r="C61" s="282" t="s">
        <v>890</v>
      </c>
      <c r="D61" s="262"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799</v>
      </c>
      <c r="C62" s="282" t="s">
        <v>893</v>
      </c>
      <c r="D62" s="262"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799</v>
      </c>
      <c r="C63" s="282" t="s">
        <v>896</v>
      </c>
      <c r="D63" s="262"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799</v>
      </c>
      <c r="C64" s="282" t="s">
        <v>899</v>
      </c>
      <c r="D64" s="262"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799</v>
      </c>
      <c r="C65" s="282" t="s">
        <v>902</v>
      </c>
      <c r="D65" s="262"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799</v>
      </c>
      <c r="C66" s="282" t="s">
        <v>905</v>
      </c>
      <c r="D66" s="262"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799</v>
      </c>
      <c r="C67" s="282" t="s">
        <v>908</v>
      </c>
      <c r="D67" s="262"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799</v>
      </c>
      <c r="C68" s="282" t="s">
        <v>911</v>
      </c>
      <c r="D68" s="262"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799</v>
      </c>
      <c r="C70" s="282" t="s">
        <v>913</v>
      </c>
      <c r="D70" s="262"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799</v>
      </c>
      <c r="C71" s="282" t="s">
        <v>915</v>
      </c>
      <c r="D71" s="262"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799</v>
      </c>
      <c r="C72" s="282" t="s">
        <v>917</v>
      </c>
      <c r="D72" s="262"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799</v>
      </c>
      <c r="C73" s="282" t="s">
        <v>918</v>
      </c>
      <c r="D73" s="262"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799</v>
      </c>
      <c r="C74" s="282" t="s">
        <v>919</v>
      </c>
      <c r="D74" s="262"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799</v>
      </c>
      <c r="C75" s="282" t="s">
        <v>920</v>
      </c>
      <c r="D75" s="262"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799</v>
      </c>
      <c r="C76" s="282" t="s">
        <v>921</v>
      </c>
      <c r="D76" s="262"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799</v>
      </c>
      <c r="C77" s="282" t="s">
        <v>922</v>
      </c>
      <c r="D77" s="262"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799</v>
      </c>
      <c r="C78" s="282" t="s">
        <v>923</v>
      </c>
      <c r="D78" s="262"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799</v>
      </c>
      <c r="C79" s="282" t="s">
        <v>924</v>
      </c>
      <c r="D79" s="262"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customHeight="1" outlineLevel="4" spans="2:66">
      <c r="B80" s="118" t="s">
        <v>794</v>
      </c>
      <c r="C80" s="119" t="s">
        <v>14</v>
      </c>
      <c r="D80" s="117" t="s">
        <v>15</v>
      </c>
      <c r="E80" s="118"/>
      <c r="F80" s="118"/>
      <c r="G80" s="118"/>
      <c r="H80" s="118">
        <f>SUM(H81:H90)</f>
        <v>332830.188679245</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332830.188679245</v>
      </c>
      <c r="AC80" s="118">
        <f t="shared" si="149"/>
        <v>27735.8490566038</v>
      </c>
      <c r="AD80" s="118"/>
      <c r="AE80" s="118"/>
      <c r="AF80" s="118">
        <f t="shared" si="149"/>
        <v>27735.8490566038</v>
      </c>
      <c r="AG80" s="118"/>
      <c r="AH80" s="118"/>
      <c r="AI80" s="118">
        <f>SUM(AI81:AI90)</f>
        <v>27735.8490566038</v>
      </c>
      <c r="AJ80" s="118"/>
      <c r="AK80" s="118"/>
      <c r="AL80" s="118">
        <f>SUM(AL81:AL90)</f>
        <v>27735.8490566038</v>
      </c>
      <c r="AM80" s="118"/>
      <c r="AN80" s="118"/>
      <c r="AO80" s="118">
        <f>SUM(AO81:AO90)</f>
        <v>27735.8490566038</v>
      </c>
      <c r="AP80" s="118"/>
      <c r="AQ80" s="118"/>
      <c r="AR80" s="118">
        <f>SUM(AR81:AR90)</f>
        <v>27735.8490566038</v>
      </c>
      <c r="AS80" s="118"/>
      <c r="AT80" s="118"/>
      <c r="AU80" s="118">
        <f>SUM(AU81:AU90)</f>
        <v>27735.8490566038</v>
      </c>
      <c r="AV80" s="118"/>
      <c r="AW80" s="118"/>
      <c r="AX80" s="118">
        <f>SUM(AX81:AX90)</f>
        <v>27735.8490566038</v>
      </c>
      <c r="AY80" s="118"/>
      <c r="AZ80" s="118"/>
      <c r="BA80" s="118">
        <f>SUM(BA81:BA90)</f>
        <v>27735.8490566038</v>
      </c>
      <c r="BB80" s="118"/>
      <c r="BC80" s="118"/>
      <c r="BD80" s="118">
        <f>SUM(BD81:BD90)</f>
        <v>27735.8490566038</v>
      </c>
      <c r="BE80" s="118"/>
      <c r="BF80" s="118"/>
      <c r="BG80" s="118">
        <f>SUM(BG81:BG90)</f>
        <v>27735.8490566038</v>
      </c>
      <c r="BH80" s="118"/>
      <c r="BI80" s="118"/>
      <c r="BJ80" s="118">
        <f>SUM(BJ81:BJ90)</f>
        <v>27735.8490566038</v>
      </c>
      <c r="BK80" s="118"/>
      <c r="BL80" s="305"/>
      <c r="BM80" s="310"/>
      <c r="BN80" s="313"/>
    </row>
    <row r="81" s="262" customFormat="1" ht="33.95" customHeight="1" outlineLevel="5" spans="2:66">
      <c r="B81" s="174" t="s">
        <v>799</v>
      </c>
      <c r="C81" s="282" t="s">
        <v>926</v>
      </c>
      <c r="D81" s="262" t="s">
        <v>885</v>
      </c>
      <c r="E81" s="174" t="s">
        <v>927</v>
      </c>
      <c r="F81" s="174"/>
      <c r="G81" s="174" t="s">
        <v>803</v>
      </c>
      <c r="H81" s="174">
        <f t="shared" ref="H81:H90" si="150">AB81</f>
        <v>332830.188679245</v>
      </c>
      <c r="I81" s="174" t="s">
        <v>804</v>
      </c>
      <c r="J81" s="174">
        <f t="shared" ref="J81:J90" si="151">SUM(AD81,AG81,AJ81,AM81,AP81,AS81,AV81,AY81,BB81,BE81,BH81,BK81)/N81</f>
        <v>6</v>
      </c>
      <c r="K81" s="174" t="s">
        <v>805</v>
      </c>
      <c r="L81" s="174">
        <f t="shared" ref="L81:L90" si="152">H81/N81/J81</f>
        <v>4622.64150943396</v>
      </c>
      <c r="M81" s="174" t="s">
        <v>806</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332830.188679245</v>
      </c>
      <c r="AC81" s="174">
        <f t="shared" ref="AC81:AC90" si="154">AD81*AE81</f>
        <v>27735.8490566038</v>
      </c>
      <c r="AD81" s="174">
        <f>SUMIFS('1-2 人员岗位信息'!J:J,'1-2 人员岗位信息'!$C:$C,"专业外包",'1-2 人员岗位信息'!$B:$B,$D81)</f>
        <v>6</v>
      </c>
      <c r="AE81" s="297">
        <f>IFERROR(预算主表!P79/(12*AD81),0)</f>
        <v>4622.64150943396</v>
      </c>
      <c r="AF81" s="174">
        <f t="shared" ref="AF81:AF90" si="155">AG81*AH81</f>
        <v>27735.8490566038</v>
      </c>
      <c r="AG81" s="174">
        <f>SUMIFS('1-2 人员岗位信息'!J:J,'1-2 人员岗位信息'!$C:$C,"专业外包",'1-2 人员岗位信息'!$B:$B,$D81)</f>
        <v>6</v>
      </c>
      <c r="AH81" s="297">
        <f>AE81</f>
        <v>4622.64150943396</v>
      </c>
      <c r="AI81" s="174">
        <f t="shared" ref="AI81:AI90" si="156">AJ81*AK81</f>
        <v>27735.8490566038</v>
      </c>
      <c r="AJ81" s="174">
        <f>SUMIFS('1-2 人员岗位信息'!J:J,'1-2 人员岗位信息'!$C:$C,"专业外包",'1-2 人员岗位信息'!$B:$B,$D81)</f>
        <v>6</v>
      </c>
      <c r="AK81" s="297">
        <f>AE81</f>
        <v>4622.64150943396</v>
      </c>
      <c r="AL81" s="174">
        <f t="shared" ref="AL81:AL90" si="157">AM81*AN81</f>
        <v>27735.8490566038</v>
      </c>
      <c r="AM81" s="174">
        <f>SUMIFS('1-2 人员岗位信息'!I:I,'1-2 人员岗位信息'!$C:$C,"专业外包",'1-2 人员岗位信息'!$B:$B,$D81)</f>
        <v>6</v>
      </c>
      <c r="AN81" s="297">
        <f>AE81</f>
        <v>4622.64150943396</v>
      </c>
      <c r="AO81" s="174">
        <f t="shared" ref="AO81:AO90" si="158">AP81*AQ81</f>
        <v>27735.8490566038</v>
      </c>
      <c r="AP81" s="174">
        <f>SUMIFS('1-2 人员岗位信息'!J:J,'1-2 人员岗位信息'!$C:$C,"专业外包",'1-2 人员岗位信息'!$B:$B,$D81)</f>
        <v>6</v>
      </c>
      <c r="AQ81" s="297">
        <f>AE81</f>
        <v>4622.64150943396</v>
      </c>
      <c r="AR81" s="174">
        <f t="shared" ref="AR81:AR90" si="159">AS81*AT81</f>
        <v>27735.8490566038</v>
      </c>
      <c r="AS81" s="174">
        <f>SUMIFS('1-2 人员岗位信息'!K:K,'1-2 人员岗位信息'!$C:$C,"专业外包",'1-2 人员岗位信息'!$B:$B,$D81)</f>
        <v>6</v>
      </c>
      <c r="AT81" s="297">
        <f>AE81</f>
        <v>4622.64150943396</v>
      </c>
      <c r="AU81" s="174">
        <f t="shared" ref="AU81:AU90" si="160">AV81*AW81</f>
        <v>27735.8490566038</v>
      </c>
      <c r="AV81" s="174">
        <f>SUMIFS('1-2 人员岗位信息'!L:L,'1-2 人员岗位信息'!$C:$C,"专业外包",'1-2 人员岗位信息'!$B:$B,$D81)</f>
        <v>6</v>
      </c>
      <c r="AW81" s="297">
        <f>AE81</f>
        <v>4622.64150943396</v>
      </c>
      <c r="AX81" s="174">
        <f t="shared" ref="AX81:AX90" si="161">AY81*AZ81</f>
        <v>27735.8490566038</v>
      </c>
      <c r="AY81" s="174">
        <f>SUMIFS('1-2 人员岗位信息'!M:M,'1-2 人员岗位信息'!$C:$C,"专业外包",'1-2 人员岗位信息'!$B:$B,$D81)</f>
        <v>6</v>
      </c>
      <c r="AZ81" s="297">
        <f>AE81</f>
        <v>4622.64150943396</v>
      </c>
      <c r="BA81" s="174">
        <f t="shared" ref="BA81:BA90" si="162">BB81*BC81</f>
        <v>27735.8490566038</v>
      </c>
      <c r="BB81" s="174">
        <f>SUMIFS('1-2 人员岗位信息'!N:N,'1-2 人员岗位信息'!$C:$C,"专业外包",'1-2 人员岗位信息'!$B:$B,$D81)</f>
        <v>6</v>
      </c>
      <c r="BC81" s="297">
        <f>AE81</f>
        <v>4622.64150943396</v>
      </c>
      <c r="BD81" s="174">
        <f t="shared" ref="BD81:BD90" si="163">BE81*BF81</f>
        <v>27735.8490566038</v>
      </c>
      <c r="BE81" s="174">
        <f>SUMIFS('1-2 人员岗位信息'!O:O,'1-2 人员岗位信息'!$C:$C,"专业外包",'1-2 人员岗位信息'!$B:$B,$D81)</f>
        <v>6</v>
      </c>
      <c r="BF81" s="297">
        <f>AE81</f>
        <v>4622.64150943396</v>
      </c>
      <c r="BG81" s="174">
        <f t="shared" ref="BG81:BG90" si="164">BH81*BI81</f>
        <v>27735.8490566038</v>
      </c>
      <c r="BH81" s="174">
        <f>SUMIFS('1-2 人员岗位信息'!P:P,'1-2 人员岗位信息'!$C:$C,"专业外包",'1-2 人员岗位信息'!$B:$B,$D81)</f>
        <v>6</v>
      </c>
      <c r="BI81" s="297">
        <f>AE81</f>
        <v>4622.64150943396</v>
      </c>
      <c r="BJ81" s="174">
        <f t="shared" ref="BJ81:BJ90" si="165">BK81*BL81</f>
        <v>27735.8490566038</v>
      </c>
      <c r="BK81" s="174">
        <f>SUMIFS('1-2 人员岗位信息'!Q:Q,'1-2 人员岗位信息'!$C:$C,"专业外包",'1-2 人员岗位信息'!$B:$B,$D81)</f>
        <v>6</v>
      </c>
      <c r="BL81" s="297">
        <f>AE81</f>
        <v>4622.64150943396</v>
      </c>
      <c r="BM81" s="310"/>
      <c r="BN81" s="314"/>
    </row>
    <row r="82" s="262" customFormat="1" ht="33.95" hidden="1" customHeight="1" outlineLevel="5" spans="2:66">
      <c r="B82" s="174" t="s">
        <v>799</v>
      </c>
      <c r="C82" s="282" t="s">
        <v>928</v>
      </c>
      <c r="D82" s="262"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799</v>
      </c>
      <c r="C83" s="282" t="s">
        <v>930</v>
      </c>
      <c r="D83" s="262"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799</v>
      </c>
      <c r="C84" s="282" t="s">
        <v>931</v>
      </c>
      <c r="D84" s="262"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799</v>
      </c>
      <c r="C85" s="282" t="s">
        <v>932</v>
      </c>
      <c r="D85" s="262"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799</v>
      </c>
      <c r="C86" s="282" t="s">
        <v>933</v>
      </c>
      <c r="D86" s="262"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799</v>
      </c>
      <c r="C87" s="282" t="s">
        <v>934</v>
      </c>
      <c r="D87" s="262"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799</v>
      </c>
      <c r="C88" s="282" t="s">
        <v>935</v>
      </c>
      <c r="D88" s="262"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799</v>
      </c>
      <c r="C89" s="282" t="s">
        <v>936</v>
      </c>
      <c r="D89" s="262"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799</v>
      </c>
      <c r="C90" s="282" t="s">
        <v>937</v>
      </c>
      <c r="D90" s="262"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799</v>
      </c>
      <c r="C92" s="282" t="s">
        <v>940</v>
      </c>
      <c r="D92" s="262"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799</v>
      </c>
      <c r="C93" s="282" t="s">
        <v>944</v>
      </c>
      <c r="D93" s="262"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799</v>
      </c>
      <c r="C94" s="282" t="s">
        <v>946</v>
      </c>
      <c r="D94" s="262"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799</v>
      </c>
      <c r="C95" s="282" t="s">
        <v>948</v>
      </c>
      <c r="D95" s="262"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799</v>
      </c>
      <c r="C96" s="282" t="s">
        <v>950</v>
      </c>
      <c r="D96" s="262"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799</v>
      </c>
      <c r="C97" s="282" t="s">
        <v>952</v>
      </c>
      <c r="D97" s="262"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799</v>
      </c>
      <c r="C98" s="282" t="s">
        <v>955</v>
      </c>
      <c r="D98" s="262"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799</v>
      </c>
      <c r="C99" s="282" t="s">
        <v>957</v>
      </c>
      <c r="D99" s="262"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799</v>
      </c>
      <c r="C100" s="282" t="s">
        <v>960</v>
      </c>
      <c r="D100" s="262"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799</v>
      </c>
      <c r="C101" s="282" t="s">
        <v>962</v>
      </c>
      <c r="D101" s="262"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799</v>
      </c>
      <c r="C102" s="282" t="s">
        <v>964</v>
      </c>
      <c r="D102" s="262"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799</v>
      </c>
      <c r="C103" s="282" t="s">
        <v>966</v>
      </c>
      <c r="D103" s="262"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799</v>
      </c>
      <c r="C104" s="282" t="s">
        <v>968</v>
      </c>
      <c r="D104" s="262"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799</v>
      </c>
      <c r="C105" s="282" t="s">
        <v>970</v>
      </c>
      <c r="D105" s="262"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799</v>
      </c>
      <c r="C106" s="282" t="s">
        <v>972</v>
      </c>
      <c r="D106" s="262"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799</v>
      </c>
      <c r="C107" s="282" t="s">
        <v>974</v>
      </c>
      <c r="D107" s="262"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799</v>
      </c>
      <c r="C108" s="282" t="s">
        <v>976</v>
      </c>
      <c r="D108" s="262"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799</v>
      </c>
      <c r="C109" s="282" t="s">
        <v>978</v>
      </c>
      <c r="D109" s="262"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799</v>
      </c>
      <c r="C110" s="282" t="s">
        <v>980</v>
      </c>
      <c r="D110" s="262"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8" customFormat="1" ht="33.95" customHeight="1" outlineLevel="3" spans="2:66">
      <c r="B111" s="114" t="s">
        <v>794</v>
      </c>
      <c r="C111" s="115" t="s">
        <v>983</v>
      </c>
      <c r="D111" s="48" t="s">
        <v>984</v>
      </c>
      <c r="E111" s="114"/>
      <c r="F111" s="114"/>
      <c r="G111" s="114"/>
      <c r="H111" s="114">
        <f>H112+H122+H132+H142</f>
        <v>193366.6</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193366.6</v>
      </c>
      <c r="AC111" s="114">
        <f t="shared" si="185"/>
        <v>18531.28</v>
      </c>
      <c r="AD111" s="114"/>
      <c r="AE111" s="114"/>
      <c r="AF111" s="114">
        <f t="shared" si="185"/>
        <v>15894.12</v>
      </c>
      <c r="AG111" s="114"/>
      <c r="AH111" s="114"/>
      <c r="AI111" s="114">
        <f>AI112+AI122+AI132+AI142</f>
        <v>15894.12</v>
      </c>
      <c r="AJ111" s="114"/>
      <c r="AK111" s="114"/>
      <c r="AL111" s="114">
        <f>AL112+AL122+AL132+AL142</f>
        <v>15894.12</v>
      </c>
      <c r="AM111" s="114"/>
      <c r="AN111" s="114"/>
      <c r="AO111" s="114">
        <f>AO112+AO122+AO132+AO142</f>
        <v>15894.12</v>
      </c>
      <c r="AP111" s="114"/>
      <c r="AQ111" s="114"/>
      <c r="AR111" s="114">
        <f>AR112+AR122+AR132+AR142</f>
        <v>15894.12</v>
      </c>
      <c r="AS111" s="114"/>
      <c r="AT111" s="114"/>
      <c r="AU111" s="114">
        <f>AU112+AU122+AU132+AU142</f>
        <v>15894.12</v>
      </c>
      <c r="AV111" s="114"/>
      <c r="AW111" s="114"/>
      <c r="AX111" s="114">
        <f>AX112+AX122+AX132+AX142</f>
        <v>15894.12</v>
      </c>
      <c r="AY111" s="114"/>
      <c r="AZ111" s="114"/>
      <c r="BA111" s="114">
        <f>BA112+BA122+BA132+BA142</f>
        <v>15894.12</v>
      </c>
      <c r="BB111" s="114"/>
      <c r="BC111" s="114"/>
      <c r="BD111" s="114">
        <f>BD112+BD122+BD132+BD142</f>
        <v>15894.12</v>
      </c>
      <c r="BE111" s="114"/>
      <c r="BF111" s="114"/>
      <c r="BG111" s="114">
        <f>BG112+BG122+BG132+BG142</f>
        <v>15894.12</v>
      </c>
      <c r="BH111" s="114"/>
      <c r="BI111" s="114"/>
      <c r="BJ111" s="114">
        <f>BJ112+BJ122+BJ132+BJ142</f>
        <v>15894.12</v>
      </c>
      <c r="BK111" s="114"/>
      <c r="BL111" s="304"/>
      <c r="BM111" s="310"/>
      <c r="BN111" s="312"/>
    </row>
    <row r="112" s="117" customFormat="1" ht="33.95" customHeight="1" outlineLevel="4" spans="2:66">
      <c r="B112" s="118" t="s">
        <v>794</v>
      </c>
      <c r="C112" s="119" t="s">
        <v>118</v>
      </c>
      <c r="D112" s="117" t="s">
        <v>109</v>
      </c>
      <c r="E112" s="118"/>
      <c r="F112" s="118"/>
      <c r="G112" s="118"/>
      <c r="H112" s="118">
        <f>SUM(H113:H121)</f>
        <v>193366.6</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193366.6</v>
      </c>
      <c r="AC112" s="118">
        <f t="shared" si="186"/>
        <v>18531.28</v>
      </c>
      <c r="AD112" s="118"/>
      <c r="AE112" s="118"/>
      <c r="AF112" s="118">
        <f t="shared" si="186"/>
        <v>15894.12</v>
      </c>
      <c r="AG112" s="118"/>
      <c r="AH112" s="118"/>
      <c r="AI112" s="118">
        <f>SUM(AI113:AI121)</f>
        <v>15894.12</v>
      </c>
      <c r="AJ112" s="118"/>
      <c r="AK112" s="118"/>
      <c r="AL112" s="118">
        <f>SUM(AL113:AL121)</f>
        <v>15894.12</v>
      </c>
      <c r="AM112" s="118"/>
      <c r="AN112" s="118"/>
      <c r="AO112" s="118">
        <f>SUM(AO113:AO121)</f>
        <v>15894.12</v>
      </c>
      <c r="AP112" s="118"/>
      <c r="AQ112" s="118"/>
      <c r="AR112" s="118">
        <f>SUM(AR113:AR121)</f>
        <v>15894.12</v>
      </c>
      <c r="AS112" s="118"/>
      <c r="AT112" s="118"/>
      <c r="AU112" s="118">
        <f>SUM(AU113:AU121)</f>
        <v>15894.12</v>
      </c>
      <c r="AV112" s="118"/>
      <c r="AW112" s="118"/>
      <c r="AX112" s="118">
        <f>SUM(AX113:AX121)</f>
        <v>15894.12</v>
      </c>
      <c r="AY112" s="118"/>
      <c r="AZ112" s="118"/>
      <c r="BA112" s="118">
        <f>SUM(BA113:BA121)</f>
        <v>15894.12</v>
      </c>
      <c r="BB112" s="118"/>
      <c r="BC112" s="118"/>
      <c r="BD112" s="118">
        <f>SUM(BD113:BD121)</f>
        <v>15894.12</v>
      </c>
      <c r="BE112" s="118"/>
      <c r="BF112" s="118"/>
      <c r="BG112" s="118">
        <f>SUM(BG113:BG121)</f>
        <v>15894.12</v>
      </c>
      <c r="BH112" s="118"/>
      <c r="BI112" s="118"/>
      <c r="BJ112" s="118">
        <f>SUM(BJ113:BJ121)</f>
        <v>15894.12</v>
      </c>
      <c r="BK112" s="118"/>
      <c r="BL112" s="305"/>
      <c r="BM112" s="310"/>
      <c r="BN112" s="313"/>
    </row>
    <row r="113" s="262" customFormat="1" ht="33.95" customHeight="1" outlineLevel="5" spans="2:66">
      <c r="B113" s="174" t="s">
        <v>799</v>
      </c>
      <c r="C113" s="282" t="s">
        <v>985</v>
      </c>
      <c r="D113" s="262" t="s">
        <v>986</v>
      </c>
      <c r="E113" s="174" t="s">
        <v>987</v>
      </c>
      <c r="F113" s="174"/>
      <c r="G113" s="174" t="s">
        <v>803</v>
      </c>
      <c r="H113" s="174">
        <f t="shared" ref="H113:H121" si="187">AB113</f>
        <v>193366.6</v>
      </c>
      <c r="I113" s="174" t="s">
        <v>804</v>
      </c>
      <c r="J113" s="174">
        <f t="shared" ref="J113:J121" si="188">SUM(AD113,AG113,AJ113,AM113,AP113,AS113,AV113,AY113,BB113,BE113,BH113,BK113)/N113</f>
        <v>2</v>
      </c>
      <c r="K113" s="174" t="s">
        <v>805</v>
      </c>
      <c r="L113" s="174">
        <f t="shared" ref="L113:L121" si="189">H113/N113/J113</f>
        <v>8056.94166666667</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193366.6</v>
      </c>
      <c r="AC113" s="174">
        <f t="shared" ref="AC113:AC121" si="192">AD113*AE113</f>
        <v>18531.28</v>
      </c>
      <c r="AD113" s="174">
        <f>SUMIFS('1-2 人员岗位信息'!F:F,'1-2 人员岗位信息'!$C:$C,"自有人员",'1-2 人员岗位信息'!$B:$B,$D113)</f>
        <v>2</v>
      </c>
      <c r="AE113" s="297">
        <f>IFERROR(自有人工预算!E25/AD113,0)</f>
        <v>9265.64</v>
      </c>
      <c r="AF113" s="174">
        <f t="shared" ref="AF113:AF121" si="193">AG113*AH113</f>
        <v>15894.12</v>
      </c>
      <c r="AG113" s="174">
        <f>SUMIFS('1-2 人员岗位信息'!G:G,'1-2 人员岗位信息'!$C:$C,"自有人员",'1-2 人员岗位信息'!$B:$B,$D113)</f>
        <v>2</v>
      </c>
      <c r="AH113" s="297">
        <f>IFERROR(自有人工预算!F25/AG113,0)</f>
        <v>7947.06</v>
      </c>
      <c r="AI113" s="174">
        <f t="shared" ref="AI113:AI121" si="194">AJ113*AK113</f>
        <v>15894.12</v>
      </c>
      <c r="AJ113" s="174">
        <f>SUMIFS('1-2 人员岗位信息'!H:H,'1-2 人员岗位信息'!$C:$C,"自有人员",'1-2 人员岗位信息'!$B:$B,$D113)</f>
        <v>2</v>
      </c>
      <c r="AK113" s="297">
        <f>IFERROR(自有人工预算!G25/AJ113,0)</f>
        <v>7947.06</v>
      </c>
      <c r="AL113" s="174">
        <f t="shared" ref="AL113:AL121" si="195">AM113*AN113</f>
        <v>15894.12</v>
      </c>
      <c r="AM113" s="174">
        <f>SUMIFS('1-2 人员岗位信息'!I:I,'1-2 人员岗位信息'!$C:$C,"自有人员",'1-2 人员岗位信息'!$B:$B,$D113)</f>
        <v>2</v>
      </c>
      <c r="AN113" s="297">
        <f>IFERROR(自有人工预算!H25/AM113,0)</f>
        <v>7947.06</v>
      </c>
      <c r="AO113" s="174">
        <f t="shared" ref="AO113:AO121" si="196">AP113*AQ113</f>
        <v>15894.12</v>
      </c>
      <c r="AP113" s="174">
        <f>SUMIFS('1-2 人员岗位信息'!J:J,'1-2 人员岗位信息'!$C:$C,"自有人员",'1-2 人员岗位信息'!$B:$B,$D113)</f>
        <v>2</v>
      </c>
      <c r="AQ113" s="297">
        <f>IFERROR(自有人工预算!I25/AP113,0)</f>
        <v>7947.06</v>
      </c>
      <c r="AR113" s="174">
        <f t="shared" ref="AR113:AR121" si="197">AS113*AT113</f>
        <v>15894.12</v>
      </c>
      <c r="AS113" s="174">
        <f>SUMIFS('1-2 人员岗位信息'!K:K,'1-2 人员岗位信息'!$C:$C,"自有人员",'1-2 人员岗位信息'!$B:$B,$D113)</f>
        <v>2</v>
      </c>
      <c r="AT113" s="297">
        <f>IFERROR(自有人工预算!J25/AS113,0)</f>
        <v>7947.06</v>
      </c>
      <c r="AU113" s="174">
        <f t="shared" ref="AU113:AU121" si="198">AV113*AW113</f>
        <v>15894.12</v>
      </c>
      <c r="AV113" s="174">
        <f>SUMIFS('1-2 人员岗位信息'!L:L,'1-2 人员岗位信息'!$C:$C,"自有人员",'1-2 人员岗位信息'!$B:$B,$D113)</f>
        <v>2</v>
      </c>
      <c r="AW113" s="297">
        <f>IFERROR(自有人工预算!K25/AV113,0)</f>
        <v>7947.06</v>
      </c>
      <c r="AX113" s="174">
        <f t="shared" ref="AX113:AX121" si="199">AY113*AZ113</f>
        <v>15894.12</v>
      </c>
      <c r="AY113" s="174">
        <f>SUMIFS('1-2 人员岗位信息'!M:M,'1-2 人员岗位信息'!$C:$C,"自有人员",'1-2 人员岗位信息'!$B:$B,$D113)</f>
        <v>2</v>
      </c>
      <c r="AZ113" s="297">
        <f>IFERROR(自有人工预算!L25/AY113,0)</f>
        <v>7947.06</v>
      </c>
      <c r="BA113" s="174">
        <f t="shared" ref="BA113:BA121" si="200">BB113*BC113</f>
        <v>15894.12</v>
      </c>
      <c r="BB113" s="174">
        <f>SUMIFS('1-2 人员岗位信息'!N:N,'1-2 人员岗位信息'!$C:$C,"自有人员",'1-2 人员岗位信息'!$B:$B,$D113)</f>
        <v>2</v>
      </c>
      <c r="BC113" s="297">
        <f>IFERROR(自有人工预算!M25/BB113,0)</f>
        <v>7947.06</v>
      </c>
      <c r="BD113" s="174">
        <f t="shared" ref="BD113:BD121" si="201">BE113*BF113</f>
        <v>15894.12</v>
      </c>
      <c r="BE113" s="174">
        <f>SUMIFS('1-2 人员岗位信息'!O:O,'1-2 人员岗位信息'!$C:$C,"自有人员",'1-2 人员岗位信息'!$B:$B,$D113)</f>
        <v>2</v>
      </c>
      <c r="BF113" s="297">
        <f>IFERROR(自有人工预算!N25/BE113,0)</f>
        <v>7947.06</v>
      </c>
      <c r="BG113" s="174">
        <f t="shared" ref="BG113:BG121" si="202">BH113*BI113</f>
        <v>15894.12</v>
      </c>
      <c r="BH113" s="174">
        <f>SUMIFS('1-2 人员岗位信息'!P:P,'1-2 人员岗位信息'!$C:$C,"自有人员",'1-2 人员岗位信息'!$B:$B,$D113)</f>
        <v>2</v>
      </c>
      <c r="BI113" s="297">
        <f>IFERROR(自有人工预算!O25/BH113,0)</f>
        <v>7947.06</v>
      </c>
      <c r="BJ113" s="174">
        <f t="shared" ref="BJ113:BJ121" si="203">BK113*BL113</f>
        <v>15894.12</v>
      </c>
      <c r="BK113" s="174">
        <f>SUMIFS('1-2 人员岗位信息'!Q:Q,'1-2 人员岗位信息'!$C:$C,"自有人员",'1-2 人员岗位信息'!$B:$B,$D113)</f>
        <v>2</v>
      </c>
      <c r="BL113" s="297">
        <f>IFERROR(自有人工预算!P25/BK113,0)</f>
        <v>7947.06</v>
      </c>
      <c r="BM113" s="310"/>
      <c r="BN113" s="314"/>
    </row>
    <row r="114" s="262" customFormat="1" ht="33.95" hidden="1" customHeight="1" outlineLevel="5" spans="2:66">
      <c r="B114" s="174" t="s">
        <v>799</v>
      </c>
      <c r="C114" s="282" t="s">
        <v>988</v>
      </c>
      <c r="D114" s="262"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799</v>
      </c>
      <c r="C115" s="282" t="s">
        <v>991</v>
      </c>
      <c r="D115" s="262"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799</v>
      </c>
      <c r="C116" s="282" t="s">
        <v>994</v>
      </c>
      <c r="D116" s="262"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799</v>
      </c>
      <c r="C117" s="282" t="s">
        <v>997</v>
      </c>
      <c r="D117" s="262"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799</v>
      </c>
      <c r="C118" s="282" t="s">
        <v>999</v>
      </c>
      <c r="D118" s="262"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799</v>
      </c>
      <c r="C119" s="282" t="s">
        <v>1001</v>
      </c>
      <c r="D119" s="262"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799</v>
      </c>
      <c r="C120" s="282" t="s">
        <v>1003</v>
      </c>
      <c r="D120" s="262"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799</v>
      </c>
      <c r="C121" s="282" t="s">
        <v>1006</v>
      </c>
      <c r="D121" s="262"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799</v>
      </c>
      <c r="C123" s="282" t="s">
        <v>1008</v>
      </c>
      <c r="D123" s="262"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799</v>
      </c>
      <c r="C124" s="282" t="s">
        <v>1010</v>
      </c>
      <c r="D124" s="262"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799</v>
      </c>
      <c r="C125" s="282" t="s">
        <v>1012</v>
      </c>
      <c r="D125" s="262"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799</v>
      </c>
      <c r="C126" s="282" t="s">
        <v>1013</v>
      </c>
      <c r="D126" s="262"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799</v>
      </c>
      <c r="C127" s="282" t="s">
        <v>1014</v>
      </c>
      <c r="D127" s="262"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799</v>
      </c>
      <c r="C128" s="282" t="s">
        <v>1015</v>
      </c>
      <c r="D128" s="262"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799</v>
      </c>
      <c r="C129" s="282" t="s">
        <v>1016</v>
      </c>
      <c r="D129" s="262"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799</v>
      </c>
      <c r="C130" s="282" t="s">
        <v>1017</v>
      </c>
      <c r="D130" s="262"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799</v>
      </c>
      <c r="C131" s="282" t="s">
        <v>1018</v>
      </c>
      <c r="D131" s="262"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799</v>
      </c>
      <c r="C133" s="282" t="s">
        <v>1020</v>
      </c>
      <c r="D133" s="262"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799</v>
      </c>
      <c r="C134" s="282" t="s">
        <v>1022</v>
      </c>
      <c r="D134" s="262"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799</v>
      </c>
      <c r="C135" s="282" t="s">
        <v>1024</v>
      </c>
      <c r="D135" s="262"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799</v>
      </c>
      <c r="C136" s="282" t="s">
        <v>1025</v>
      </c>
      <c r="D136" s="262"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799</v>
      </c>
      <c r="C137" s="282" t="s">
        <v>1026</v>
      </c>
      <c r="D137" s="262"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799</v>
      </c>
      <c r="C138" s="282" t="s">
        <v>1027</v>
      </c>
      <c r="D138" s="262"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799</v>
      </c>
      <c r="C139" s="282" t="s">
        <v>1028</v>
      </c>
      <c r="D139" s="262"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799</v>
      </c>
      <c r="C140" s="282" t="s">
        <v>1029</v>
      </c>
      <c r="D140" s="262"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799</v>
      </c>
      <c r="C141" s="282" t="s">
        <v>1030</v>
      </c>
      <c r="D141" s="262"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13557.22</v>
      </c>
      <c r="K142" s="118" t="s">
        <v>1033</v>
      </c>
      <c r="L142" s="118">
        <f t="shared" si="225"/>
        <v>0</v>
      </c>
      <c r="M142" s="118" t="s">
        <v>806</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13557.22</v>
      </c>
      <c r="AE142" s="297"/>
      <c r="AF142" s="118">
        <f t="shared" si="229"/>
        <v>0</v>
      </c>
      <c r="AG142" s="118">
        <f>VLOOKUP($I142,'1-1 项目基础信息'!$F:$S,4,FALSE)</f>
        <v>13557.22</v>
      </c>
      <c r="AH142" s="297"/>
      <c r="AI142" s="118">
        <f t="shared" si="230"/>
        <v>0</v>
      </c>
      <c r="AJ142" s="118">
        <f>VLOOKUP($I142,'1-1 项目基础信息'!$F:$S,5,FALSE)</f>
        <v>13557.22</v>
      </c>
      <c r="AK142" s="297"/>
      <c r="AL142" s="118">
        <f t="shared" si="231"/>
        <v>0</v>
      </c>
      <c r="AM142" s="118">
        <f>VLOOKUP($I142,'1-1 项目基础信息'!$F:$S,6,FALSE)</f>
        <v>13557.22</v>
      </c>
      <c r="AN142" s="297"/>
      <c r="AO142" s="118">
        <f t="shared" si="232"/>
        <v>0</v>
      </c>
      <c r="AP142" s="118">
        <f>VLOOKUP($I142,'1-1 项目基础信息'!$F:$S,7,FALSE)</f>
        <v>13557.22</v>
      </c>
      <c r="AQ142" s="297"/>
      <c r="AR142" s="118">
        <f t="shared" si="233"/>
        <v>0</v>
      </c>
      <c r="AS142" s="118">
        <f>VLOOKUP($I142,'1-1 项目基础信息'!$F:$S,8,FALSE)</f>
        <v>13557.22</v>
      </c>
      <c r="AT142" s="297"/>
      <c r="AU142" s="118">
        <f t="shared" si="234"/>
        <v>0</v>
      </c>
      <c r="AV142" s="118">
        <f>VLOOKUP($I142,'1-1 项目基础信息'!$F:$S,9,FALSE)</f>
        <v>13557.22</v>
      </c>
      <c r="AW142" s="297"/>
      <c r="AX142" s="118">
        <f t="shared" si="235"/>
        <v>0</v>
      </c>
      <c r="AY142" s="118">
        <f>VLOOKUP($I142,'1-1 项目基础信息'!$F:$S,10,FALSE)</f>
        <v>13557.22</v>
      </c>
      <c r="AZ142" s="297"/>
      <c r="BA142" s="118">
        <f t="shared" si="236"/>
        <v>0</v>
      </c>
      <c r="BB142" s="118">
        <f>VLOOKUP($I142,'1-1 项目基础信息'!$F:$S,11,FALSE)</f>
        <v>13557.22</v>
      </c>
      <c r="BC142" s="297"/>
      <c r="BD142" s="118">
        <f t="shared" si="237"/>
        <v>0</v>
      </c>
      <c r="BE142" s="118">
        <f>VLOOKUP($I142,'1-1 项目基础信息'!$F:$S,12,FALSE)</f>
        <v>13557.22</v>
      </c>
      <c r="BF142" s="297"/>
      <c r="BG142" s="118">
        <f t="shared" si="238"/>
        <v>0</v>
      </c>
      <c r="BH142" s="118">
        <f>VLOOKUP($I142,'1-1 项目基础信息'!$F:$S,13,FALSE)</f>
        <v>13557.22</v>
      </c>
      <c r="BI142" s="297"/>
      <c r="BJ142" s="118">
        <f t="shared" si="239"/>
        <v>0</v>
      </c>
      <c r="BK142" s="118">
        <f>VLOOKUP($I142,'1-1 项目基础信息'!$F:$S,14,FALSE)</f>
        <v>13557.22</v>
      </c>
      <c r="BL142" s="306"/>
      <c r="BM142" s="310"/>
      <c r="BN142" s="313"/>
    </row>
    <row r="143" s="48" customFormat="1" ht="33.95" hidden="1" customHeight="1" outlineLevel="3" collapsed="1" spans="2:66">
      <c r="B143" s="114" t="s">
        <v>794</v>
      </c>
      <c r="C143" s="115" t="s">
        <v>1034</v>
      </c>
      <c r="D143" s="48" t="s">
        <v>1035</v>
      </c>
      <c r="E143" s="114"/>
      <c r="F143" s="114"/>
      <c r="G143" s="114"/>
      <c r="H143" s="114">
        <f>H144+H149+H154</f>
        <v>0</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0</v>
      </c>
      <c r="AC143" s="114">
        <f t="shared" si="241"/>
        <v>0</v>
      </c>
      <c r="AD143" s="114"/>
      <c r="AE143" s="114"/>
      <c r="AF143" s="114">
        <f t="shared" si="241"/>
        <v>0</v>
      </c>
      <c r="AG143" s="114"/>
      <c r="AH143" s="114"/>
      <c r="AI143" s="114">
        <f>AI144+AI149+AI154</f>
        <v>0</v>
      </c>
      <c r="AJ143" s="114"/>
      <c r="AK143" s="114"/>
      <c r="AL143" s="114">
        <f>AL144+AL149+AL154</f>
        <v>0</v>
      </c>
      <c r="AM143" s="114"/>
      <c r="AN143" s="114"/>
      <c r="AO143" s="114">
        <f>AO144+AO149+AO154</f>
        <v>0</v>
      </c>
      <c r="AP143" s="114"/>
      <c r="AQ143" s="114"/>
      <c r="AR143" s="114">
        <f>AR144+AR149+AR154</f>
        <v>0</v>
      </c>
      <c r="AS143" s="114"/>
      <c r="AT143" s="114"/>
      <c r="AU143" s="114">
        <f>AU144+AU149+AU154</f>
        <v>0</v>
      </c>
      <c r="AV143" s="114"/>
      <c r="AW143" s="114"/>
      <c r="AX143" s="114">
        <f>AX144+AX149+AX154</f>
        <v>0</v>
      </c>
      <c r="AY143" s="114"/>
      <c r="AZ143" s="114"/>
      <c r="BA143" s="114">
        <f>BA144+BA149+BA154</f>
        <v>0</v>
      </c>
      <c r="BB143" s="114"/>
      <c r="BC143" s="114"/>
      <c r="BD143" s="114">
        <f>BD144+BD149+BD154</f>
        <v>0</v>
      </c>
      <c r="BE143" s="114"/>
      <c r="BF143" s="114"/>
      <c r="BG143" s="114">
        <f>BG144+BG149+BG154</f>
        <v>0</v>
      </c>
      <c r="BH143" s="114"/>
      <c r="BI143" s="114"/>
      <c r="BJ143" s="114">
        <f>BJ144+BJ149+BJ154</f>
        <v>0</v>
      </c>
      <c r="BK143" s="114"/>
      <c r="BL143" s="304"/>
      <c r="BM143" s="310"/>
      <c r="BN143" s="312"/>
    </row>
    <row r="144" s="117" customFormat="1" ht="33.95" hidden="1" customHeight="1" outlineLevel="4" collapsed="1" spans="2:66">
      <c r="B144" s="118" t="s">
        <v>794</v>
      </c>
      <c r="C144" s="119" t="s">
        <v>121</v>
      </c>
      <c r="D144" s="117" t="s">
        <v>109</v>
      </c>
      <c r="E144" s="118"/>
      <c r="F144" s="118"/>
      <c r="G144" s="118"/>
      <c r="H144" s="118">
        <f>SUM(H145:H148)</f>
        <v>0</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0</v>
      </c>
      <c r="AC144" s="118">
        <f t="shared" si="242"/>
        <v>0</v>
      </c>
      <c r="AD144" s="118"/>
      <c r="AE144" s="118"/>
      <c r="AF144" s="118">
        <f t="shared" si="242"/>
        <v>0</v>
      </c>
      <c r="AG144" s="118"/>
      <c r="AH144" s="118"/>
      <c r="AI144" s="118">
        <f>SUM(AI145:AI148)</f>
        <v>0</v>
      </c>
      <c r="AJ144" s="118"/>
      <c r="AK144" s="118"/>
      <c r="AL144" s="118">
        <f>SUM(AL145:AL148)</f>
        <v>0</v>
      </c>
      <c r="AM144" s="118"/>
      <c r="AN144" s="118"/>
      <c r="AO144" s="118">
        <f>SUM(AO145:AO148)</f>
        <v>0</v>
      </c>
      <c r="AP144" s="118"/>
      <c r="AQ144" s="118"/>
      <c r="AR144" s="118">
        <f>SUM(AR145:AR148)</f>
        <v>0</v>
      </c>
      <c r="AS144" s="118"/>
      <c r="AT144" s="118"/>
      <c r="AU144" s="118">
        <f>SUM(AU145:AU148)</f>
        <v>0</v>
      </c>
      <c r="AV144" s="118"/>
      <c r="AW144" s="118"/>
      <c r="AX144" s="118">
        <f>SUM(AX145:AX148)</f>
        <v>0</v>
      </c>
      <c r="AY144" s="118"/>
      <c r="AZ144" s="118"/>
      <c r="BA144" s="118">
        <f>SUM(BA145:BA148)</f>
        <v>0</v>
      </c>
      <c r="BB144" s="118"/>
      <c r="BC144" s="118"/>
      <c r="BD144" s="118">
        <f>SUM(BD145:BD148)</f>
        <v>0</v>
      </c>
      <c r="BE144" s="118"/>
      <c r="BF144" s="118"/>
      <c r="BG144" s="118">
        <f>SUM(BG145:BG148)</f>
        <v>0</v>
      </c>
      <c r="BH144" s="118"/>
      <c r="BI144" s="118"/>
      <c r="BJ144" s="118">
        <f>SUM(BJ145:BJ148)</f>
        <v>0</v>
      </c>
      <c r="BK144" s="118"/>
      <c r="BL144" s="305"/>
      <c r="BM144" s="310"/>
      <c r="BN144" s="313"/>
    </row>
    <row r="145" s="262" customFormat="1" ht="33.95" hidden="1" customHeight="1" outlineLevel="5" spans="2:66">
      <c r="B145" s="174" t="s">
        <v>799</v>
      </c>
      <c r="C145" s="282" t="s">
        <v>1036</v>
      </c>
      <c r="D145" s="262" t="s">
        <v>1037</v>
      </c>
      <c r="E145" s="174" t="s">
        <v>1038</v>
      </c>
      <c r="F145" s="174"/>
      <c r="G145" s="174" t="s">
        <v>803</v>
      </c>
      <c r="H145" s="174">
        <f t="shared" ref="H145:H148" si="243">AB145</f>
        <v>0</v>
      </c>
      <c r="I145" s="174" t="s">
        <v>804</v>
      </c>
      <c r="J145" s="174" t="e">
        <f t="shared" ref="J145:J148" si="244">SUM(AD145,AG145,AJ145,AM145,AP145,AS145,AV145,AY145,BB145,BE145,BH145,BK145)/N145</f>
        <v>#DIV/0!</v>
      </c>
      <c r="K145" s="174" t="s">
        <v>805</v>
      </c>
      <c r="L145" s="174" t="e">
        <f t="shared" ref="L145:L148" si="245">H145/N145/J145</f>
        <v>#DIV/0!</v>
      </c>
      <c r="M145" s="174" t="s">
        <v>806</v>
      </c>
      <c r="N145" s="174">
        <f t="shared" ref="N145:N148" si="246">COUNTIF(AD145,"&gt;0")+COUNTIF(AG145,"&gt;0")+COUNTIF(AJ145,"&gt;0")+COUNTIF(AM145,"&gt;0")+COUNTIF(AP145,"&gt;0")+COUNTIF(AS145,"&gt;0")+COUNTIF(AV145,"&gt;0")+COUNTIF(AY145,"&gt;0")+COUNTIF(BB145,"&gt;0")+COUNTIF(BE145,"&gt;0")+COUNTIF(BH145,"&gt;0")+COUNTIF(BK145,"&gt;0")</f>
        <v>0</v>
      </c>
      <c r="O145" s="174"/>
      <c r="P145" s="289"/>
      <c r="Q145" s="289"/>
      <c r="R145" s="289"/>
      <c r="S145" s="289"/>
      <c r="T145" s="289"/>
      <c r="U145" s="289"/>
      <c r="V145" s="289"/>
      <c r="W145" s="289"/>
      <c r="X145" s="289"/>
      <c r="Y145" s="289"/>
      <c r="Z145" s="289"/>
      <c r="AA145" s="289"/>
      <c r="AB145" s="174">
        <f t="shared" si="240"/>
        <v>0</v>
      </c>
      <c r="AC145" s="174">
        <f t="shared" ref="AC145:AC148" si="247">AD145*AE145</f>
        <v>0</v>
      </c>
      <c r="AD145" s="174">
        <f>SUMIFS('1-2 人员岗位信息'!F:F,'1-2 人员岗位信息'!$C:$C,"自有人员",'1-2 人员岗位信息'!$B:$B,$D145)</f>
        <v>0</v>
      </c>
      <c r="AE145" s="297">
        <f>IFERROR(自有人工预算!E24/AD145,0)</f>
        <v>0</v>
      </c>
      <c r="AF145" s="174">
        <f t="shared" ref="AF145:AF148" si="248">AG145*AH145</f>
        <v>0</v>
      </c>
      <c r="AG145" s="174">
        <f>SUMIFS('1-2 人员岗位信息'!G:G,'1-2 人员岗位信息'!$C:$C,"自有人员",'1-2 人员岗位信息'!$B:$B,$D145)</f>
        <v>0</v>
      </c>
      <c r="AH145" s="297">
        <f>IFERROR(自有人工预算!F24/AG145,0)</f>
        <v>0</v>
      </c>
      <c r="AI145" s="174">
        <f t="shared" ref="AI145:AI148" si="249">AJ145*AK145</f>
        <v>0</v>
      </c>
      <c r="AJ145" s="174">
        <f>SUMIFS('1-2 人员岗位信息'!H:H,'1-2 人员岗位信息'!$C:$C,"自有人员",'1-2 人员岗位信息'!$B:$B,$D145)</f>
        <v>0</v>
      </c>
      <c r="AK145" s="297">
        <f>IFERROR(自有人工预算!G24/AJ145,0)</f>
        <v>0</v>
      </c>
      <c r="AL145" s="174">
        <f t="shared" ref="AL145:AL148" si="250">AM145*AN145</f>
        <v>0</v>
      </c>
      <c r="AM145" s="174">
        <f>SUMIFS('1-2 人员岗位信息'!I:I,'1-2 人员岗位信息'!$C:$C,"自有人员",'1-2 人员岗位信息'!$B:$B,$D145)</f>
        <v>0</v>
      </c>
      <c r="AN145" s="297">
        <f>IFERROR(自有人工预算!H24/AM145,0)</f>
        <v>0</v>
      </c>
      <c r="AO145" s="174">
        <f t="shared" ref="AO145:AO148" si="251">AP145*AQ145</f>
        <v>0</v>
      </c>
      <c r="AP145" s="174">
        <f>SUMIFS('1-2 人员岗位信息'!J:J,'1-2 人员岗位信息'!$C:$C,"自有人员",'1-2 人员岗位信息'!$B:$B,$D145)</f>
        <v>0</v>
      </c>
      <c r="AQ145" s="297">
        <f>IFERROR(自有人工预算!I24/AP145,0)</f>
        <v>0</v>
      </c>
      <c r="AR145" s="174">
        <f t="shared" ref="AR145:AR148" si="252">AS145*AT145</f>
        <v>0</v>
      </c>
      <c r="AS145" s="174">
        <f>SUMIFS('1-2 人员岗位信息'!K:K,'1-2 人员岗位信息'!$C:$C,"自有人员",'1-2 人员岗位信息'!$B:$B,$D145)</f>
        <v>0</v>
      </c>
      <c r="AT145" s="297">
        <f>IFERROR(自有人工预算!J24/AS145,0)</f>
        <v>0</v>
      </c>
      <c r="AU145" s="174">
        <f t="shared" ref="AU145:AU148" si="253">AV145*AW145</f>
        <v>0</v>
      </c>
      <c r="AV145" s="174">
        <f>SUMIFS('1-2 人员岗位信息'!L:L,'1-2 人员岗位信息'!$C:$C,"自有人员",'1-2 人员岗位信息'!$B:$B,$D145)</f>
        <v>0</v>
      </c>
      <c r="AW145" s="297">
        <f>IFERROR(自有人工预算!K24/AV145,0)</f>
        <v>0</v>
      </c>
      <c r="AX145" s="174">
        <f t="shared" ref="AX145:AX148" si="254">AY145*AZ145</f>
        <v>0</v>
      </c>
      <c r="AY145" s="174">
        <f>SUMIFS('1-2 人员岗位信息'!M:M,'1-2 人员岗位信息'!$C:$C,"自有人员",'1-2 人员岗位信息'!$B:$B,$D145)</f>
        <v>0</v>
      </c>
      <c r="AZ145" s="297">
        <f>IFERROR(自有人工预算!L24/AY145,0)</f>
        <v>0</v>
      </c>
      <c r="BA145" s="174">
        <f t="shared" ref="BA145:BA148" si="255">BB145*BC145</f>
        <v>0</v>
      </c>
      <c r="BB145" s="174">
        <f>SUMIFS('1-2 人员岗位信息'!N:N,'1-2 人员岗位信息'!$C:$C,"自有人员",'1-2 人员岗位信息'!$B:$B,$D145)</f>
        <v>0</v>
      </c>
      <c r="BC145" s="297">
        <f>IFERROR(自有人工预算!M24/BB145,0)</f>
        <v>0</v>
      </c>
      <c r="BD145" s="174">
        <f t="shared" ref="BD145:BD148" si="256">BE145*BF145</f>
        <v>0</v>
      </c>
      <c r="BE145" s="174">
        <f>SUMIFS('1-2 人员岗位信息'!O:O,'1-2 人员岗位信息'!$C:$C,"自有人员",'1-2 人员岗位信息'!$B:$B,$D145)</f>
        <v>0</v>
      </c>
      <c r="BF145" s="297">
        <f>IFERROR(自有人工预算!N24/BE145,0)</f>
        <v>0</v>
      </c>
      <c r="BG145" s="174">
        <f t="shared" ref="BG145:BG148" si="257">BH145*BI145</f>
        <v>0</v>
      </c>
      <c r="BH145" s="174">
        <f>SUMIFS('1-2 人员岗位信息'!P:P,'1-2 人员岗位信息'!$C:$C,"自有人员",'1-2 人员岗位信息'!$B:$B,$D145)</f>
        <v>0</v>
      </c>
      <c r="BI145" s="297">
        <f>IFERROR(自有人工预算!O24/BH145,0)</f>
        <v>0</v>
      </c>
      <c r="BJ145" s="174">
        <f t="shared" ref="BJ145:BJ148" si="258">BK145*BL145</f>
        <v>0</v>
      </c>
      <c r="BK145" s="174">
        <f>SUMIFS('1-2 人员岗位信息'!Q:Q,'1-2 人员岗位信息'!$C:$C,"自有人员",'1-2 人员岗位信息'!$B:$B,$D145)</f>
        <v>0</v>
      </c>
      <c r="BL145" s="297">
        <f>IFERROR(自有人工预算!P24/BK145,0)</f>
        <v>0</v>
      </c>
      <c r="BM145" s="310"/>
      <c r="BN145" s="314"/>
    </row>
    <row r="146" s="262" customFormat="1" ht="33.95" hidden="1" customHeight="1" outlineLevel="5" spans="2:66">
      <c r="B146" s="174" t="s">
        <v>799</v>
      </c>
      <c r="C146" s="282" t="s">
        <v>1039</v>
      </c>
      <c r="D146" s="262"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799</v>
      </c>
      <c r="C147" s="282" t="s">
        <v>1042</v>
      </c>
      <c r="D147" s="262"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799</v>
      </c>
      <c r="C148" s="282" t="s">
        <v>1045</v>
      </c>
      <c r="D148" s="262"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799</v>
      </c>
      <c r="C150" s="282" t="s">
        <v>1048</v>
      </c>
      <c r="D150" s="262"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799</v>
      </c>
      <c r="C151" s="282" t="s">
        <v>1050</v>
      </c>
      <c r="D151" s="262"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799</v>
      </c>
      <c r="C152" s="282" t="s">
        <v>1052</v>
      </c>
      <c r="D152" s="262"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799</v>
      </c>
      <c r="C153" s="282" t="s">
        <v>1054</v>
      </c>
      <c r="D153" s="262"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799</v>
      </c>
      <c r="C155" s="282" t="s">
        <v>1057</v>
      </c>
      <c r="D155" s="262"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799</v>
      </c>
      <c r="C156" s="282" t="s">
        <v>1060</v>
      </c>
      <c r="D156" s="262"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799</v>
      </c>
      <c r="C157" s="282" t="s">
        <v>1062</v>
      </c>
      <c r="D157" s="262"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799</v>
      </c>
      <c r="C158" s="282" t="s">
        <v>1064</v>
      </c>
      <c r="D158" s="262"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8" customFormat="1" ht="33.95" customHeight="1" outlineLevel="3" spans="2:66">
      <c r="B159" s="114" t="s">
        <v>794</v>
      </c>
      <c r="C159" s="115" t="s">
        <v>1066</v>
      </c>
      <c r="D159" s="48" t="s">
        <v>1067</v>
      </c>
      <c r="E159" s="114"/>
      <c r="F159" s="114"/>
      <c r="G159" s="114"/>
      <c r="H159" s="114">
        <f>H160+H165+H170+H175</f>
        <v>53207.5471698113</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53207.5471698113</v>
      </c>
      <c r="AC159" s="114">
        <f t="shared" si="295"/>
        <v>4433.96226415094</v>
      </c>
      <c r="AD159" s="114"/>
      <c r="AE159" s="114"/>
      <c r="AF159" s="114">
        <f t="shared" si="295"/>
        <v>4433.96226415094</v>
      </c>
      <c r="AG159" s="114"/>
      <c r="AH159" s="114"/>
      <c r="AI159" s="114">
        <f>AI160+AI165+AI170+AI175</f>
        <v>4433.96226415094</v>
      </c>
      <c r="AJ159" s="114"/>
      <c r="AK159" s="114"/>
      <c r="AL159" s="114">
        <f>AL160+AL165+AL170+AL175</f>
        <v>4433.96226415094</v>
      </c>
      <c r="AM159" s="114"/>
      <c r="AN159" s="114"/>
      <c r="AO159" s="114">
        <f>AO160+AO165+AO170+AO175</f>
        <v>4433.96226415094</v>
      </c>
      <c r="AP159" s="114"/>
      <c r="AQ159" s="114"/>
      <c r="AR159" s="114">
        <f>AR160+AR165+AR170+AR175</f>
        <v>4433.96226415094</v>
      </c>
      <c r="AS159" s="114"/>
      <c r="AT159" s="114"/>
      <c r="AU159" s="114">
        <f>AU160+AU165+AU170+AU175</f>
        <v>4433.96226415094</v>
      </c>
      <c r="AV159" s="114"/>
      <c r="AW159" s="114"/>
      <c r="AX159" s="114">
        <f>AX160+AX165+AX170+AX175</f>
        <v>4433.96226415094</v>
      </c>
      <c r="AY159" s="114"/>
      <c r="AZ159" s="114"/>
      <c r="BA159" s="114">
        <f>BA160+BA165+BA170+BA175</f>
        <v>4433.96226415094</v>
      </c>
      <c r="BB159" s="114"/>
      <c r="BC159" s="114"/>
      <c r="BD159" s="114">
        <f>BD160+BD165+BD170+BD175</f>
        <v>4433.96226415094</v>
      </c>
      <c r="BE159" s="114"/>
      <c r="BF159" s="114"/>
      <c r="BG159" s="114">
        <f>BG160+BG165+BG170+BG175</f>
        <v>4433.96226415094</v>
      </c>
      <c r="BH159" s="114"/>
      <c r="BI159" s="114"/>
      <c r="BJ159" s="114">
        <f>BJ160+BJ165+BJ170+BJ175</f>
        <v>4433.96226415094</v>
      </c>
      <c r="BK159" s="114"/>
      <c r="BL159" s="304"/>
      <c r="BM159" s="310"/>
      <c r="BN159" s="312"/>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799</v>
      </c>
      <c r="C161" s="282" t="s">
        <v>1068</v>
      </c>
      <c r="D161" s="262"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c r="AF161" s="174">
        <f t="shared" ref="AF161:AF164" si="303">AG161*AH161</f>
        <v>0</v>
      </c>
      <c r="AG161" s="174">
        <f>SUMIFS('1-2 人员岗位信息'!G:G,'1-2 人员岗位信息'!$C:$C,"自有人员",'1-2 人员岗位信息'!$B:$B,$D161)</f>
        <v>0</v>
      </c>
      <c r="AH161" s="297"/>
      <c r="AI161" s="174">
        <f t="shared" ref="AI161:AI164" si="304">AJ161*AK161</f>
        <v>0</v>
      </c>
      <c r="AJ161" s="174">
        <f>SUMIFS('1-2 人员岗位信息'!H:H,'1-2 人员岗位信息'!$C:$C,"自有人员",'1-2 人员岗位信息'!$B:$B,$D161)</f>
        <v>0</v>
      </c>
      <c r="AK161" s="297"/>
      <c r="AL161" s="174">
        <f t="shared" ref="AL161:AL164" si="305">AM161*AN161</f>
        <v>0</v>
      </c>
      <c r="AM161" s="174">
        <f>SUMIFS('1-2 人员岗位信息'!I:I,'1-2 人员岗位信息'!$C:$C,"自有人员",'1-2 人员岗位信息'!$B:$B,$D161)</f>
        <v>0</v>
      </c>
      <c r="AN161" s="297"/>
      <c r="AO161" s="174">
        <f t="shared" ref="AO161:AO164" si="306">AP161*AQ161</f>
        <v>0</v>
      </c>
      <c r="AP161" s="174">
        <f>SUMIFS('1-2 人员岗位信息'!J:J,'1-2 人员岗位信息'!$C:$C,"自有人员",'1-2 人员岗位信息'!$B:$B,$D161)</f>
        <v>0</v>
      </c>
      <c r="AQ161" s="297"/>
      <c r="AR161" s="174">
        <f t="shared" ref="AR161:AR164" si="307">AS161*AT161</f>
        <v>0</v>
      </c>
      <c r="AS161" s="174">
        <f>SUMIFS('1-2 人员岗位信息'!K:K,'1-2 人员岗位信息'!$C:$C,"自有人员",'1-2 人员岗位信息'!$B:$B,$D161)</f>
        <v>0</v>
      </c>
      <c r="AT161" s="297"/>
      <c r="AU161" s="174">
        <f t="shared" ref="AU161:AU164" si="308">AV161*AW161</f>
        <v>0</v>
      </c>
      <c r="AV161" s="174">
        <f>SUMIFS('1-2 人员岗位信息'!L:L,'1-2 人员岗位信息'!$C:$C,"自有人员",'1-2 人员岗位信息'!$B:$B,$D161)</f>
        <v>0</v>
      </c>
      <c r="AW161" s="297"/>
      <c r="AX161" s="174">
        <f t="shared" ref="AX161:AX164" si="309">AY161*AZ161</f>
        <v>0</v>
      </c>
      <c r="AY161" s="174">
        <f>SUMIFS('1-2 人员岗位信息'!M:M,'1-2 人员岗位信息'!$C:$C,"自有人员",'1-2 人员岗位信息'!$B:$B,$D161)</f>
        <v>0</v>
      </c>
      <c r="AZ161" s="297"/>
      <c r="BA161" s="174">
        <f t="shared" ref="BA161:BA164" si="310">BB161*BC161</f>
        <v>0</v>
      </c>
      <c r="BB161" s="174">
        <f>SUMIFS('1-2 人员岗位信息'!N:N,'1-2 人员岗位信息'!$C:$C,"自有人员",'1-2 人员岗位信息'!$B:$B,$D161)</f>
        <v>0</v>
      </c>
      <c r="BC161" s="297"/>
      <c r="BD161" s="174">
        <f t="shared" ref="BD161:BD164" si="311">BE161*BF161</f>
        <v>0</v>
      </c>
      <c r="BE161" s="174">
        <f>SUMIFS('1-2 人员岗位信息'!O:O,'1-2 人员岗位信息'!$C:$C,"自有人员",'1-2 人员岗位信息'!$B:$B,$D161)</f>
        <v>0</v>
      </c>
      <c r="BF161" s="297"/>
      <c r="BG161" s="174">
        <f t="shared" ref="BG161:BG164" si="312">BH161*BI161</f>
        <v>0</v>
      </c>
      <c r="BH161" s="174">
        <f>SUMIFS('1-2 人员岗位信息'!P:P,'1-2 人员岗位信息'!$C:$C,"自有人员",'1-2 人员岗位信息'!$B:$B,$D161)</f>
        <v>0</v>
      </c>
      <c r="BI161" s="297"/>
      <c r="BJ161" s="174">
        <f t="shared" ref="BJ161:BJ164" si="313">BK161*BL161</f>
        <v>0</v>
      </c>
      <c r="BK161" s="174">
        <f>SUMIFS('1-2 人员岗位信息'!Q:Q,'1-2 人员岗位信息'!$C:$C,"自有人员",'1-2 人员岗位信息'!$B:$B,$D161)</f>
        <v>0</v>
      </c>
      <c r="BL161" s="297"/>
      <c r="BM161" s="310"/>
      <c r="BN161" s="314"/>
    </row>
    <row r="162" s="262" customFormat="1" ht="33.95" hidden="1" customHeight="1" outlineLevel="5" spans="2:66">
      <c r="B162" s="174" t="s">
        <v>799</v>
      </c>
      <c r="C162" s="282" t="s">
        <v>1071</v>
      </c>
      <c r="D162" s="262"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799</v>
      </c>
      <c r="C163" s="282" t="s">
        <v>1074</v>
      </c>
      <c r="D163" s="262"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799</v>
      </c>
      <c r="C164" s="282" t="s">
        <v>1077</v>
      </c>
      <c r="D164" s="262"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799</v>
      </c>
      <c r="C166" s="282" t="s">
        <v>1080</v>
      </c>
      <c r="D166" s="262"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799</v>
      </c>
      <c r="C167" s="282" t="s">
        <v>1082</v>
      </c>
      <c r="D167" s="262"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799</v>
      </c>
      <c r="C168" s="282" t="s">
        <v>1084</v>
      </c>
      <c r="D168" s="262"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799</v>
      </c>
      <c r="C169" s="282" t="s">
        <v>1086</v>
      </c>
      <c r="D169" s="262"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customHeight="1" outlineLevel="4" spans="2:66">
      <c r="B170" s="118" t="s">
        <v>794</v>
      </c>
      <c r="C170" s="119" t="s">
        <v>22</v>
      </c>
      <c r="D170" s="117" t="s">
        <v>23</v>
      </c>
      <c r="E170" s="118"/>
      <c r="F170" s="118"/>
      <c r="G170" s="118"/>
      <c r="H170" s="118">
        <f>SUM(H171:H174)</f>
        <v>53207.5471698113</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53207.5471698113</v>
      </c>
      <c r="AC170" s="118">
        <f t="shared" si="332"/>
        <v>4433.96226415094</v>
      </c>
      <c r="AD170" s="118"/>
      <c r="AE170" s="118"/>
      <c r="AF170" s="118">
        <f t="shared" si="332"/>
        <v>4433.96226415094</v>
      </c>
      <c r="AG170" s="118"/>
      <c r="AH170" s="118"/>
      <c r="AI170" s="118">
        <f>SUM(AI171:AI174)</f>
        <v>4433.96226415094</v>
      </c>
      <c r="AJ170" s="118"/>
      <c r="AK170" s="118"/>
      <c r="AL170" s="118">
        <f>SUM(AL171:AL174)</f>
        <v>4433.96226415094</v>
      </c>
      <c r="AM170" s="118"/>
      <c r="AN170" s="118"/>
      <c r="AO170" s="118">
        <f>SUM(AO171:AO174)</f>
        <v>4433.96226415094</v>
      </c>
      <c r="AP170" s="118"/>
      <c r="AQ170" s="118"/>
      <c r="AR170" s="118">
        <f>SUM(AR171:AR174)</f>
        <v>4433.96226415094</v>
      </c>
      <c r="AS170" s="118"/>
      <c r="AT170" s="118"/>
      <c r="AU170" s="118">
        <f>SUM(AU171:AU174)</f>
        <v>4433.96226415094</v>
      </c>
      <c r="AV170" s="118"/>
      <c r="AW170" s="118"/>
      <c r="AX170" s="118">
        <f>SUM(AX171:AX174)</f>
        <v>4433.96226415094</v>
      </c>
      <c r="AY170" s="118"/>
      <c r="AZ170" s="118"/>
      <c r="BA170" s="118">
        <f>SUM(BA171:BA174)</f>
        <v>4433.96226415094</v>
      </c>
      <c r="BB170" s="118"/>
      <c r="BC170" s="118"/>
      <c r="BD170" s="118">
        <f>SUM(BD171:BD174)</f>
        <v>4433.96226415094</v>
      </c>
      <c r="BE170" s="118"/>
      <c r="BF170" s="118"/>
      <c r="BG170" s="118">
        <f>SUM(BG171:BG174)</f>
        <v>4433.96226415094</v>
      </c>
      <c r="BH170" s="118"/>
      <c r="BI170" s="118"/>
      <c r="BJ170" s="118">
        <f>SUM(BJ171:BJ174)</f>
        <v>4433.96226415094</v>
      </c>
      <c r="BK170" s="118"/>
      <c r="BL170" s="305"/>
      <c r="BM170" s="310"/>
      <c r="BN170" s="313"/>
    </row>
    <row r="171" s="262" customFormat="1" ht="33.95" customHeight="1" outlineLevel="5" spans="2:66">
      <c r="B171" s="174" t="s">
        <v>799</v>
      </c>
      <c r="C171" s="282" t="s">
        <v>1088</v>
      </c>
      <c r="D171" s="262" t="s">
        <v>1069</v>
      </c>
      <c r="E171" s="174" t="s">
        <v>1089</v>
      </c>
      <c r="F171" s="174"/>
      <c r="G171" s="174" t="s">
        <v>803</v>
      </c>
      <c r="H171" s="174">
        <f t="shared" ref="H171:H175" si="333">AB171</f>
        <v>53207.5471698113</v>
      </c>
      <c r="I171" s="174" t="s">
        <v>804</v>
      </c>
      <c r="J171" s="174">
        <f t="shared" ref="J171:J175" si="334">SUM(AD171,AG171,AJ171,AM171,AP171,AS171,AV171,AY171,BB171,BE171,BH171,BK171)/N171</f>
        <v>1</v>
      </c>
      <c r="K171" s="174" t="s">
        <v>805</v>
      </c>
      <c r="L171" s="174">
        <f t="shared" ref="L171:L175" si="335">H171/N171/J171</f>
        <v>4433.96226415094</v>
      </c>
      <c r="M171" s="174" t="s">
        <v>806</v>
      </c>
      <c r="N171" s="174">
        <f t="shared" ref="N171:N175" si="336">COUNTIF(AD171,"&gt;0")+COUNTIF(AG171,"&gt;0")+COUNTIF(AJ171,"&gt;0")+COUNTIF(AM171,"&gt;0")+COUNTIF(AP171,"&gt;0")+COUNTIF(AS171,"&gt;0")+COUNTIF(AV171,"&gt;0")+COUNTIF(AY171,"&gt;0")+COUNTIF(BB171,"&gt;0")+COUNTIF(BE171,"&gt;0")+COUNTIF(BH171,"&gt;0")+COUNTIF(BK171,"&gt;0")</f>
        <v>12</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53207.5471698113</v>
      </c>
      <c r="AC171" s="174">
        <f t="shared" ref="AC171:AC175" si="338">AD171*AE171</f>
        <v>4433.96226415094</v>
      </c>
      <c r="AD171" s="174">
        <f>SUMIFS('1-2 人员岗位信息'!F:F,'1-2 人员岗位信息'!$C:$C,"专业外包",'1-2 人员岗位信息'!$B:$B,$D171)</f>
        <v>1</v>
      </c>
      <c r="AE171" s="297">
        <f>IFERROR(预算主表!P81/(12*AD171),0)</f>
        <v>4433.96226415094</v>
      </c>
      <c r="AF171" s="174">
        <f t="shared" ref="AF171:AF175" si="339">AG171*AH171</f>
        <v>4433.96226415094</v>
      </c>
      <c r="AG171" s="174">
        <f>SUMIFS('1-2 人员岗位信息'!G:G,'1-2 人员岗位信息'!$C:$C,"专业外包",'1-2 人员岗位信息'!$B:$B,$D171)</f>
        <v>1</v>
      </c>
      <c r="AH171" s="297">
        <f>AE171</f>
        <v>4433.96226415094</v>
      </c>
      <c r="AI171" s="174">
        <f t="shared" ref="AI171:AI175" si="340">AJ171*AK171</f>
        <v>4433.96226415094</v>
      </c>
      <c r="AJ171" s="174">
        <f>SUMIFS('1-2 人员岗位信息'!H:H,'1-2 人员岗位信息'!$C:$C,"专业外包",'1-2 人员岗位信息'!$B:$B,$D171)</f>
        <v>1</v>
      </c>
      <c r="AK171" s="297">
        <f>AE171</f>
        <v>4433.96226415094</v>
      </c>
      <c r="AL171" s="174">
        <f t="shared" ref="AL171:AL175" si="341">AM171*AN171</f>
        <v>4433.96226415094</v>
      </c>
      <c r="AM171" s="174">
        <f>SUMIFS('1-2 人员岗位信息'!I:I,'1-2 人员岗位信息'!$C:$C,"专业外包",'1-2 人员岗位信息'!$B:$B,$D171)</f>
        <v>1</v>
      </c>
      <c r="AN171" s="297">
        <f>AE171</f>
        <v>4433.96226415094</v>
      </c>
      <c r="AO171" s="174">
        <f t="shared" ref="AO171:AO175" si="342">AP171*AQ171</f>
        <v>4433.96226415094</v>
      </c>
      <c r="AP171" s="174">
        <f>SUMIFS('1-2 人员岗位信息'!J:J,'1-2 人员岗位信息'!$C:$C,"专业外包",'1-2 人员岗位信息'!$B:$B,$D171)</f>
        <v>1</v>
      </c>
      <c r="AQ171" s="297">
        <f>AE171</f>
        <v>4433.96226415094</v>
      </c>
      <c r="AR171" s="174">
        <f t="shared" ref="AR171:AR175" si="343">AS171*AT171</f>
        <v>4433.96226415094</v>
      </c>
      <c r="AS171" s="174">
        <f>SUMIFS('1-2 人员岗位信息'!K:K,'1-2 人员岗位信息'!$C:$C,"专业外包",'1-2 人员岗位信息'!$B:$B,$D171)</f>
        <v>1</v>
      </c>
      <c r="AT171" s="297">
        <f>AE171</f>
        <v>4433.96226415094</v>
      </c>
      <c r="AU171" s="174">
        <f t="shared" ref="AU171:AU175" si="344">AV171*AW171</f>
        <v>4433.96226415094</v>
      </c>
      <c r="AV171" s="174">
        <f>SUMIFS('1-2 人员岗位信息'!L:L,'1-2 人员岗位信息'!$C:$C,"专业外包",'1-2 人员岗位信息'!$B:$B,$D171)</f>
        <v>1</v>
      </c>
      <c r="AW171" s="297">
        <f>AE171</f>
        <v>4433.96226415094</v>
      </c>
      <c r="AX171" s="174">
        <f t="shared" ref="AX171:AX175" si="345">AY171*AZ171</f>
        <v>4433.96226415094</v>
      </c>
      <c r="AY171" s="174">
        <f>SUMIFS('1-2 人员岗位信息'!M:M,'1-2 人员岗位信息'!$C:$C,"专业外包",'1-2 人员岗位信息'!$B:$B,$D171)</f>
        <v>1</v>
      </c>
      <c r="AZ171" s="297">
        <f>AE171</f>
        <v>4433.96226415094</v>
      </c>
      <c r="BA171" s="174">
        <f t="shared" ref="BA171:BA175" si="346">BB171*BC171</f>
        <v>4433.96226415094</v>
      </c>
      <c r="BB171" s="174">
        <f>SUMIFS('1-2 人员岗位信息'!N:N,'1-2 人员岗位信息'!$C:$C,"专业外包",'1-2 人员岗位信息'!$B:$B,$D171)</f>
        <v>1</v>
      </c>
      <c r="BC171" s="297">
        <f>AE171</f>
        <v>4433.96226415094</v>
      </c>
      <c r="BD171" s="174">
        <f t="shared" ref="BD171:BD175" si="347">BE171*BF171</f>
        <v>4433.96226415094</v>
      </c>
      <c r="BE171" s="174">
        <f>SUMIFS('1-2 人员岗位信息'!O:O,'1-2 人员岗位信息'!$C:$C,"专业外包",'1-2 人员岗位信息'!$B:$B,$D171)</f>
        <v>1</v>
      </c>
      <c r="BF171" s="297">
        <f>AE171</f>
        <v>4433.96226415094</v>
      </c>
      <c r="BG171" s="174">
        <f t="shared" ref="BG171:BG175" si="348">BH171*BI171</f>
        <v>4433.96226415094</v>
      </c>
      <c r="BH171" s="174">
        <f>SUMIFS('1-2 人员岗位信息'!P:P,'1-2 人员岗位信息'!$C:$C,"专业外包",'1-2 人员岗位信息'!$B:$B,$D171)</f>
        <v>1</v>
      </c>
      <c r="BI171" s="297">
        <f>AE171</f>
        <v>4433.96226415094</v>
      </c>
      <c r="BJ171" s="174">
        <f t="shared" ref="BJ171:BJ175" si="349">BK171*BL171</f>
        <v>4433.96226415094</v>
      </c>
      <c r="BK171" s="174">
        <f>SUMIFS('1-2 人员岗位信息'!Q:Q,'1-2 人员岗位信息'!$C:$C,"专业外包",'1-2 人员岗位信息'!$B:$B,$D171)</f>
        <v>1</v>
      </c>
      <c r="BL171" s="306">
        <f>AE171</f>
        <v>4433.96226415094</v>
      </c>
      <c r="BM171" s="310"/>
      <c r="BN171" s="314"/>
    </row>
    <row r="172" s="262" customFormat="1" ht="33.95" hidden="1" customHeight="1" outlineLevel="5" spans="2:66">
      <c r="B172" s="174" t="s">
        <v>799</v>
      </c>
      <c r="C172" s="282" t="s">
        <v>1090</v>
      </c>
      <c r="D172" s="262"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799</v>
      </c>
      <c r="C173" s="282" t="s">
        <v>1092</v>
      </c>
      <c r="D173" s="262"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799</v>
      </c>
      <c r="C174" s="282" t="s">
        <v>1094</v>
      </c>
      <c r="D174" s="262"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799</v>
      </c>
      <c r="C178" s="282" t="s">
        <v>1099</v>
      </c>
      <c r="D178" s="262"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799</v>
      </c>
      <c r="C179" s="282" t="s">
        <v>1102</v>
      </c>
      <c r="D179" s="262"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799</v>
      </c>
      <c r="C180" s="282" t="s">
        <v>1104</v>
      </c>
      <c r="D180" s="262"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799</v>
      </c>
      <c r="C182" s="282" t="s">
        <v>1107</v>
      </c>
      <c r="D182" s="262"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799</v>
      </c>
      <c r="C183" s="282" t="s">
        <v>1109</v>
      </c>
      <c r="D183" s="262"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799</v>
      </c>
      <c r="C184" s="282" t="s">
        <v>1111</v>
      </c>
      <c r="D184" s="262"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799</v>
      </c>
      <c r="C186" s="282" t="s">
        <v>1114</v>
      </c>
      <c r="D186" s="262"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799</v>
      </c>
      <c r="C187" s="282" t="s">
        <v>1116</v>
      </c>
      <c r="D187" s="262"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799</v>
      </c>
      <c r="C188" s="282" t="s">
        <v>1118</v>
      </c>
      <c r="D188" s="262"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8" customFormat="1" ht="33.95" hidden="1" customHeight="1" outlineLevel="3" collapsed="1" spans="2:66">
      <c r="B189" s="114" t="s">
        <v>794</v>
      </c>
      <c r="C189" s="115" t="s">
        <v>1120</v>
      </c>
      <c r="D189" s="48" t="s">
        <v>1121</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794</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799</v>
      </c>
      <c r="C191" s="282" t="s">
        <v>1122</v>
      </c>
      <c r="D191" s="262"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IFERROR(自有人工预算!E29/AD191,0)</f>
        <v>0</v>
      </c>
      <c r="AF191" s="174">
        <f t="shared" ref="AF191:AF195" si="413">AG191*AH191</f>
        <v>0</v>
      </c>
      <c r="AG191" s="174">
        <f>SUMIFS('1-2 人员岗位信息'!G:G,'1-2 人员岗位信息'!$C:$C,"自有人员",'1-2 人员岗位信息'!$B:$B,$D191)</f>
        <v>0</v>
      </c>
      <c r="AH191" s="297">
        <f>IFERROR(自有人工预算!F29/AG191,0)</f>
        <v>0</v>
      </c>
      <c r="AI191" s="174">
        <f t="shared" ref="AI191:AI195" si="414">AJ191*AK191</f>
        <v>0</v>
      </c>
      <c r="AJ191" s="174">
        <f>SUMIFS('1-2 人员岗位信息'!H:H,'1-2 人员岗位信息'!$C:$C,"自有人员",'1-2 人员岗位信息'!$B:$B,$D191)</f>
        <v>0</v>
      </c>
      <c r="AK191" s="297">
        <f>IFERROR(自有人工预算!G29/AJ191,0)</f>
        <v>0</v>
      </c>
      <c r="AL191" s="174">
        <f t="shared" ref="AL191:AL195" si="415">AM191*AN191</f>
        <v>0</v>
      </c>
      <c r="AM191" s="174">
        <f>SUMIFS('1-2 人员岗位信息'!I:I,'1-2 人员岗位信息'!$C:$C,"自有人员",'1-2 人员岗位信息'!$B:$B,$D191)</f>
        <v>0</v>
      </c>
      <c r="AN191" s="297">
        <f>IFERROR(自有人工预算!H29/AM191,0)</f>
        <v>0</v>
      </c>
      <c r="AO191" s="174">
        <f t="shared" ref="AO191:AO195" si="416">AP191*AQ191</f>
        <v>0</v>
      </c>
      <c r="AP191" s="174">
        <f>SUMIFS('1-2 人员岗位信息'!J:J,'1-2 人员岗位信息'!$C:$C,"自有人员",'1-2 人员岗位信息'!$B:$B,$D191)</f>
        <v>0</v>
      </c>
      <c r="AQ191" s="297">
        <f>IFERROR(自有人工预算!I29/AP191,0)</f>
        <v>0</v>
      </c>
      <c r="AR191" s="174">
        <f t="shared" ref="AR191:AR195" si="417">AS191*AT191</f>
        <v>0</v>
      </c>
      <c r="AS191" s="174">
        <f>SUMIFS('1-2 人员岗位信息'!K:K,'1-2 人员岗位信息'!$C:$C,"自有人员",'1-2 人员岗位信息'!$B:$B,$D191)</f>
        <v>0</v>
      </c>
      <c r="AT191" s="297">
        <f>IFERROR(自有人工预算!J29/AS191,0)</f>
        <v>0</v>
      </c>
      <c r="AU191" s="174">
        <f t="shared" ref="AU191:AU195" si="418">AV191*AW191</f>
        <v>0</v>
      </c>
      <c r="AV191" s="174">
        <f>SUMIFS('1-2 人员岗位信息'!L:L,'1-2 人员岗位信息'!$C:$C,"自有人员",'1-2 人员岗位信息'!$B:$B,$D191)</f>
        <v>0</v>
      </c>
      <c r="AW191" s="297">
        <f>IFERROR(自有人工预算!K29/AV191,0)</f>
        <v>0</v>
      </c>
      <c r="AX191" s="174">
        <f t="shared" ref="AX191:AX195" si="419">AY191*AZ191</f>
        <v>0</v>
      </c>
      <c r="AY191" s="174">
        <f>SUMIFS('1-2 人员岗位信息'!M:M,'1-2 人员岗位信息'!$C:$C,"自有人员",'1-2 人员岗位信息'!$B:$B,$D191)</f>
        <v>0</v>
      </c>
      <c r="AZ191" s="297">
        <f>IFERROR(自有人工预算!L29/AY191,0)</f>
        <v>0</v>
      </c>
      <c r="BA191" s="174">
        <f t="shared" ref="BA191:BA195" si="420">BB191*BC191</f>
        <v>0</v>
      </c>
      <c r="BB191" s="174">
        <f>SUMIFS('1-2 人员岗位信息'!N:N,'1-2 人员岗位信息'!$C:$C,"自有人员",'1-2 人员岗位信息'!$B:$B,$D191)</f>
        <v>0</v>
      </c>
      <c r="BC191" s="297">
        <f>IFERROR(自有人工预算!M29/BB191,0)</f>
        <v>0</v>
      </c>
      <c r="BD191" s="174">
        <f t="shared" ref="BD191:BD195" si="421">BE191*BF191</f>
        <v>0</v>
      </c>
      <c r="BE191" s="174">
        <f>SUMIFS('1-2 人员岗位信息'!O:O,'1-2 人员岗位信息'!$C:$C,"自有人员",'1-2 人员岗位信息'!$B:$B,$D191)</f>
        <v>0</v>
      </c>
      <c r="BF191" s="297">
        <f>IFERROR(自有人工预算!N29/BE191,0)</f>
        <v>0</v>
      </c>
      <c r="BG191" s="174">
        <f t="shared" ref="BG191:BG195" si="422">BH191*BI191</f>
        <v>0</v>
      </c>
      <c r="BH191" s="174">
        <f>SUMIFS('1-2 人员岗位信息'!P:P,'1-2 人员岗位信息'!$C:$C,"自有人员",'1-2 人员岗位信息'!$B:$B,$D191)</f>
        <v>0</v>
      </c>
      <c r="BI191" s="297">
        <f>IFERROR(自有人工预算!O29/BH191,0)</f>
        <v>0</v>
      </c>
      <c r="BJ191" s="174">
        <f t="shared" ref="BJ191:BJ195" si="423">BK191*BL191</f>
        <v>0</v>
      </c>
      <c r="BK191" s="174">
        <f>SUMIFS('1-2 人员岗位信息'!Q:Q,'1-2 人员岗位信息'!$C:$C,"自有人员",'1-2 人员岗位信息'!$B:$B,$D191)</f>
        <v>0</v>
      </c>
      <c r="BL191" s="297">
        <f>IFERROR(自有人工预算!P29/BK191,0)</f>
        <v>0</v>
      </c>
      <c r="BM191" s="310"/>
      <c r="BN191" s="314"/>
    </row>
    <row r="192" s="262" customFormat="1" ht="33.95" hidden="1" customHeight="1" outlineLevel="5" spans="2:66">
      <c r="B192" s="174" t="s">
        <v>799</v>
      </c>
      <c r="C192" s="282" t="s">
        <v>1125</v>
      </c>
      <c r="D192" s="262"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799</v>
      </c>
      <c r="C193" s="282" t="s">
        <v>1127</v>
      </c>
      <c r="D193" s="262"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799</v>
      </c>
      <c r="C194" s="282" t="s">
        <v>1129</v>
      </c>
      <c r="D194" s="262"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799</v>
      </c>
      <c r="C195" s="282" t="s">
        <v>1131</v>
      </c>
      <c r="D195" s="262"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799</v>
      </c>
      <c r="C197" s="282" t="s">
        <v>1133</v>
      </c>
      <c r="D197" s="262"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799</v>
      </c>
      <c r="C198" s="282" t="s">
        <v>1135</v>
      </c>
      <c r="D198" s="262"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799</v>
      </c>
      <c r="C199" s="282" t="s">
        <v>1136</v>
      </c>
      <c r="D199" s="262"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799</v>
      </c>
      <c r="C200" s="282" t="s">
        <v>1137</v>
      </c>
      <c r="D200" s="262"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799</v>
      </c>
      <c r="C201" s="282" t="s">
        <v>1138</v>
      </c>
      <c r="D201" s="262"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799</v>
      </c>
      <c r="C203" s="282" t="s">
        <v>1140</v>
      </c>
      <c r="D203" s="262"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799</v>
      </c>
      <c r="C204" s="282" t="s">
        <v>1142</v>
      </c>
      <c r="D204" s="262"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799</v>
      </c>
      <c r="C205" s="282" t="s">
        <v>1143</v>
      </c>
      <c r="D205" s="262"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799</v>
      </c>
      <c r="C206" s="282" t="s">
        <v>1144</v>
      </c>
      <c r="D206" s="262"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799</v>
      </c>
      <c r="C207" s="282" t="s">
        <v>1145</v>
      </c>
      <c r="D207" s="262"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9" customFormat="1" ht="33.95" customHeight="1" outlineLevel="2" spans="2:66">
      <c r="B208" s="111" t="s">
        <v>794</v>
      </c>
      <c r="C208" s="112" t="s">
        <v>220</v>
      </c>
      <c r="D208" s="29" t="s">
        <v>221</v>
      </c>
      <c r="E208" s="111"/>
      <c r="F208" s="111"/>
      <c r="G208" s="111"/>
      <c r="H208" s="111">
        <f>H209+H223+H224+H236+H239+H247+H262+H291+H303+H307</f>
        <v>22971.2401538743</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22971.2401538743</v>
      </c>
      <c r="AC208" s="111">
        <f t="shared" si="460"/>
        <v>12291.6285033889</v>
      </c>
      <c r="AD208" s="111"/>
      <c r="AE208" s="111"/>
      <c r="AF208" s="111">
        <f t="shared" si="460"/>
        <v>970.873786407767</v>
      </c>
      <c r="AG208" s="111"/>
      <c r="AH208" s="111"/>
      <c r="AI208" s="111">
        <f>AI209+AI223+AI224+AI236+AI239+AI247+AI262+AI291+AI303+AI307</f>
        <v>970.873786407767</v>
      </c>
      <c r="AJ208" s="111"/>
      <c r="AK208" s="111"/>
      <c r="AL208" s="111">
        <f>AL209+AL223+AL224+AL236+AL239+AL247+AL262+AL291+AL303+AL307</f>
        <v>970.873786407767</v>
      </c>
      <c r="AM208" s="111"/>
      <c r="AN208" s="111"/>
      <c r="AO208" s="111">
        <f>AO209+AO223+AO224+AO236+AO239+AO247+AO262+AO291+AO303+AO307</f>
        <v>970.873786407767</v>
      </c>
      <c r="AP208" s="111"/>
      <c r="AQ208" s="111"/>
      <c r="AR208" s="111">
        <f>AR209+AR223+AR224+AR236+AR239+AR247+AR262+AR291+AR303+AR307</f>
        <v>970.873786407767</v>
      </c>
      <c r="AS208" s="111"/>
      <c r="AT208" s="111"/>
      <c r="AU208" s="111">
        <f>AU209+AU223+AU224+AU236+AU239+AU247+AU262+AU291+AU303+AU307</f>
        <v>970.873786407767</v>
      </c>
      <c r="AV208" s="111"/>
      <c r="AW208" s="111"/>
      <c r="AX208" s="111">
        <f>AX209+AX223+AX224+AX236+AX239+AX247+AX262+AX291+AX303+AX307</f>
        <v>970.873786407767</v>
      </c>
      <c r="AY208" s="111"/>
      <c r="AZ208" s="111"/>
      <c r="BA208" s="111">
        <f>BA209+BA223+BA224+BA236+BA239+BA247+BA262+BA291+BA303+BA307</f>
        <v>970.873786407767</v>
      </c>
      <c r="BB208" s="111"/>
      <c r="BC208" s="111"/>
      <c r="BD208" s="111">
        <f>BD209+BD223+BD224+BD236+BD239+BD247+BD262+BD291+BD303+BD307</f>
        <v>970.873786407767</v>
      </c>
      <c r="BE208" s="111"/>
      <c r="BF208" s="111"/>
      <c r="BG208" s="111">
        <f>BG209+BG223+BG224+BG236+BG239+BG247+BG262+BG291+BG303+BG307</f>
        <v>970.873786407767</v>
      </c>
      <c r="BH208" s="111"/>
      <c r="BI208" s="111"/>
      <c r="BJ208" s="111">
        <f>BJ209+BJ223+BJ224+BJ236+BJ239+BJ247+BJ262+BJ291+BJ303+BJ307</f>
        <v>970.873786407767</v>
      </c>
      <c r="BK208" s="111"/>
      <c r="BL208" s="303"/>
      <c r="BM208" s="310"/>
      <c r="BN208" s="311"/>
    </row>
    <row r="209" s="48" customFormat="1" ht="33.95" hidden="1" customHeight="1" outlineLevel="3" collapsed="1" spans="2:66">
      <c r="B209" s="114" t="s">
        <v>794</v>
      </c>
      <c r="C209" s="115" t="s">
        <v>32</v>
      </c>
      <c r="D209" s="48" t="s">
        <v>33</v>
      </c>
      <c r="E209" s="114" t="s">
        <v>1146</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799</v>
      </c>
      <c r="C210" s="119" t="s">
        <v>1147</v>
      </c>
      <c r="D210" s="117" t="s">
        <v>1148</v>
      </c>
      <c r="E210" s="118"/>
      <c r="F210" s="118"/>
      <c r="G210" s="118" t="s">
        <v>803</v>
      </c>
      <c r="H210" s="118">
        <f t="shared" ref="H210:H222" si="462">AB210</f>
        <v>0</v>
      </c>
      <c r="I210" s="118" t="s">
        <v>1149</v>
      </c>
      <c r="J210" s="118" t="e">
        <f t="shared" ref="J210:J222" si="463">SUM(AD210,AG210,AJ210,AM210,AP210,AS210,AV210,AY210,BB210,BE210,BH210,BK210)/N210</f>
        <v>#DIV/0!</v>
      </c>
      <c r="K210" s="118" t="s">
        <v>1150</v>
      </c>
      <c r="L210" s="118" t="e">
        <f t="shared" ref="L210:L222" si="464">H210/N210/J210</f>
        <v>#DIV/0!</v>
      </c>
      <c r="M210" s="118" t="s">
        <v>1151</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8" customFormat="1" ht="33.95" hidden="1" customHeight="1" outlineLevel="3" spans="2:66">
      <c r="B223" s="114" t="s">
        <v>799</v>
      </c>
      <c r="C223" s="115" t="s">
        <v>46</v>
      </c>
      <c r="D223" s="48" t="s">
        <v>47</v>
      </c>
      <c r="E223" s="114" t="s">
        <v>1176</v>
      </c>
      <c r="F223" s="114"/>
      <c r="G223" s="114" t="s">
        <v>803</v>
      </c>
      <c r="H223" s="304">
        <f>IFERROR(J223*L223*N223,0)</f>
        <v>0</v>
      </c>
      <c r="I223" s="304" t="s">
        <v>1177</v>
      </c>
      <c r="J223" s="304">
        <f>AVERAGE(AD223,AG223,AJ223,AM223,AP223,AS223,AV223,AY223,BB223,BE223,BH223,BK223)</f>
        <v>13557.22</v>
      </c>
      <c r="K223" s="304" t="s">
        <v>1033</v>
      </c>
      <c r="L223" s="304">
        <f>AVERAGE(AE223,AH223,AK223,AN223,AQ223,AT223,AW223,AZ223,BC223,BF223,BI223,BL223)</f>
        <v>0</v>
      </c>
      <c r="M223" s="114" t="s">
        <v>806</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13557.22</v>
      </c>
      <c r="AE223" s="297">
        <f>预算主表!$P$85/(12*'1-1 项目基础信息'!$H$12)</f>
        <v>0</v>
      </c>
      <c r="AF223" s="114">
        <f t="shared" si="468"/>
        <v>0</v>
      </c>
      <c r="AG223" s="114">
        <f>VLOOKUP($I223,'1-1 项目基础信息'!$F:$S,4,FALSE)</f>
        <v>13557.22</v>
      </c>
      <c r="AH223" s="297">
        <f>预算主表!$P$85/(12*'1-1 项目基础信息'!$H$12)</f>
        <v>0</v>
      </c>
      <c r="AI223" s="114">
        <f t="shared" si="470"/>
        <v>0</v>
      </c>
      <c r="AJ223" s="114">
        <f>VLOOKUP($I223,'1-1 项目基础信息'!$F:$S,5,FALSE)</f>
        <v>13557.22</v>
      </c>
      <c r="AK223" s="297">
        <f>预算主表!$P$85/(12*'1-1 项目基础信息'!$H$12)</f>
        <v>0</v>
      </c>
      <c r="AL223" s="114">
        <f t="shared" si="472"/>
        <v>0</v>
      </c>
      <c r="AM223" s="114">
        <f>VLOOKUP($I223,'1-1 项目基础信息'!$F:$S,6,FALSE)</f>
        <v>13557.22</v>
      </c>
      <c r="AN223" s="297">
        <f>预算主表!$P$85/(12*'1-1 项目基础信息'!$H$12)</f>
        <v>0</v>
      </c>
      <c r="AO223" s="114">
        <f t="shared" si="474"/>
        <v>0</v>
      </c>
      <c r="AP223" s="114">
        <f>VLOOKUP($I223,'1-1 项目基础信息'!$F:$S,7,FALSE)</f>
        <v>13557.22</v>
      </c>
      <c r="AQ223" s="297">
        <f>预算主表!$P$85/(12*'1-1 项目基础信息'!$H$12)</f>
        <v>0</v>
      </c>
      <c r="AR223" s="114">
        <f t="shared" si="476"/>
        <v>0</v>
      </c>
      <c r="AS223" s="114">
        <f>VLOOKUP($I223,'1-1 项目基础信息'!$F:$S,8,FALSE)</f>
        <v>13557.22</v>
      </c>
      <c r="AT223" s="297">
        <f>预算主表!$P$85/(12*'1-1 项目基础信息'!$H$12)</f>
        <v>0</v>
      </c>
      <c r="AU223" s="114">
        <f t="shared" si="478"/>
        <v>0</v>
      </c>
      <c r="AV223" s="114">
        <f>VLOOKUP($I223,'1-1 项目基础信息'!$F:$S,9,FALSE)</f>
        <v>13557.22</v>
      </c>
      <c r="AW223" s="297">
        <f>预算主表!$P$85/(12*'1-1 项目基础信息'!$H$12)</f>
        <v>0</v>
      </c>
      <c r="AX223" s="114">
        <f t="shared" si="480"/>
        <v>0</v>
      </c>
      <c r="AY223" s="114">
        <f>VLOOKUP($I223,'1-1 项目基础信息'!$F:$S,10,FALSE)</f>
        <v>13557.22</v>
      </c>
      <c r="AZ223" s="297">
        <f>预算主表!$P$85/(12*'1-1 项目基础信息'!$H$12)</f>
        <v>0</v>
      </c>
      <c r="BA223" s="114">
        <f t="shared" si="482"/>
        <v>0</v>
      </c>
      <c r="BB223" s="114">
        <f>VLOOKUP($I223,'1-1 项目基础信息'!$F:$S,11,FALSE)</f>
        <v>13557.22</v>
      </c>
      <c r="BC223" s="297">
        <f>预算主表!$P$85/(12*'1-1 项目基础信息'!$H$12)</f>
        <v>0</v>
      </c>
      <c r="BD223" s="114">
        <f t="shared" si="484"/>
        <v>0</v>
      </c>
      <c r="BE223" s="114">
        <f>VLOOKUP($I223,'1-1 项目基础信息'!$F:$S,12,FALSE)</f>
        <v>13557.22</v>
      </c>
      <c r="BF223" s="297">
        <f>预算主表!$P$85/(12*'1-1 项目基础信息'!$H$12)</f>
        <v>0</v>
      </c>
      <c r="BG223" s="114">
        <f t="shared" si="486"/>
        <v>0</v>
      </c>
      <c r="BH223" s="114">
        <f>VLOOKUP($I223,'1-1 项目基础信息'!$F:$S,13,FALSE)</f>
        <v>13557.22</v>
      </c>
      <c r="BI223" s="297">
        <f>预算主表!$P$85/(12*'1-1 项目基础信息'!$H$12)</f>
        <v>0</v>
      </c>
      <c r="BJ223" s="114">
        <f t="shared" si="488"/>
        <v>0</v>
      </c>
      <c r="BK223" s="114">
        <f>VLOOKUP($I223,'1-1 项目基础信息'!$F:$S,14,FALSE)</f>
        <v>13557.22</v>
      </c>
      <c r="BL223" s="297">
        <f>预算主表!$P$85/(12*'1-1 项目基础信息'!$H$12)</f>
        <v>0</v>
      </c>
      <c r="BM223" s="310"/>
      <c r="BN223" s="312"/>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799</v>
      </c>
      <c r="C226" s="282" t="s">
        <v>1178</v>
      </c>
      <c r="D226" s="262"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799</v>
      </c>
      <c r="C227" s="282" t="s">
        <v>1184</v>
      </c>
      <c r="D227" s="262"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799</v>
      </c>
      <c r="C228" s="282" t="s">
        <v>1186</v>
      </c>
      <c r="D228" s="262"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799</v>
      </c>
      <c r="C229" s="282" t="s">
        <v>1188</v>
      </c>
      <c r="D229" s="262"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13557.22</v>
      </c>
      <c r="K230" s="118" t="s">
        <v>1033</v>
      </c>
      <c r="L230" s="297"/>
      <c r="M230" s="118" t="s">
        <v>806</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13557.22</v>
      </c>
      <c r="K231" s="118" t="s">
        <v>1033</v>
      </c>
      <c r="L231" s="297"/>
      <c r="M231" s="118" t="s">
        <v>806</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13557.22</v>
      </c>
      <c r="K232" s="118" t="s">
        <v>1033</v>
      </c>
      <c r="L232" s="297"/>
      <c r="M232" s="118" t="s">
        <v>1196</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7"/>
      <c r="K233" s="118" t="s">
        <v>1201</v>
      </c>
      <c r="L233" s="297"/>
      <c r="M233" s="118" t="s">
        <v>1202</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7"/>
      <c r="K234" s="118" t="s">
        <v>1201</v>
      </c>
      <c r="L234" s="297"/>
      <c r="M234" s="118" t="s">
        <v>1202</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13557.22</v>
      </c>
      <c r="K235" s="118" t="s">
        <v>1033</v>
      </c>
      <c r="L235" s="297"/>
      <c r="M235" s="118" t="s">
        <v>806</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13557.22</v>
      </c>
      <c r="K237" s="118" t="s">
        <v>1033</v>
      </c>
      <c r="L237" s="297"/>
      <c r="M237" s="118" t="s">
        <v>806</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13557.22</v>
      </c>
      <c r="K238" s="118" t="s">
        <v>1033</v>
      </c>
      <c r="L238" s="297"/>
      <c r="M238" s="118" t="s">
        <v>806</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13557.22</v>
      </c>
      <c r="K240" s="118" t="s">
        <v>1033</v>
      </c>
      <c r="L240" s="297"/>
      <c r="M240" s="118" t="s">
        <v>806</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799</v>
      </c>
      <c r="C242" s="282" t="s">
        <v>1220</v>
      </c>
      <c r="D242" s="262" t="s">
        <v>1221</v>
      </c>
      <c r="E242" s="174" t="s">
        <v>1222</v>
      </c>
      <c r="F242" s="174"/>
      <c r="G242" s="174" t="s">
        <v>943</v>
      </c>
      <c r="H242" s="174">
        <f t="shared" ref="H242:H246" si="527">IFERROR(J242*L242*N242,0)</f>
        <v>0</v>
      </c>
      <c r="I242" s="174" t="s">
        <v>1223</v>
      </c>
      <c r="J242" s="297"/>
      <c r="K242" s="174" t="s">
        <v>1224</v>
      </c>
      <c r="L242" s="297"/>
      <c r="M242" s="174" t="s">
        <v>1225</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799</v>
      </c>
      <c r="C243" s="282" t="s">
        <v>1226</v>
      </c>
      <c r="D243" s="262" t="s">
        <v>1227</v>
      </c>
      <c r="E243" s="174" t="s">
        <v>1228</v>
      </c>
      <c r="F243" s="174"/>
      <c r="G243" s="174" t="s">
        <v>943</v>
      </c>
      <c r="H243" s="174">
        <f t="shared" si="527"/>
        <v>0</v>
      </c>
      <c r="I243" s="174" t="s">
        <v>1229</v>
      </c>
      <c r="J243" s="297"/>
      <c r="K243" s="174" t="s">
        <v>1224</v>
      </c>
      <c r="L243" s="297"/>
      <c r="M243" s="174" t="s">
        <v>1225</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799</v>
      </c>
      <c r="C244" s="282" t="s">
        <v>1230</v>
      </c>
      <c r="D244" s="262" t="s">
        <v>1231</v>
      </c>
      <c r="E244" s="174" t="s">
        <v>1232</v>
      </c>
      <c r="F244" s="174"/>
      <c r="G244" s="174" t="s">
        <v>943</v>
      </c>
      <c r="H244" s="174">
        <f t="shared" si="527"/>
        <v>0</v>
      </c>
      <c r="I244" s="174" t="s">
        <v>1233</v>
      </c>
      <c r="J244" s="297"/>
      <c r="K244" s="174" t="s">
        <v>1234</v>
      </c>
      <c r="L244" s="297"/>
      <c r="M244" s="174" t="s">
        <v>1235</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799</v>
      </c>
      <c r="C245" s="282" t="s">
        <v>1236</v>
      </c>
      <c r="D245" s="262" t="s">
        <v>1237</v>
      </c>
      <c r="E245" s="174" t="s">
        <v>1238</v>
      </c>
      <c r="F245" s="174"/>
      <c r="G245" s="174" t="s">
        <v>943</v>
      </c>
      <c r="H245" s="174">
        <f t="shared" si="527"/>
        <v>0</v>
      </c>
      <c r="I245" s="174" t="s">
        <v>1233</v>
      </c>
      <c r="J245" s="297"/>
      <c r="K245" s="174" t="s">
        <v>1234</v>
      </c>
      <c r="L245" s="297"/>
      <c r="M245" s="174" t="s">
        <v>1235</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799</v>
      </c>
      <c r="C246" s="282" t="s">
        <v>1239</v>
      </c>
      <c r="D246" s="262" t="s">
        <v>1240</v>
      </c>
      <c r="E246" s="174" t="s">
        <v>1241</v>
      </c>
      <c r="F246" s="174"/>
      <c r="G246" s="174" t="s">
        <v>943</v>
      </c>
      <c r="H246" s="174">
        <f t="shared" si="527"/>
        <v>0</v>
      </c>
      <c r="I246" s="174" t="s">
        <v>1242</v>
      </c>
      <c r="J246" s="174">
        <v>1</v>
      </c>
      <c r="K246" s="174" t="s">
        <v>1243</v>
      </c>
      <c r="L246" s="297"/>
      <c r="M246" s="174" t="s">
        <v>1244</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13557.22</v>
      </c>
      <c r="K248" s="118" t="s">
        <v>1033</v>
      </c>
      <c r="L248" s="297"/>
      <c r="M248" s="118" t="s">
        <v>806</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13557.22</v>
      </c>
      <c r="K249" s="118" t="s">
        <v>1033</v>
      </c>
      <c r="L249" s="297"/>
      <c r="M249" s="118" t="s">
        <v>806</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13557.22</v>
      </c>
      <c r="K250" s="118" t="s">
        <v>1033</v>
      </c>
      <c r="L250" s="297"/>
      <c r="M250" s="118" t="s">
        <v>806</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13557.22</v>
      </c>
      <c r="K251" s="118" t="s">
        <v>1033</v>
      </c>
      <c r="L251" s="297"/>
      <c r="M251" s="118" t="s">
        <v>806</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13557.22</v>
      </c>
      <c r="K252" s="118" t="s">
        <v>1033</v>
      </c>
      <c r="L252" s="297"/>
      <c r="M252" s="118" t="s">
        <v>806</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13557.22</v>
      </c>
      <c r="K253" s="118" t="s">
        <v>1033</v>
      </c>
      <c r="L253" s="297"/>
      <c r="M253" s="118" t="s">
        <v>806</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13557.22</v>
      </c>
      <c r="K254" s="118" t="s">
        <v>1033</v>
      </c>
      <c r="L254" s="297"/>
      <c r="M254" s="118" t="s">
        <v>806</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13557.22</v>
      </c>
      <c r="K255" s="118" t="s">
        <v>1033</v>
      </c>
      <c r="L255" s="297"/>
      <c r="M255" s="118" t="s">
        <v>806</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13557.22</v>
      </c>
      <c r="K256" s="118" t="s">
        <v>1033</v>
      </c>
      <c r="L256" s="297"/>
      <c r="M256" s="118" t="s">
        <v>806</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799</v>
      </c>
      <c r="C258" s="282" t="s">
        <v>1272</v>
      </c>
      <c r="D258" s="262" t="s">
        <v>1273</v>
      </c>
      <c r="E258" s="174" t="s">
        <v>1274</v>
      </c>
      <c r="F258" s="174"/>
      <c r="G258" s="174" t="s">
        <v>943</v>
      </c>
      <c r="H258" s="174">
        <f t="shared" ref="H258:H261" si="559">IFERROR(J258*L258*N258,0)</f>
        <v>0</v>
      </c>
      <c r="I258" s="174" t="s">
        <v>1275</v>
      </c>
      <c r="J258" s="297"/>
      <c r="K258" s="174" t="s">
        <v>1276</v>
      </c>
      <c r="L258" s="297"/>
      <c r="M258" s="174" t="s">
        <v>1277</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799</v>
      </c>
      <c r="C259" s="282" t="s">
        <v>1278</v>
      </c>
      <c r="D259" s="262" t="s">
        <v>1279</v>
      </c>
      <c r="E259" s="174" t="s">
        <v>1280</v>
      </c>
      <c r="F259" s="174"/>
      <c r="G259" s="174" t="s">
        <v>943</v>
      </c>
      <c r="H259" s="174">
        <f t="shared" si="559"/>
        <v>0</v>
      </c>
      <c r="I259" s="174" t="s">
        <v>1275</v>
      </c>
      <c r="J259" s="297"/>
      <c r="K259" s="174" t="s">
        <v>1276</v>
      </c>
      <c r="L259" s="297"/>
      <c r="M259" s="174" t="s">
        <v>1277</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799</v>
      </c>
      <c r="C260" s="282" t="s">
        <v>1281</v>
      </c>
      <c r="D260" s="262" t="s">
        <v>1282</v>
      </c>
      <c r="E260" s="174" t="s">
        <v>1283</v>
      </c>
      <c r="F260" s="174"/>
      <c r="G260" s="174" t="s">
        <v>943</v>
      </c>
      <c r="H260" s="174">
        <f t="shared" si="559"/>
        <v>0</v>
      </c>
      <c r="I260" s="174" t="s">
        <v>1275</v>
      </c>
      <c r="J260" s="297"/>
      <c r="K260" s="174" t="s">
        <v>1276</v>
      </c>
      <c r="L260" s="297"/>
      <c r="M260" s="174" t="s">
        <v>1277</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799</v>
      </c>
      <c r="C261" s="282" t="s">
        <v>1284</v>
      </c>
      <c r="D261" s="262" t="s">
        <v>1285</v>
      </c>
      <c r="E261" s="174" t="s">
        <v>1286</v>
      </c>
      <c r="F261" s="174"/>
      <c r="G261" s="174" t="s">
        <v>943</v>
      </c>
      <c r="H261" s="174">
        <f t="shared" si="559"/>
        <v>0</v>
      </c>
      <c r="I261" s="174" t="s">
        <v>1275</v>
      </c>
      <c r="J261" s="297"/>
      <c r="K261" s="174" t="s">
        <v>1276</v>
      </c>
      <c r="L261" s="297"/>
      <c r="M261" s="174" t="s">
        <v>1277</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8" customFormat="1" ht="33.95" customHeight="1" outlineLevel="3" spans="2:66">
      <c r="B262" s="114" t="s">
        <v>794</v>
      </c>
      <c r="C262" s="115" t="s">
        <v>1287</v>
      </c>
      <c r="D262" s="48" t="s">
        <v>1288</v>
      </c>
      <c r="E262" s="114" t="s">
        <v>1289</v>
      </c>
      <c r="F262" s="114"/>
      <c r="G262" s="114" t="s">
        <v>943</v>
      </c>
      <c r="H262" s="114">
        <f>H263+H264+H273+H274+H283+H287+H288+H289+H290</f>
        <v>22971.2401538743</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22971.2401538743</v>
      </c>
      <c r="AC262" s="114">
        <f t="shared" ref="AC262:AF262" si="574">AC263+AC264+AC273+AC274+AC283+AC287+AC288+AC289+AC290</f>
        <v>12291.6285033889</v>
      </c>
      <c r="AD262" s="114"/>
      <c r="AE262" s="114"/>
      <c r="AF262" s="114">
        <f t="shared" si="574"/>
        <v>970.873786407767</v>
      </c>
      <c r="AG262" s="114"/>
      <c r="AH262" s="114"/>
      <c r="AI262" s="114">
        <f>AI263+AI264+AI273+AI274+AI283+AI287+AI288+AI289+AI290</f>
        <v>970.873786407767</v>
      </c>
      <c r="AJ262" s="114"/>
      <c r="AK262" s="114"/>
      <c r="AL262" s="114">
        <f>AL263+AL264+AL273+AL274+AL283+AL287+AL288+AL289+AL290</f>
        <v>970.873786407767</v>
      </c>
      <c r="AM262" s="114"/>
      <c r="AN262" s="114"/>
      <c r="AO262" s="114">
        <f>AO263+AO264+AO273+AO274+AO283+AO287+AO288+AO289+AO290</f>
        <v>970.873786407767</v>
      </c>
      <c r="AP262" s="114"/>
      <c r="AQ262" s="114"/>
      <c r="AR262" s="114">
        <f>AR263+AR264+AR273+AR274+AR283+AR287+AR288+AR289+AR290</f>
        <v>970.873786407767</v>
      </c>
      <c r="AS262" s="114"/>
      <c r="AT262" s="114"/>
      <c r="AU262" s="114">
        <f>AU263+AU264+AU273+AU274+AU283+AU287+AU288+AU289+AU290</f>
        <v>970.873786407767</v>
      </c>
      <c r="AV262" s="114"/>
      <c r="AW262" s="114"/>
      <c r="AX262" s="114">
        <f>AX263+AX264+AX273+AX274+AX283+AX287+AX288+AX289+AX290</f>
        <v>970.873786407767</v>
      </c>
      <c r="AY262" s="114"/>
      <c r="AZ262" s="114"/>
      <c r="BA262" s="114">
        <f>BA263+BA264+BA273+BA274+BA283+BA287+BA288+BA289+BA290</f>
        <v>970.873786407767</v>
      </c>
      <c r="BB262" s="114"/>
      <c r="BC262" s="114"/>
      <c r="BD262" s="114">
        <f>BD263+BD264+BD273+BD274+BD283+BD287+BD288+BD289+BD290</f>
        <v>970.873786407767</v>
      </c>
      <c r="BE262" s="114"/>
      <c r="BF262" s="114"/>
      <c r="BG262" s="114">
        <f>BG263+BG264+BG273+BG274+BG283+BG287+BG288+BG289+BG290</f>
        <v>970.873786407767</v>
      </c>
      <c r="BH262" s="114"/>
      <c r="BI262" s="114"/>
      <c r="BJ262" s="114">
        <f>BJ263+BJ264+BJ273+BJ274+BJ283+BJ287+BJ288+BJ289+BJ290</f>
        <v>970.873786407767</v>
      </c>
      <c r="BK262" s="114"/>
      <c r="BL262" s="304"/>
      <c r="BM262" s="310"/>
      <c r="BN262" s="312"/>
    </row>
    <row r="263" s="117" customFormat="1" ht="33.95" customHeight="1" outlineLevel="4" spans="2:66">
      <c r="B263" s="118" t="s">
        <v>799</v>
      </c>
      <c r="C263" s="119" t="s">
        <v>28</v>
      </c>
      <c r="D263" s="117" t="s">
        <v>29</v>
      </c>
      <c r="E263" s="118" t="s">
        <v>1290</v>
      </c>
      <c r="F263" s="118"/>
      <c r="G263" s="118" t="s">
        <v>943</v>
      </c>
      <c r="H263" s="118">
        <f>IFERROR(J263*L263*N263,0)</f>
        <v>11650.4854368932</v>
      </c>
      <c r="I263" s="118" t="s">
        <v>1291</v>
      </c>
      <c r="J263" s="297">
        <f>预算主表!P82/12</f>
        <v>970.873786407767</v>
      </c>
      <c r="K263" s="118" t="s">
        <v>1033</v>
      </c>
      <c r="L263" s="297">
        <v>1</v>
      </c>
      <c r="M263" s="118" t="s">
        <v>1196</v>
      </c>
      <c r="N263" s="118">
        <f t="shared" ref="N263:N273" si="575">COUNTA(O263:Z263)</f>
        <v>12</v>
      </c>
      <c r="O263" s="297" t="s">
        <v>1292</v>
      </c>
      <c r="P263" s="297" t="s">
        <v>1292</v>
      </c>
      <c r="Q263" s="297" t="s">
        <v>1292</v>
      </c>
      <c r="R263" s="297" t="s">
        <v>1292</v>
      </c>
      <c r="S263" s="297" t="s">
        <v>1292</v>
      </c>
      <c r="T263" s="297" t="s">
        <v>1292</v>
      </c>
      <c r="U263" s="297" t="s">
        <v>1292</v>
      </c>
      <c r="V263" s="297" t="s">
        <v>1292</v>
      </c>
      <c r="W263" s="297" t="s">
        <v>1292</v>
      </c>
      <c r="X263" s="297" t="s">
        <v>1292</v>
      </c>
      <c r="Y263" s="297" t="s">
        <v>1292</v>
      </c>
      <c r="Z263" s="297" t="s">
        <v>1292</v>
      </c>
      <c r="AA263" s="118"/>
      <c r="AB263" s="118">
        <f t="shared" ref="AB263:AB273" si="576">SUM(AC263,AF263,AI263,AL263,AO263,AR263,AU263,AX263,BA263,BD263,BG263,BJ263)</f>
        <v>11650.4854368932</v>
      </c>
      <c r="AC263" s="118">
        <f t="shared" ref="AC263:AC273" si="577">IF(O263="",0,$J263*$L263)</f>
        <v>970.873786407767</v>
      </c>
      <c r="AD263" s="118"/>
      <c r="AE263" s="118"/>
      <c r="AF263" s="118">
        <f t="shared" ref="AF263:AF273" si="578">IF(P263="",0,$J263*$L263)</f>
        <v>970.873786407767</v>
      </c>
      <c r="AG263" s="118"/>
      <c r="AH263" s="118"/>
      <c r="AI263" s="118">
        <f t="shared" ref="AI263:AI273" si="579">IF(Q263="",0,$J263*$L263)</f>
        <v>970.873786407767</v>
      </c>
      <c r="AJ263" s="118"/>
      <c r="AK263" s="118"/>
      <c r="AL263" s="118">
        <f t="shared" ref="AL263:AL273" si="580">IF(R263="",0,$J263*$L263)</f>
        <v>970.873786407767</v>
      </c>
      <c r="AM263" s="118"/>
      <c r="AN263" s="118"/>
      <c r="AO263" s="118">
        <f t="shared" ref="AO263:AO273" si="581">IF(S263="",0,$J263*$L263)</f>
        <v>970.873786407767</v>
      </c>
      <c r="AP263" s="118"/>
      <c r="AQ263" s="118"/>
      <c r="AR263" s="118">
        <f t="shared" ref="AR263:AR273" si="582">IF(T263="",0,$J263*$L263)</f>
        <v>970.873786407767</v>
      </c>
      <c r="AS263" s="118"/>
      <c r="AT263" s="118"/>
      <c r="AU263" s="118">
        <f t="shared" ref="AU263:AU273" si="583">IF(U263="",0,$J263*$L263)</f>
        <v>970.873786407767</v>
      </c>
      <c r="AV263" s="118"/>
      <c r="AW263" s="118"/>
      <c r="AX263" s="118">
        <f t="shared" ref="AX263:AX273" si="584">IF(V263="",0,$J263*$L263)</f>
        <v>970.873786407767</v>
      </c>
      <c r="AY263" s="118"/>
      <c r="AZ263" s="118"/>
      <c r="BA263" s="118">
        <f t="shared" ref="BA263:BA273" si="585">IF(W263="",0,$J263*$L263)</f>
        <v>970.873786407767</v>
      </c>
      <c r="BB263" s="118"/>
      <c r="BC263" s="118"/>
      <c r="BD263" s="118">
        <f t="shared" ref="BD263:BD273" si="586">IF(X263="",0,$J263*$L263)</f>
        <v>970.873786407767</v>
      </c>
      <c r="BE263" s="118"/>
      <c r="BF263" s="118"/>
      <c r="BG263" s="118">
        <f t="shared" ref="BG263:BG273" si="587">IF(Y263="",0,$J263*$L263)</f>
        <v>970.873786407767</v>
      </c>
      <c r="BH263" s="118"/>
      <c r="BI263" s="118"/>
      <c r="BJ263" s="118">
        <f t="shared" ref="BJ263:BJ273" si="588">IF(Z263="",0,$J263*$L263)</f>
        <v>970.873786407767</v>
      </c>
      <c r="BK263" s="118"/>
      <c r="BL263" s="305"/>
      <c r="BM263" s="310"/>
      <c r="BN263" s="313"/>
    </row>
    <row r="264" s="117" customFormat="1" ht="33.95" customHeight="1" outlineLevel="4" spans="2:66">
      <c r="B264" s="118" t="s">
        <v>794</v>
      </c>
      <c r="C264" s="119" t="s">
        <v>1293</v>
      </c>
      <c r="D264" s="117" t="s">
        <v>1294</v>
      </c>
      <c r="E264" s="118"/>
      <c r="F264" s="118"/>
      <c r="G264" s="118"/>
      <c r="H264" s="118">
        <f>SUM(H265:H272)</f>
        <v>11320.7547169811</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11320.7547169811</v>
      </c>
      <c r="AC264" s="118">
        <f t="shared" si="589"/>
        <v>11320.7547169811</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799</v>
      </c>
      <c r="C265" s="282" t="s">
        <v>56</v>
      </c>
      <c r="D265" s="262" t="s">
        <v>57</v>
      </c>
      <c r="E265" s="174" t="s">
        <v>1295</v>
      </c>
      <c r="F265" s="174"/>
      <c r="G265" s="174" t="s">
        <v>943</v>
      </c>
      <c r="H265" s="174">
        <f t="shared" ref="H265:H273" si="590">IFERROR(J265*L265*N265,0)</f>
        <v>0</v>
      </c>
      <c r="I265" s="174" t="s">
        <v>1296</v>
      </c>
      <c r="J265" s="297"/>
      <c r="K265" s="174" t="s">
        <v>1297</v>
      </c>
      <c r="L265" s="297"/>
      <c r="M265" s="174" t="s">
        <v>1298</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customHeight="1" outlineLevel="5" spans="2:66">
      <c r="B266" s="174" t="s">
        <v>799</v>
      </c>
      <c r="C266" s="282" t="s">
        <v>58</v>
      </c>
      <c r="D266" s="262" t="s">
        <v>59</v>
      </c>
      <c r="E266" s="174" t="s">
        <v>1299</v>
      </c>
      <c r="F266" s="174"/>
      <c r="G266" s="174" t="s">
        <v>943</v>
      </c>
      <c r="H266" s="174">
        <f t="shared" si="590"/>
        <v>11320.7547169811</v>
      </c>
      <c r="I266" s="174" t="s">
        <v>1300</v>
      </c>
      <c r="J266" s="297">
        <f>预算主表!P87</f>
        <v>11320.7547169811</v>
      </c>
      <c r="K266" s="174" t="s">
        <v>1276</v>
      </c>
      <c r="L266" s="297">
        <v>1</v>
      </c>
      <c r="M266" s="174" t="s">
        <v>1301</v>
      </c>
      <c r="N266" s="174">
        <f t="shared" si="575"/>
        <v>1</v>
      </c>
      <c r="O266" s="297" t="s">
        <v>1292</v>
      </c>
      <c r="P266" s="297"/>
      <c r="Q266" s="297"/>
      <c r="R266" s="297"/>
      <c r="S266" s="297"/>
      <c r="T266" s="297"/>
      <c r="U266" s="297"/>
      <c r="V266" s="297"/>
      <c r="W266" s="297"/>
      <c r="X266" s="297"/>
      <c r="Y266" s="297"/>
      <c r="Z266" s="297"/>
      <c r="AA266" s="174"/>
      <c r="AB266" s="174">
        <f t="shared" si="576"/>
        <v>11320.7547169811</v>
      </c>
      <c r="AC266" s="174">
        <f t="shared" si="577"/>
        <v>11320.7547169811</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799</v>
      </c>
      <c r="C267" s="282" t="s">
        <v>60</v>
      </c>
      <c r="D267" s="262" t="s">
        <v>61</v>
      </c>
      <c r="E267" s="174" t="s">
        <v>1302</v>
      </c>
      <c r="F267" s="174"/>
      <c r="G267" s="174" t="s">
        <v>943</v>
      </c>
      <c r="H267" s="174">
        <f t="shared" si="590"/>
        <v>0</v>
      </c>
      <c r="I267" s="174" t="s">
        <v>1303</v>
      </c>
      <c r="J267" s="297"/>
      <c r="K267" s="174" t="s">
        <v>1304</v>
      </c>
      <c r="L267" s="297"/>
      <c r="M267" s="174" t="s">
        <v>1305</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799</v>
      </c>
      <c r="C268" s="282" t="s">
        <v>50</v>
      </c>
      <c r="D268" s="262" t="s">
        <v>51</v>
      </c>
      <c r="E268" s="174" t="s">
        <v>1299</v>
      </c>
      <c r="F268" s="174"/>
      <c r="G268" s="174" t="s">
        <v>943</v>
      </c>
      <c r="H268" s="174">
        <f t="shared" si="590"/>
        <v>0</v>
      </c>
      <c r="I268" s="174" t="s">
        <v>1242</v>
      </c>
      <c r="J268" s="297">
        <f>预算主表!P86</f>
        <v>0</v>
      </c>
      <c r="K268" s="174" t="s">
        <v>1276</v>
      </c>
      <c r="L268" s="297">
        <v>1</v>
      </c>
      <c r="M268" s="174" t="s">
        <v>1301</v>
      </c>
      <c r="N268" s="174">
        <f t="shared" si="575"/>
        <v>1</v>
      </c>
      <c r="O268" s="297" t="s">
        <v>1292</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799</v>
      </c>
      <c r="C269" s="282" t="s">
        <v>52</v>
      </c>
      <c r="D269" s="262" t="s">
        <v>53</v>
      </c>
      <c r="E269" s="174" t="s">
        <v>1299</v>
      </c>
      <c r="F269" s="174"/>
      <c r="G269" s="174" t="s">
        <v>943</v>
      </c>
      <c r="H269" s="174">
        <f t="shared" si="590"/>
        <v>0</v>
      </c>
      <c r="I269" s="174" t="s">
        <v>1242</v>
      </c>
      <c r="J269" s="297"/>
      <c r="K269" s="174" t="s">
        <v>1276</v>
      </c>
      <c r="L269" s="297"/>
      <c r="M269" s="174" t="s">
        <v>1301</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799</v>
      </c>
      <c r="C270" s="282" t="s">
        <v>1306</v>
      </c>
      <c r="D270" s="262" t="s">
        <v>1307</v>
      </c>
      <c r="E270" s="174" t="s">
        <v>1299</v>
      </c>
      <c r="F270" s="174"/>
      <c r="G270" s="174" t="s">
        <v>943</v>
      </c>
      <c r="H270" s="174">
        <f t="shared" si="590"/>
        <v>0</v>
      </c>
      <c r="I270" s="174" t="s">
        <v>1242</v>
      </c>
      <c r="J270" s="297"/>
      <c r="K270" s="174" t="s">
        <v>1276</v>
      </c>
      <c r="L270" s="297"/>
      <c r="M270" s="174" t="s">
        <v>1301</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799</v>
      </c>
      <c r="C271" s="282" t="s">
        <v>1308</v>
      </c>
      <c r="D271" s="262" t="s">
        <v>1309</v>
      </c>
      <c r="E271" s="174" t="s">
        <v>1299</v>
      </c>
      <c r="F271" s="174"/>
      <c r="G271" s="174" t="s">
        <v>943</v>
      </c>
      <c r="H271" s="174">
        <f t="shared" si="590"/>
        <v>0</v>
      </c>
      <c r="I271" s="174" t="s">
        <v>1242</v>
      </c>
      <c r="J271" s="297"/>
      <c r="K271" s="174" t="s">
        <v>1276</v>
      </c>
      <c r="L271" s="297"/>
      <c r="M271" s="174" t="s">
        <v>1301</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799</v>
      </c>
      <c r="C272" s="282" t="s">
        <v>1310</v>
      </c>
      <c r="D272" s="262" t="s">
        <v>1311</v>
      </c>
      <c r="E272" s="174" t="s">
        <v>1299</v>
      </c>
      <c r="F272" s="174"/>
      <c r="G272" s="174" t="s">
        <v>943</v>
      </c>
      <c r="H272" s="174">
        <f t="shared" si="590"/>
        <v>0</v>
      </c>
      <c r="I272" s="174" t="s">
        <v>1242</v>
      </c>
      <c r="J272" s="297"/>
      <c r="K272" s="174" t="s">
        <v>1276</v>
      </c>
      <c r="L272" s="297"/>
      <c r="M272" s="174" t="s">
        <v>1301</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7"/>
      <c r="M273" s="118" t="s">
        <v>1235</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799</v>
      </c>
      <c r="C275" s="282" t="s">
        <v>1316</v>
      </c>
      <c r="D275" s="262" t="s">
        <v>1317</v>
      </c>
      <c r="E275" s="174" t="s">
        <v>1318</v>
      </c>
      <c r="F275" s="174"/>
      <c r="G275" s="174" t="s">
        <v>943</v>
      </c>
      <c r="H275" s="174">
        <f t="shared" ref="H275:H282" si="591">IFERROR(J275*L275*N275,0)</f>
        <v>0</v>
      </c>
      <c r="I275" s="174" t="s">
        <v>1319</v>
      </c>
      <c r="J275" s="297"/>
      <c r="K275" s="174" t="s">
        <v>1033</v>
      </c>
      <c r="L275" s="297"/>
      <c r="M275" s="174" t="s">
        <v>1196</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799</v>
      </c>
      <c r="C276" s="282" t="s">
        <v>1320</v>
      </c>
      <c r="D276" s="262" t="s">
        <v>1321</v>
      </c>
      <c r="E276" s="174" t="s">
        <v>1322</v>
      </c>
      <c r="F276" s="174"/>
      <c r="G276" s="174" t="s">
        <v>943</v>
      </c>
      <c r="H276" s="174">
        <f t="shared" si="591"/>
        <v>0</v>
      </c>
      <c r="I276" s="174" t="s">
        <v>1319</v>
      </c>
      <c r="J276" s="297"/>
      <c r="K276" s="174" t="s">
        <v>1033</v>
      </c>
      <c r="L276" s="297"/>
      <c r="M276" s="174" t="s">
        <v>1196</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799</v>
      </c>
      <c r="C277" s="282" t="s">
        <v>1323</v>
      </c>
      <c r="D277" s="262" t="s">
        <v>1324</v>
      </c>
      <c r="E277" s="174" t="s">
        <v>1325</v>
      </c>
      <c r="F277" s="174"/>
      <c r="G277" s="174" t="s">
        <v>943</v>
      </c>
      <c r="H277" s="174">
        <f t="shared" si="591"/>
        <v>0</v>
      </c>
      <c r="I277" s="174" t="s">
        <v>1319</v>
      </c>
      <c r="J277" s="297"/>
      <c r="K277" s="174" t="s">
        <v>1033</v>
      </c>
      <c r="L277" s="297"/>
      <c r="M277" s="174" t="s">
        <v>1196</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799</v>
      </c>
      <c r="C278" s="282" t="s">
        <v>1326</v>
      </c>
      <c r="D278" s="262" t="s">
        <v>1327</v>
      </c>
      <c r="E278" s="174" t="s">
        <v>1328</v>
      </c>
      <c r="F278" s="174"/>
      <c r="G278" s="174" t="s">
        <v>943</v>
      </c>
      <c r="H278" s="174">
        <f t="shared" si="591"/>
        <v>0</v>
      </c>
      <c r="I278" s="174" t="s">
        <v>1319</v>
      </c>
      <c r="J278" s="297"/>
      <c r="K278" s="174" t="s">
        <v>1033</v>
      </c>
      <c r="L278" s="297"/>
      <c r="M278" s="174" t="s">
        <v>1196</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799</v>
      </c>
      <c r="C279" s="282" t="s">
        <v>1329</v>
      </c>
      <c r="D279" s="262" t="s">
        <v>1330</v>
      </c>
      <c r="E279" s="174" t="s">
        <v>1331</v>
      </c>
      <c r="F279" s="174"/>
      <c r="G279" s="174" t="s">
        <v>943</v>
      </c>
      <c r="H279" s="174">
        <f t="shared" si="591"/>
        <v>0</v>
      </c>
      <c r="I279" s="174" t="s">
        <v>1319</v>
      </c>
      <c r="J279" s="297"/>
      <c r="K279" s="174" t="s">
        <v>1033</v>
      </c>
      <c r="L279" s="297"/>
      <c r="M279" s="174" t="s">
        <v>1196</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799</v>
      </c>
      <c r="C280" s="282" t="s">
        <v>1332</v>
      </c>
      <c r="D280" s="262" t="s">
        <v>1333</v>
      </c>
      <c r="E280" s="174" t="s">
        <v>1334</v>
      </c>
      <c r="F280" s="174"/>
      <c r="G280" s="174" t="s">
        <v>943</v>
      </c>
      <c r="H280" s="174">
        <f t="shared" si="591"/>
        <v>0</v>
      </c>
      <c r="I280" s="174" t="s">
        <v>1319</v>
      </c>
      <c r="J280" s="297"/>
      <c r="K280" s="174" t="s">
        <v>1033</v>
      </c>
      <c r="L280" s="297"/>
      <c r="M280" s="174" t="s">
        <v>1196</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799</v>
      </c>
      <c r="C281" s="282" t="s">
        <v>1335</v>
      </c>
      <c r="D281" s="262" t="s">
        <v>1336</v>
      </c>
      <c r="E281" s="174" t="s">
        <v>1337</v>
      </c>
      <c r="F281" s="174"/>
      <c r="G281" s="174" t="s">
        <v>943</v>
      </c>
      <c r="H281" s="174">
        <f t="shared" si="591"/>
        <v>0</v>
      </c>
      <c r="I281" s="174" t="s">
        <v>1319</v>
      </c>
      <c r="J281" s="297"/>
      <c r="K281" s="174" t="s">
        <v>1033</v>
      </c>
      <c r="L281" s="297"/>
      <c r="M281" s="174" t="s">
        <v>1196</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799</v>
      </c>
      <c r="C282" s="282" t="s">
        <v>1338</v>
      </c>
      <c r="D282" s="262" t="s">
        <v>1339</v>
      </c>
      <c r="E282" s="174" t="s">
        <v>1340</v>
      </c>
      <c r="F282" s="174"/>
      <c r="G282" s="174" t="s">
        <v>943</v>
      </c>
      <c r="H282" s="174">
        <f t="shared" si="591"/>
        <v>0</v>
      </c>
      <c r="I282" s="174" t="s">
        <v>1319</v>
      </c>
      <c r="J282" s="297"/>
      <c r="K282" s="174" t="s">
        <v>1033</v>
      </c>
      <c r="L282" s="297"/>
      <c r="M282" s="174" t="s">
        <v>1196</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799</v>
      </c>
      <c r="C284" s="282" t="s">
        <v>1344</v>
      </c>
      <c r="D284" s="262" t="s">
        <v>1345</v>
      </c>
      <c r="E284" s="174" t="s">
        <v>1346</v>
      </c>
      <c r="F284" s="174"/>
      <c r="G284" s="174" t="s">
        <v>943</v>
      </c>
      <c r="H284" s="174">
        <f t="shared" ref="H284:H290" si="607">IFERROR(J284*L284*N284,0)</f>
        <v>0</v>
      </c>
      <c r="I284" s="174" t="s">
        <v>1347</v>
      </c>
      <c r="J284" s="297"/>
      <c r="K284" s="174" t="s">
        <v>1348</v>
      </c>
      <c r="L284" s="297"/>
      <c r="M284" s="174" t="s">
        <v>1349</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799</v>
      </c>
      <c r="C285" s="282" t="s">
        <v>1350</v>
      </c>
      <c r="D285" s="262" t="s">
        <v>1351</v>
      </c>
      <c r="E285" s="174" t="s">
        <v>1352</v>
      </c>
      <c r="F285" s="174"/>
      <c r="G285" s="174" t="s">
        <v>943</v>
      </c>
      <c r="H285" s="174">
        <f t="shared" si="607"/>
        <v>0</v>
      </c>
      <c r="I285" s="174" t="s">
        <v>1347</v>
      </c>
      <c r="J285" s="297"/>
      <c r="K285" s="174" t="s">
        <v>1348</v>
      </c>
      <c r="L285" s="297"/>
      <c r="M285" s="174" t="s">
        <v>1349</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799</v>
      </c>
      <c r="C286" s="282" t="s">
        <v>1353</v>
      </c>
      <c r="D286" s="262" t="s">
        <v>1354</v>
      </c>
      <c r="E286" s="174" t="s">
        <v>1355</v>
      </c>
      <c r="F286" s="174"/>
      <c r="G286" s="174" t="s">
        <v>943</v>
      </c>
      <c r="H286" s="174">
        <f t="shared" si="607"/>
        <v>0</v>
      </c>
      <c r="I286" s="174" t="s">
        <v>1347</v>
      </c>
      <c r="J286" s="297"/>
      <c r="K286" s="174" t="s">
        <v>1348</v>
      </c>
      <c r="L286" s="297"/>
      <c r="M286" s="174" t="s">
        <v>1349</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7"/>
      <c r="M287" s="118" t="s">
        <v>1244</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7"/>
      <c r="K288" s="118" t="s">
        <v>1033</v>
      </c>
      <c r="L288" s="297"/>
      <c r="M288" s="118" t="s">
        <v>1196</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7"/>
      <c r="K289" s="118" t="s">
        <v>1033</v>
      </c>
      <c r="L289" s="297"/>
      <c r="M289" s="118" t="s">
        <v>1196</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7"/>
      <c r="K290" s="118" t="s">
        <v>1033</v>
      </c>
      <c r="L290" s="297"/>
      <c r="M290" s="118" t="s">
        <v>1196</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8" customFormat="1" ht="33.95" hidden="1" customHeight="1" outlineLevel="3" collapsed="1" spans="2:66">
      <c r="B291" s="114" t="s">
        <v>794</v>
      </c>
      <c r="C291" s="115" t="s">
        <v>1371</v>
      </c>
      <c r="D291" s="48" t="s">
        <v>1372</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7"/>
      <c r="K292" s="118" t="s">
        <v>1377</v>
      </c>
      <c r="L292" s="320">
        <f>0.379248/1000</f>
        <v>0.000379248</v>
      </c>
      <c r="M292" s="118" t="s">
        <v>1378</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799</v>
      </c>
      <c r="C293" s="119" t="s">
        <v>1379</v>
      </c>
      <c r="D293" s="117" t="s">
        <v>1380</v>
      </c>
      <c r="E293" s="118" t="s">
        <v>1375</v>
      </c>
      <c r="F293" s="118"/>
      <c r="G293" s="118" t="s">
        <v>943</v>
      </c>
      <c r="H293" s="118">
        <f t="shared" si="623"/>
        <v>0</v>
      </c>
      <c r="I293" s="118" t="s">
        <v>1381</v>
      </c>
      <c r="J293" s="297">
        <f>预算主表!P140/L293</f>
        <v>0</v>
      </c>
      <c r="K293" s="118" t="s">
        <v>1382</v>
      </c>
      <c r="L293" s="118">
        <v>1000</v>
      </c>
      <c r="M293" s="118" t="s">
        <v>1383</v>
      </c>
      <c r="N293" s="118">
        <f>COUNTA(O293:Z293)</f>
        <v>1</v>
      </c>
      <c r="O293" s="297" t="s">
        <v>1292</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799</v>
      </c>
      <c r="C295" s="282" t="s">
        <v>1386</v>
      </c>
      <c r="D295" s="262"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799</v>
      </c>
      <c r="C296" s="282" t="s">
        <v>1389</v>
      </c>
      <c r="D296" s="262" t="s">
        <v>1390</v>
      </c>
      <c r="E296" s="174"/>
      <c r="F296" s="174"/>
      <c r="G296" s="174" t="s">
        <v>943</v>
      </c>
      <c r="H296" s="174">
        <f t="shared" si="623"/>
        <v>0</v>
      </c>
      <c r="I296" s="174" t="s">
        <v>1242</v>
      </c>
      <c r="J296" s="174">
        <v>1</v>
      </c>
      <c r="K296" s="174" t="s">
        <v>1243</v>
      </c>
      <c r="L296" s="174">
        <v>750</v>
      </c>
      <c r="M296" s="174" t="s">
        <v>1388</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799</v>
      </c>
      <c r="C297" s="282" t="s">
        <v>1391</v>
      </c>
      <c r="D297" s="262" t="s">
        <v>1392</v>
      </c>
      <c r="E297" s="174"/>
      <c r="F297" s="174"/>
      <c r="G297" s="174" t="s">
        <v>943</v>
      </c>
      <c r="H297" s="174">
        <f t="shared" si="623"/>
        <v>0</v>
      </c>
      <c r="I297" s="174" t="s">
        <v>1242</v>
      </c>
      <c r="J297" s="174">
        <v>1</v>
      </c>
      <c r="K297" s="174" t="s">
        <v>1243</v>
      </c>
      <c r="L297" s="174">
        <v>1780</v>
      </c>
      <c r="M297" s="174" t="s">
        <v>1388</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799</v>
      </c>
      <c r="C298" s="282" t="s">
        <v>1393</v>
      </c>
      <c r="D298" s="262" t="s">
        <v>1394</v>
      </c>
      <c r="E298" s="174"/>
      <c r="F298" s="174"/>
      <c r="G298" s="174"/>
      <c r="H298" s="174">
        <f t="shared" si="623"/>
        <v>0</v>
      </c>
      <c r="I298" s="174" t="s">
        <v>1395</v>
      </c>
      <c r="J298" s="297"/>
      <c r="K298" s="174" t="s">
        <v>1396</v>
      </c>
      <c r="L298" s="174">
        <v>780</v>
      </c>
      <c r="M298" s="174" t="s">
        <v>1397</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799</v>
      </c>
      <c r="C300" s="282" t="s">
        <v>1400</v>
      </c>
      <c r="D300" s="262" t="s">
        <v>1401</v>
      </c>
      <c r="E300" s="174"/>
      <c r="F300" s="174"/>
      <c r="G300" s="174" t="s">
        <v>943</v>
      </c>
      <c r="H300" s="174">
        <f t="shared" ref="H300:H302" si="626">IFERROR(J300*L300*N300,0)</f>
        <v>0</v>
      </c>
      <c r="I300" s="174" t="s">
        <v>1381</v>
      </c>
      <c r="J300" s="297"/>
      <c r="K300" s="174" t="s">
        <v>1382</v>
      </c>
      <c r="L300" s="174">
        <v>5000</v>
      </c>
      <c r="M300" s="174" t="s">
        <v>1235</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799</v>
      </c>
      <c r="C301" s="282" t="s">
        <v>1402</v>
      </c>
      <c r="D301" s="262" t="s">
        <v>1403</v>
      </c>
      <c r="E301" s="174"/>
      <c r="F301" s="174"/>
      <c r="G301" s="174" t="s">
        <v>943</v>
      </c>
      <c r="H301" s="174">
        <f t="shared" si="626"/>
        <v>0</v>
      </c>
      <c r="I301" s="174" t="s">
        <v>1381</v>
      </c>
      <c r="J301" s="297">
        <f>预算主表!P134/(12*L301)</f>
        <v>0</v>
      </c>
      <c r="K301" s="174" t="s">
        <v>1382</v>
      </c>
      <c r="L301" s="174">
        <v>1000</v>
      </c>
      <c r="M301" s="174" t="s">
        <v>1235</v>
      </c>
      <c r="N301" s="174">
        <f t="shared" si="627"/>
        <v>12</v>
      </c>
      <c r="O301" s="297" t="s">
        <v>1292</v>
      </c>
      <c r="P301" s="297" t="s">
        <v>1292</v>
      </c>
      <c r="Q301" s="297" t="s">
        <v>1292</v>
      </c>
      <c r="R301" s="297" t="s">
        <v>1292</v>
      </c>
      <c r="S301" s="297" t="s">
        <v>1292</v>
      </c>
      <c r="T301" s="297" t="s">
        <v>1292</v>
      </c>
      <c r="U301" s="297" t="s">
        <v>1292</v>
      </c>
      <c r="V301" s="297" t="s">
        <v>1292</v>
      </c>
      <c r="W301" s="297" t="s">
        <v>1292</v>
      </c>
      <c r="X301" s="297" t="s">
        <v>1292</v>
      </c>
      <c r="Y301" s="297" t="s">
        <v>1292</v>
      </c>
      <c r="Z301" s="297"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799</v>
      </c>
      <c r="C302" s="282" t="s">
        <v>1404</v>
      </c>
      <c r="D302" s="262" t="s">
        <v>1405</v>
      </c>
      <c r="E302" s="174"/>
      <c r="F302" s="174"/>
      <c r="G302" s="174" t="s">
        <v>943</v>
      </c>
      <c r="H302" s="174">
        <f t="shared" si="626"/>
        <v>0</v>
      </c>
      <c r="I302" s="174" t="s">
        <v>1406</v>
      </c>
      <c r="J302" s="297"/>
      <c r="K302" s="174" t="s">
        <v>1377</v>
      </c>
      <c r="L302" s="174">
        <v>0.2</v>
      </c>
      <c r="M302" s="174" t="s">
        <v>1378</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7"/>
      <c r="K304" s="118" t="s">
        <v>1377</v>
      </c>
      <c r="L304" s="297"/>
      <c r="M304" s="118" t="s">
        <v>1378</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7"/>
      <c r="K305" s="118" t="s">
        <v>1396</v>
      </c>
      <c r="L305" s="297"/>
      <c r="M305" s="118" t="s">
        <v>1417</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7"/>
      <c r="M306" s="118" t="s">
        <v>1235</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13557.22</v>
      </c>
      <c r="K307" s="114" t="s">
        <v>1243</v>
      </c>
      <c r="L307" s="114">
        <f>H307/J307/N307</f>
        <v>0</v>
      </c>
      <c r="M307" s="114" t="s">
        <v>806</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7"/>
      <c r="K310" s="118" t="s">
        <v>1150</v>
      </c>
      <c r="L310" s="297"/>
      <c r="M310" s="118" t="s">
        <v>1183</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7"/>
      <c r="K311" s="118" t="s">
        <v>1150</v>
      </c>
      <c r="L311" s="297"/>
      <c r="M311" s="118" t="s">
        <v>1183</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7"/>
      <c r="K312" s="118" t="s">
        <v>1150</v>
      </c>
      <c r="L312" s="297"/>
      <c r="M312" s="118" t="s">
        <v>1183</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7"/>
      <c r="K313" s="118" t="s">
        <v>1150</v>
      </c>
      <c r="L313" s="297"/>
      <c r="M313" s="118" t="s">
        <v>1183</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8" customFormat="1" ht="33.95" hidden="1" customHeight="1" outlineLevel="3" spans="2:66">
      <c r="B314" s="114" t="s">
        <v>799</v>
      </c>
      <c r="C314" s="115" t="s">
        <v>1440</v>
      </c>
      <c r="D314" s="48" t="s">
        <v>1441</v>
      </c>
      <c r="E314" s="114"/>
      <c r="F314" s="114"/>
      <c r="G314" s="114" t="s">
        <v>943</v>
      </c>
      <c r="H314" s="304">
        <f t="shared" si="645"/>
        <v>0</v>
      </c>
      <c r="I314" s="304" t="s">
        <v>1177</v>
      </c>
      <c r="J314" s="304">
        <f>AVERAGE(AD314,AG314,AJ314,AM314,AP314,AS314,AV314,AY314,BB314,BE314,BH314,BK314)</f>
        <v>13557.22</v>
      </c>
      <c r="K314" s="304" t="s">
        <v>1033</v>
      </c>
      <c r="L314" s="304" t="e">
        <f>AVERAGE(AE314,AH314,AK314,AN314,AQ314,AT314,AW314,AZ314,BC314,BF314,BI314,BL314)</f>
        <v>#DIV/0!</v>
      </c>
      <c r="M314" s="114" t="s">
        <v>806</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13557.22</v>
      </c>
      <c r="AE314" s="297"/>
      <c r="AF314" s="114">
        <f>AG314*AH314</f>
        <v>0</v>
      </c>
      <c r="AG314" s="114">
        <f>VLOOKUP($I314,'1-1 项目基础信息'!$F:$S,4,FALSE)</f>
        <v>13557.22</v>
      </c>
      <c r="AH314" s="297"/>
      <c r="AI314" s="114">
        <f>AJ314*AK314</f>
        <v>0</v>
      </c>
      <c r="AJ314" s="114">
        <f>VLOOKUP($I314,'1-1 项目基础信息'!$F:$S,5,FALSE)</f>
        <v>13557.22</v>
      </c>
      <c r="AK314" s="297"/>
      <c r="AL314" s="114">
        <f>AM314*AN314</f>
        <v>0</v>
      </c>
      <c r="AM314" s="114">
        <f>VLOOKUP($I314,'1-1 项目基础信息'!$F:$S,6,FALSE)</f>
        <v>13557.22</v>
      </c>
      <c r="AN314" s="297"/>
      <c r="AO314" s="114">
        <f>AP314*AQ314</f>
        <v>0</v>
      </c>
      <c r="AP314" s="114">
        <f>VLOOKUP($I314,'1-1 项目基础信息'!$F:$S,7,FALSE)</f>
        <v>13557.22</v>
      </c>
      <c r="AQ314" s="297"/>
      <c r="AR314" s="114">
        <f>AS314*AT314</f>
        <v>0</v>
      </c>
      <c r="AS314" s="114">
        <f>VLOOKUP($I314,'1-1 项目基础信息'!$F:$S,8,FALSE)</f>
        <v>13557.22</v>
      </c>
      <c r="AT314" s="297"/>
      <c r="AU314" s="114">
        <f>AV314*AW314</f>
        <v>0</v>
      </c>
      <c r="AV314" s="114">
        <f>VLOOKUP($I314,'1-1 项目基础信息'!$F:$S,9,FALSE)</f>
        <v>13557.22</v>
      </c>
      <c r="AW314" s="297"/>
      <c r="AX314" s="114">
        <f>AY314*AZ314</f>
        <v>0</v>
      </c>
      <c r="AY314" s="114">
        <f>VLOOKUP($I314,'1-1 项目基础信息'!$F:$S,10,FALSE)</f>
        <v>13557.22</v>
      </c>
      <c r="AZ314" s="297"/>
      <c r="BA314" s="114">
        <f>BB314*BC314</f>
        <v>0</v>
      </c>
      <c r="BB314" s="114">
        <f>VLOOKUP($I314,'1-1 项目基础信息'!$F:$S,11,FALSE)</f>
        <v>13557.22</v>
      </c>
      <c r="BC314" s="297"/>
      <c r="BD314" s="114">
        <f>BE314*BF314</f>
        <v>0</v>
      </c>
      <c r="BE314" s="114">
        <f>VLOOKUP($I314,'1-1 项目基础信息'!$F:$S,12,FALSE)</f>
        <v>13557.22</v>
      </c>
      <c r="BF314" s="297"/>
      <c r="BG314" s="114">
        <f>BH314*BI314</f>
        <v>0</v>
      </c>
      <c r="BH314" s="114">
        <f>VLOOKUP($I314,'1-1 项目基础信息'!$F:$S,13,FALSE)</f>
        <v>13557.22</v>
      </c>
      <c r="BI314" s="297"/>
      <c r="BJ314" s="114">
        <f>BK314*BL314</f>
        <v>0</v>
      </c>
      <c r="BK314" s="114">
        <f>VLOOKUP($I314,'1-1 项目基础信息'!$F:$S,14,FALSE)</f>
        <v>13557.22</v>
      </c>
      <c r="BL314" s="306"/>
      <c r="BM314" s="310"/>
      <c r="BN314" s="312"/>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7"/>
      <c r="K316" s="118" t="s">
        <v>1396</v>
      </c>
      <c r="L316" s="297"/>
      <c r="M316" s="118" t="s">
        <v>1448</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7"/>
      <c r="K317" s="118" t="s">
        <v>1396</v>
      </c>
      <c r="L317" s="297"/>
      <c r="M317" s="118" t="s">
        <v>1448</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7"/>
      <c r="K318" s="118" t="s">
        <v>1396</v>
      </c>
      <c r="L318" s="297"/>
      <c r="M318" s="118" t="s">
        <v>1448</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7"/>
      <c r="K319" s="118" t="s">
        <v>1396</v>
      </c>
      <c r="L319" s="297"/>
      <c r="M319" s="118" t="s">
        <v>1448</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7"/>
      <c r="K320" s="118" t="s">
        <v>1396</v>
      </c>
      <c r="L320" s="297"/>
      <c r="M320" s="118" t="s">
        <v>1448</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7"/>
      <c r="K321" s="118" t="s">
        <v>1396</v>
      </c>
      <c r="L321" s="297"/>
      <c r="M321" s="118" t="s">
        <v>1448</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7"/>
      <c r="K322" s="118" t="s">
        <v>1396</v>
      </c>
      <c r="L322" s="297"/>
      <c r="M322" s="118" t="s">
        <v>1448</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7"/>
      <c r="K323" s="118" t="s">
        <v>1396</v>
      </c>
      <c r="L323" s="297"/>
      <c r="M323" s="118" t="s">
        <v>1448</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7"/>
      <c r="K324" s="118" t="s">
        <v>1396</v>
      </c>
      <c r="L324" s="297"/>
      <c r="M324" s="118" t="s">
        <v>1448</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7"/>
      <c r="K325" s="118" t="s">
        <v>1396</v>
      </c>
      <c r="L325" s="297"/>
      <c r="M325" s="118" t="s">
        <v>1448</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7"/>
      <c r="K326" s="118" t="s">
        <v>1396</v>
      </c>
      <c r="L326" s="297"/>
      <c r="M326" s="118" t="s">
        <v>1448</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7"/>
      <c r="K327" s="118" t="s">
        <v>1396</v>
      </c>
      <c r="L327" s="297"/>
      <c r="M327" s="118" t="s">
        <v>1448</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7"/>
      <c r="K328" s="118" t="s">
        <v>1396</v>
      </c>
      <c r="L328" s="297"/>
      <c r="M328" s="118" t="s">
        <v>1448</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7"/>
      <c r="K329" s="118" t="s">
        <v>1396</v>
      </c>
      <c r="L329" s="297"/>
      <c r="M329" s="118" t="s">
        <v>1448</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7"/>
      <c r="K330" s="118" t="s">
        <v>1396</v>
      </c>
      <c r="L330" s="297"/>
      <c r="M330" s="118" t="s">
        <v>1448</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7"/>
      <c r="K331" s="118" t="s">
        <v>1396</v>
      </c>
      <c r="L331" s="297"/>
      <c r="M331" s="118" t="s">
        <v>1448</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7"/>
      <c r="K332" s="118" t="s">
        <v>1396</v>
      </c>
      <c r="L332" s="297"/>
      <c r="M332" s="118" t="s">
        <v>1448</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7"/>
      <c r="K333" s="118" t="s">
        <v>1396</v>
      </c>
      <c r="L333" s="297"/>
      <c r="M333" s="118" t="s">
        <v>1448</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7"/>
      <c r="K334" s="118" t="s">
        <v>1396</v>
      </c>
      <c r="L334" s="297"/>
      <c r="M334" s="118" t="s">
        <v>1448</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7"/>
      <c r="K336" s="118" t="s">
        <v>1150</v>
      </c>
      <c r="L336" s="297"/>
      <c r="M336" s="118" t="s">
        <v>1183</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7"/>
      <c r="K337" s="118" t="s">
        <v>1150</v>
      </c>
      <c r="L337" s="297"/>
      <c r="M337" s="118" t="s">
        <v>1183</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7"/>
      <c r="K338" s="118" t="s">
        <v>1150</v>
      </c>
      <c r="L338" s="297"/>
      <c r="M338" s="118" t="s">
        <v>1183</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7"/>
      <c r="K339" s="118" t="s">
        <v>1150</v>
      </c>
      <c r="L339" s="297"/>
      <c r="M339" s="118" t="s">
        <v>1183</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7"/>
      <c r="K340" s="118" t="s">
        <v>1150</v>
      </c>
      <c r="L340" s="297"/>
      <c r="M340" s="118" t="s">
        <v>1183</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7"/>
      <c r="K341" s="118" t="s">
        <v>1150</v>
      </c>
      <c r="L341" s="297"/>
      <c r="M341" s="118" t="s">
        <v>1183</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7"/>
      <c r="K342" s="118" t="s">
        <v>1150</v>
      </c>
      <c r="L342" s="297"/>
      <c r="M342" s="118" t="s">
        <v>1183</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7"/>
      <c r="K343" s="118" t="s">
        <v>1150</v>
      </c>
      <c r="L343" s="297"/>
      <c r="M343" s="118" t="s">
        <v>1183</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7"/>
      <c r="K344" s="118" t="s">
        <v>1150</v>
      </c>
      <c r="L344" s="297"/>
      <c r="M344" s="118" t="s">
        <v>1183</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7"/>
      <c r="K345" s="118" t="s">
        <v>1150</v>
      </c>
      <c r="L345" s="297"/>
      <c r="M345" s="118" t="s">
        <v>1183</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7"/>
      <c r="K346" s="118" t="s">
        <v>1150</v>
      </c>
      <c r="L346" s="297"/>
      <c r="M346" s="118" t="s">
        <v>1183</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7"/>
      <c r="K347" s="118" t="s">
        <v>1150</v>
      </c>
      <c r="L347" s="297"/>
      <c r="M347" s="118" t="s">
        <v>1183</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7"/>
      <c r="K348" s="118" t="s">
        <v>1150</v>
      </c>
      <c r="L348" s="297"/>
      <c r="M348" s="118" t="s">
        <v>1183</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7"/>
      <c r="M349" s="118" t="s">
        <v>1537</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7"/>
      <c r="M350" s="118" t="s">
        <v>1537</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7"/>
      <c r="M351" s="118" t="s">
        <v>1537</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7"/>
      <c r="M352" s="118" t="s">
        <v>1537</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7"/>
      <c r="K353" s="118" t="s">
        <v>1150</v>
      </c>
      <c r="L353" s="297"/>
      <c r="M353" s="118" t="s">
        <v>1183</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7"/>
      <c r="K354" s="118" t="s">
        <v>1150</v>
      </c>
      <c r="L354" s="297"/>
      <c r="M354" s="118" t="s">
        <v>1183</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7"/>
      <c r="K355" s="118" t="s">
        <v>1150</v>
      </c>
      <c r="L355" s="297"/>
      <c r="M355" s="118" t="s">
        <v>1183</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7"/>
      <c r="K357" s="118" t="s">
        <v>1396</v>
      </c>
      <c r="L357" s="297"/>
      <c r="M357" s="118" t="s">
        <v>1448</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7"/>
      <c r="K358" s="118" t="s">
        <v>1396</v>
      </c>
      <c r="L358" s="297"/>
      <c r="M358" s="118" t="s">
        <v>1448</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7"/>
      <c r="K359" s="118" t="s">
        <v>1396</v>
      </c>
      <c r="L359" s="297"/>
      <c r="M359" s="118" t="s">
        <v>1448</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7"/>
      <c r="K360" s="118" t="s">
        <v>1396</v>
      </c>
      <c r="L360" s="297"/>
      <c r="M360" s="118" t="s">
        <v>1448</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7"/>
      <c r="K361" s="118" t="s">
        <v>1396</v>
      </c>
      <c r="L361" s="297"/>
      <c r="M361" s="118" t="s">
        <v>1448</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7"/>
      <c r="K362" s="114" t="s">
        <v>1396</v>
      </c>
      <c r="L362" s="297"/>
      <c r="M362" s="114" t="s">
        <v>1448</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13557.22</v>
      </c>
      <c r="K363" s="114" t="s">
        <v>1033</v>
      </c>
      <c r="L363" s="297"/>
      <c r="M363" s="114" t="s">
        <v>1196</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7"/>
      <c r="K364" s="114" t="s">
        <v>1396</v>
      </c>
      <c r="L364" s="297"/>
      <c r="M364" s="114" t="s">
        <v>1448</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7"/>
      <c r="K366" s="118" t="s">
        <v>1396</v>
      </c>
      <c r="L366" s="297"/>
      <c r="M366" s="118" t="s">
        <v>1448</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7"/>
      <c r="K367" s="118" t="s">
        <v>1396</v>
      </c>
      <c r="L367" s="297"/>
      <c r="M367" s="118" t="s">
        <v>1448</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7"/>
      <c r="K368" s="118" t="s">
        <v>1396</v>
      </c>
      <c r="L368" s="297"/>
      <c r="M368" s="118" t="s">
        <v>1448</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7"/>
      <c r="K369" s="118" t="s">
        <v>1396</v>
      </c>
      <c r="L369" s="297"/>
      <c r="M369" s="118" t="s">
        <v>1448</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7"/>
      <c r="K370" s="118" t="s">
        <v>1396</v>
      </c>
      <c r="L370" s="297"/>
      <c r="M370" s="118" t="s">
        <v>1448</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7"/>
      <c r="K371" s="114" t="s">
        <v>1396</v>
      </c>
      <c r="L371" s="297"/>
      <c r="M371" s="114" t="s">
        <v>1448</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7"/>
      <c r="K372" s="114" t="s">
        <v>1396</v>
      </c>
      <c r="L372" s="297"/>
      <c r="M372" s="114" t="s">
        <v>1448</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7"/>
      <c r="K374" s="118" t="s">
        <v>1396</v>
      </c>
      <c r="L374" s="297"/>
      <c r="M374" s="118" t="s">
        <v>1448</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7"/>
      <c r="K375" s="118" t="s">
        <v>1396</v>
      </c>
      <c r="L375" s="297"/>
      <c r="M375" s="118" t="s">
        <v>1448</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7"/>
      <c r="K376" s="118" t="s">
        <v>1396</v>
      </c>
      <c r="L376" s="297"/>
      <c r="M376" s="118" t="s">
        <v>1448</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7"/>
      <c r="K377" s="118" t="s">
        <v>1396</v>
      </c>
      <c r="L377" s="297"/>
      <c r="M377" s="118" t="s">
        <v>1448</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7"/>
      <c r="K378" s="118" t="s">
        <v>1396</v>
      </c>
      <c r="L378" s="297"/>
      <c r="M378" s="118" t="s">
        <v>1448</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7"/>
      <c r="K379" s="118" t="s">
        <v>1396</v>
      </c>
      <c r="L379" s="297"/>
      <c r="M379" s="118" t="s">
        <v>1448</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7">
        <f>预算主表!P89</f>
        <v>0</v>
      </c>
      <c r="M380" s="114" t="s">
        <v>1377</v>
      </c>
      <c r="N380" s="114">
        <f t="shared" si="727"/>
        <v>1</v>
      </c>
      <c r="O380" s="315" t="s">
        <v>1292</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spans="2:66">
      <c r="B381" s="108" t="s">
        <v>794</v>
      </c>
      <c r="C381" s="109">
        <v>1.2</v>
      </c>
      <c r="D381" s="107" t="s">
        <v>9</v>
      </c>
      <c r="E381" s="108"/>
      <c r="F381" s="108"/>
      <c r="G381" s="108"/>
      <c r="H381" s="108">
        <f>H382+H430+H461+H486+H502+H540</f>
        <v>1200</v>
      </c>
      <c r="N381" s="302"/>
      <c r="O381" s="285"/>
      <c r="P381" s="285"/>
      <c r="Q381" s="285"/>
      <c r="R381" s="285"/>
      <c r="S381" s="285"/>
      <c r="T381" s="285"/>
      <c r="U381" s="285"/>
      <c r="V381" s="285"/>
      <c r="W381" s="285"/>
      <c r="X381" s="285"/>
      <c r="Y381" s="285"/>
      <c r="Z381" s="285"/>
      <c r="AA381" s="285"/>
      <c r="AB381" s="108">
        <f t="shared" ref="AB381:AF381" si="741">AB382+AB430+AB461+AB486+AB502+AB540</f>
        <v>1200</v>
      </c>
      <c r="AC381" s="108">
        <f t="shared" si="741"/>
        <v>1200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9" customFormat="1" ht="33.95" customHeight="1" outlineLevel="2" spans="2:66">
      <c r="B382" s="111" t="s">
        <v>794</v>
      </c>
      <c r="C382" s="112" t="s">
        <v>1626</v>
      </c>
      <c r="D382" s="29" t="s">
        <v>1627</v>
      </c>
      <c r="E382" s="111"/>
      <c r="F382" s="111"/>
      <c r="G382" s="111"/>
      <c r="H382" s="111">
        <f>H383+H399+H410+H418</f>
        <v>1200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1200</v>
      </c>
      <c r="AC382" s="111">
        <f t="shared" si="742"/>
        <v>1200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8" customFormat="1" ht="33.95" customHeight="1" outlineLevel="3" spans="2:66">
      <c r="B383" s="114" t="s">
        <v>794</v>
      </c>
      <c r="C383" s="115" t="s">
        <v>1628</v>
      </c>
      <c r="D383" s="48" t="s">
        <v>1629</v>
      </c>
      <c r="E383" s="114"/>
      <c r="F383" s="114"/>
      <c r="G383" s="114"/>
      <c r="H383" s="114">
        <f>SUM(H384:H398)</f>
        <v>1200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1200</v>
      </c>
      <c r="AC383" s="114">
        <f t="shared" si="743"/>
        <v>1200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customHeight="1" outlineLevel="5" spans="2:66">
      <c r="B384" s="118" t="s">
        <v>799</v>
      </c>
      <c r="C384" s="119" t="s">
        <v>1630</v>
      </c>
      <c r="D384" s="117" t="s">
        <v>1631</v>
      </c>
      <c r="E384" s="118" t="s">
        <v>1632</v>
      </c>
      <c r="F384" s="118" t="s">
        <v>1625</v>
      </c>
      <c r="G384" s="118" t="s">
        <v>943</v>
      </c>
      <c r="H384" s="118">
        <f t="shared" ref="H384:H398" si="744">J384*L384</f>
        <v>1200</v>
      </c>
      <c r="I384" s="118" t="s">
        <v>1242</v>
      </c>
      <c r="J384" s="297">
        <f>预算主表!P77/2000</f>
        <v>0.6</v>
      </c>
      <c r="K384" s="118" t="s">
        <v>1633</v>
      </c>
      <c r="L384" s="118">
        <v>2000</v>
      </c>
      <c r="M384" s="118" t="s">
        <v>1634</v>
      </c>
      <c r="N384" s="118">
        <f t="shared" ref="N384:N398" si="745">COUNTA(O384:Z384)</f>
        <v>1</v>
      </c>
      <c r="O384" s="316" t="s">
        <v>1292</v>
      </c>
      <c r="P384" s="316"/>
      <c r="Q384" s="316"/>
      <c r="R384" s="316"/>
      <c r="S384" s="316"/>
      <c r="T384" s="316"/>
      <c r="U384" s="316"/>
      <c r="V384" s="316"/>
      <c r="W384" s="316"/>
      <c r="X384" s="316"/>
      <c r="Y384" s="316"/>
      <c r="Z384" s="316"/>
      <c r="AA384" s="118"/>
      <c r="AB384" s="118">
        <f t="shared" ref="AB384:AB395" si="746">SUM(AC384,AF384,AI384,AL384,AO384,AR384,AU384,AX384,BA384,BD384,BG384,BJ384)</f>
        <v>1200</v>
      </c>
      <c r="AC384" s="118">
        <f>IF(O384="√",$J384*$L384/$N384,0)</f>
        <v>1200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7"/>
      <c r="K385" s="118" t="s">
        <v>1633</v>
      </c>
      <c r="L385" s="118">
        <v>165</v>
      </c>
      <c r="M385" s="118" t="s">
        <v>1634</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7"/>
      <c r="K386" s="118" t="s">
        <v>1633</v>
      </c>
      <c r="L386" s="118">
        <v>540</v>
      </c>
      <c r="M386" s="118" t="s">
        <v>1634</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7"/>
      <c r="K387" s="118" t="s">
        <v>1633</v>
      </c>
      <c r="L387" s="118">
        <v>930</v>
      </c>
      <c r="M387" s="118" t="s">
        <v>1634</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7"/>
      <c r="K388" s="118" t="s">
        <v>1633</v>
      </c>
      <c r="L388" s="118">
        <v>230</v>
      </c>
      <c r="M388" s="118" t="s">
        <v>1634</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7"/>
      <c r="K389" s="118" t="s">
        <v>1633</v>
      </c>
      <c r="L389" s="118">
        <v>500</v>
      </c>
      <c r="M389" s="118" t="s">
        <v>1634</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7"/>
      <c r="K390" s="118" t="s">
        <v>1633</v>
      </c>
      <c r="L390" s="118">
        <v>150</v>
      </c>
      <c r="M390" s="118" t="s">
        <v>1634</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7"/>
      <c r="K391" s="118" t="s">
        <v>1633</v>
      </c>
      <c r="L391" s="118">
        <f>SUMIFS('附表1-数据库'!$D$2:$D$22,'附表1-数据库'!$B$2:$B$22,$D391,'附表1-数据库'!$C$2:$C$22,'1-1 项目基础信息'!$D$13)</f>
        <v>0</v>
      </c>
      <c r="M391" s="118" t="s">
        <v>1634</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7"/>
      <c r="K392" s="118" t="s">
        <v>1633</v>
      </c>
      <c r="L392" s="118">
        <f>SUMIFS('附表1-数据库'!$D$2:$D$22,'附表1-数据库'!$B$2:$B$22,$D392,'附表1-数据库'!$C$2:$C$22,'1-1 项目基础信息'!$D$13)</f>
        <v>0</v>
      </c>
      <c r="M392" s="118" t="s">
        <v>1634</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7"/>
      <c r="K393" s="118" t="s">
        <v>1633</v>
      </c>
      <c r="L393" s="118">
        <f>SUMIFS('附表1-数据库'!$D$2:$D$22,'附表1-数据库'!$B$2:$B$22,$D393,'附表1-数据库'!$C$2:$C$22,'1-1 项目基础信息'!$D$13)</f>
        <v>0</v>
      </c>
      <c r="M393" s="118" t="s">
        <v>1634</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7"/>
      <c r="K394" s="118" t="s">
        <v>1633</v>
      </c>
      <c r="L394" s="118">
        <f>SUMIFS('附表1-数据库'!$D$2:$D$22,'附表1-数据库'!$B$2:$B$22,$D394,'附表1-数据库'!$C$2:$C$22,'1-1 项目基础信息'!$D$13)</f>
        <v>0</v>
      </c>
      <c r="M394" s="118" t="s">
        <v>1634</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7"/>
      <c r="K395" s="118" t="s">
        <v>1633</v>
      </c>
      <c r="L395" s="118">
        <f>SUMIFS('附表1-数据库'!$D$2:$D$22,'附表1-数据库'!$B$2:$B$22,$D395,'附表1-数据库'!$C$2:$C$22,'1-1 项目基础信息'!$D$13)</f>
        <v>0</v>
      </c>
      <c r="M395" s="118" t="s">
        <v>1634</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7"/>
      <c r="K396" s="118" t="s">
        <v>1633</v>
      </c>
      <c r="L396" s="118">
        <f>SUMIFS('附表1-数据库'!$D$2:$D$22,'附表1-数据库'!$B$2:$B$22,$D396,'附表1-数据库'!$C$2:$C$22,'1-1 项目基础信息'!$D$13)</f>
        <v>0</v>
      </c>
      <c r="M396" s="118" t="s">
        <v>1634</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7"/>
      <c r="K397" s="118" t="s">
        <v>1633</v>
      </c>
      <c r="L397" s="118">
        <f>SUMIFS('附表1-数据库'!$D$2:$D$22,'附表1-数据库'!$B$2:$B$22,$D397,'附表1-数据库'!$C$2:$C$22,'1-1 项目基础信息'!$D$13)</f>
        <v>0</v>
      </c>
      <c r="M397" s="118" t="s">
        <v>1634</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7"/>
      <c r="K398" s="118" t="s">
        <v>1633</v>
      </c>
      <c r="L398" s="297"/>
      <c r="M398" s="118" t="s">
        <v>1634</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7"/>
      <c r="K400" s="118" t="s">
        <v>1396</v>
      </c>
      <c r="L400" s="118">
        <v>20</v>
      </c>
      <c r="M400" s="118" t="s">
        <v>1675</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7"/>
      <c r="K401" s="118" t="s">
        <v>1396</v>
      </c>
      <c r="L401" s="118">
        <v>55</v>
      </c>
      <c r="M401" s="118" t="s">
        <v>1675</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7"/>
      <c r="K402" s="118" t="s">
        <v>1396</v>
      </c>
      <c r="L402" s="118">
        <v>300</v>
      </c>
      <c r="M402" s="118" t="s">
        <v>1675</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7"/>
      <c r="K403" s="118" t="s">
        <v>1396</v>
      </c>
      <c r="L403" s="118">
        <v>15</v>
      </c>
      <c r="M403" s="118" t="s">
        <v>1675</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7"/>
      <c r="K404" s="118" t="s">
        <v>1396</v>
      </c>
      <c r="L404" s="118">
        <v>50</v>
      </c>
      <c r="M404" s="118" t="s">
        <v>1675</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7"/>
      <c r="K405" s="118" t="s">
        <v>1396</v>
      </c>
      <c r="L405" s="118">
        <v>565</v>
      </c>
      <c r="M405" s="118" t="s">
        <v>1675</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7"/>
      <c r="K406" s="118" t="s">
        <v>1033</v>
      </c>
      <c r="L406" s="118">
        <v>55</v>
      </c>
      <c r="M406" s="118" t="s">
        <v>1694</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7"/>
      <c r="K407" s="118" t="s">
        <v>1396</v>
      </c>
      <c r="L407" s="118">
        <v>33</v>
      </c>
      <c r="M407" s="118" t="s">
        <v>1675</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7"/>
      <c r="K408" s="118" t="s">
        <v>1396</v>
      </c>
      <c r="L408" s="118">
        <v>101.2</v>
      </c>
      <c r="M408" s="118" t="s">
        <v>1675</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7"/>
      <c r="K409" s="118" t="s">
        <v>1396</v>
      </c>
      <c r="L409" s="297"/>
      <c r="M409" s="118" t="s">
        <v>1448</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7"/>
      <c r="K411" s="118" t="s">
        <v>1201</v>
      </c>
      <c r="L411" s="118">
        <v>12</v>
      </c>
      <c r="M411" s="118" t="s">
        <v>1708</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7"/>
      <c r="K412" s="118" t="s">
        <v>1201</v>
      </c>
      <c r="L412" s="118">
        <v>10</v>
      </c>
      <c r="M412" s="118" t="s">
        <v>1708</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7"/>
      <c r="K413" s="118" t="s">
        <v>1396</v>
      </c>
      <c r="L413" s="118">
        <v>105</v>
      </c>
      <c r="M413" s="118" t="s">
        <v>1675</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7"/>
      <c r="K414" s="118" t="s">
        <v>1033</v>
      </c>
      <c r="L414" s="118">
        <v>55</v>
      </c>
      <c r="M414" s="118" t="s">
        <v>1694</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7"/>
      <c r="K415" s="118" t="s">
        <v>1396</v>
      </c>
      <c r="L415" s="118">
        <v>140</v>
      </c>
      <c r="M415" s="118" t="s">
        <v>1675</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7"/>
      <c r="K416" s="118" t="s">
        <v>1396</v>
      </c>
      <c r="L416" s="118">
        <v>30</v>
      </c>
      <c r="M416" s="118" t="s">
        <v>1675</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7"/>
      <c r="K417" s="118" t="s">
        <v>1396</v>
      </c>
      <c r="L417" s="118">
        <v>10</v>
      </c>
      <c r="M417" s="118" t="s">
        <v>1675</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8" customFormat="1" ht="33.95" hidden="1" customHeight="1" outlineLevel="3" collapsed="1" spans="2:66">
      <c r="B418" s="114" t="s">
        <v>794</v>
      </c>
      <c r="C418" s="115" t="s">
        <v>1726</v>
      </c>
      <c r="D418" s="48" t="s">
        <v>1727</v>
      </c>
      <c r="E418" s="114"/>
      <c r="F418" s="114"/>
      <c r="G418" s="114" t="s">
        <v>943</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799</v>
      </c>
      <c r="C419" s="119" t="s">
        <v>1728</v>
      </c>
      <c r="D419" s="117" t="s">
        <v>1729</v>
      </c>
      <c r="E419" s="118" t="s">
        <v>1730</v>
      </c>
      <c r="F419" s="118" t="s">
        <v>1625</v>
      </c>
      <c r="G419" s="118" t="s">
        <v>943</v>
      </c>
      <c r="H419" s="118">
        <f t="shared" ref="H419:H429" si="791">J419*L419</f>
        <v>0</v>
      </c>
      <c r="I419" s="118" t="s">
        <v>1242</v>
      </c>
      <c r="J419" s="297">
        <f>预算主表!P94/L419</f>
        <v>0</v>
      </c>
      <c r="K419" s="118" t="s">
        <v>1396</v>
      </c>
      <c r="L419" s="118">
        <v>560.5</v>
      </c>
      <c r="M419" s="118" t="s">
        <v>1675</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7"/>
      <c r="K420" s="118" t="s">
        <v>1396</v>
      </c>
      <c r="L420" s="118">
        <v>85</v>
      </c>
      <c r="M420" s="118" t="s">
        <v>1675</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7"/>
      <c r="K421" s="118" t="s">
        <v>1396</v>
      </c>
      <c r="L421" s="118">
        <v>25</v>
      </c>
      <c r="M421" s="118" t="s">
        <v>1675</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7"/>
      <c r="K422" s="118" t="s">
        <v>1633</v>
      </c>
      <c r="L422" s="118">
        <v>19</v>
      </c>
      <c r="M422" s="118" t="s">
        <v>1634</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7"/>
      <c r="K423" s="118" t="s">
        <v>1633</v>
      </c>
      <c r="L423" s="118">
        <v>105</v>
      </c>
      <c r="M423" s="118" t="s">
        <v>1634</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7"/>
      <c r="K424" s="118" t="s">
        <v>1396</v>
      </c>
      <c r="L424" s="118">
        <v>5</v>
      </c>
      <c r="M424" s="118" t="s">
        <v>1675</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7"/>
      <c r="K425" s="118" t="s">
        <v>1396</v>
      </c>
      <c r="L425" s="118">
        <v>7.2</v>
      </c>
      <c r="M425" s="118" t="s">
        <v>1675</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7"/>
      <c r="K426" s="118" t="s">
        <v>1396</v>
      </c>
      <c r="L426" s="118">
        <v>5</v>
      </c>
      <c r="M426" s="118" t="s">
        <v>1675</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7"/>
      <c r="K427" s="118" t="s">
        <v>1754</v>
      </c>
      <c r="L427" s="118">
        <v>6.5</v>
      </c>
      <c r="M427" s="118" t="s">
        <v>1755</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7"/>
      <c r="K428" s="118" t="s">
        <v>1759</v>
      </c>
      <c r="L428" s="118">
        <v>20</v>
      </c>
      <c r="M428" s="118" t="s">
        <v>1760</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7"/>
      <c r="M429" s="118" t="s">
        <v>1763</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7"/>
      <c r="K432" s="118" t="s">
        <v>1150</v>
      </c>
      <c r="L432" s="118">
        <v>2230</v>
      </c>
      <c r="M432" s="118" t="s">
        <v>1770</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7"/>
      <c r="K433" s="118" t="s">
        <v>1150</v>
      </c>
      <c r="L433" s="118">
        <v>620</v>
      </c>
      <c r="M433" s="118" t="s">
        <v>1770</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7"/>
      <c r="K434" s="118" t="s">
        <v>1150</v>
      </c>
      <c r="L434" s="118">
        <v>3070</v>
      </c>
      <c r="M434" s="118" t="s">
        <v>1770</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7"/>
      <c r="K435" s="118" t="s">
        <v>1777</v>
      </c>
      <c r="L435" s="118">
        <v>2800</v>
      </c>
      <c r="M435" s="118" t="s">
        <v>1151</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7"/>
      <c r="K436" s="118" t="s">
        <v>1150</v>
      </c>
      <c r="L436" s="118">
        <v>10400</v>
      </c>
      <c r="M436" s="118" t="s">
        <v>1770</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7"/>
      <c r="K437" s="118" t="s">
        <v>1150</v>
      </c>
      <c r="L437" s="118">
        <v>700</v>
      </c>
      <c r="M437" s="118" t="s">
        <v>1770</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7"/>
      <c r="K438" s="118" t="s">
        <v>1777</v>
      </c>
      <c r="L438" s="118">
        <v>2800</v>
      </c>
      <c r="M438" s="118" t="s">
        <v>1151</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7"/>
      <c r="K439" s="118" t="s">
        <v>1777</v>
      </c>
      <c r="L439" s="118">
        <v>6000</v>
      </c>
      <c r="M439" s="118" t="s">
        <v>1770</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7"/>
      <c r="K441" s="118" t="s">
        <v>1396</v>
      </c>
      <c r="L441" s="118">
        <v>23.9300583657588</v>
      </c>
      <c r="M441" s="118" t="s">
        <v>1675</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7"/>
      <c r="K442" s="118" t="s">
        <v>1396</v>
      </c>
      <c r="L442" s="118">
        <v>130</v>
      </c>
      <c r="M442" s="118" t="s">
        <v>1675</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7"/>
      <c r="K443" s="118" t="s">
        <v>1396</v>
      </c>
      <c r="L443" s="118">
        <v>28.7562388818298</v>
      </c>
      <c r="M443" s="118" t="s">
        <v>1675</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7"/>
      <c r="K444" s="118" t="s">
        <v>1396</v>
      </c>
      <c r="L444" s="118">
        <v>20.8170650529501</v>
      </c>
      <c r="M444" s="118" t="s">
        <v>1675</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7"/>
      <c r="K445" s="118" t="s">
        <v>1150</v>
      </c>
      <c r="L445" s="118">
        <v>260</v>
      </c>
      <c r="M445" s="118" t="s">
        <v>1770</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7"/>
      <c r="K447" s="118" t="s">
        <v>1804</v>
      </c>
      <c r="L447" s="118">
        <v>48</v>
      </c>
      <c r="M447" s="118" t="s">
        <v>1805</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7"/>
      <c r="K448" s="118" t="s">
        <v>1804</v>
      </c>
      <c r="L448" s="118">
        <v>338</v>
      </c>
      <c r="M448" s="118" t="s">
        <v>1805</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7"/>
      <c r="K449" s="118" t="s">
        <v>1396</v>
      </c>
      <c r="L449" s="118">
        <v>190</v>
      </c>
      <c r="M449" s="118" t="s">
        <v>1675</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7"/>
      <c r="K450" s="118" t="s">
        <v>1396</v>
      </c>
      <c r="L450" s="118">
        <v>500</v>
      </c>
      <c r="M450" s="118" t="s">
        <v>1675</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7"/>
      <c r="K451" s="118" t="s">
        <v>1396</v>
      </c>
      <c r="L451" s="118">
        <v>80</v>
      </c>
      <c r="M451" s="118" t="s">
        <v>1675</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7"/>
      <c r="K452" s="118" t="s">
        <v>1396</v>
      </c>
      <c r="L452" s="118">
        <v>10</v>
      </c>
      <c r="M452" s="118" t="s">
        <v>1675</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7"/>
      <c r="K453" s="118" t="s">
        <v>1759</v>
      </c>
      <c r="L453" s="118">
        <v>37</v>
      </c>
      <c r="M453" s="118" t="s">
        <v>1760</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7"/>
      <c r="K454" s="118" t="s">
        <v>1297</v>
      </c>
      <c r="L454" s="118">
        <v>25</v>
      </c>
      <c r="M454" s="118" t="s">
        <v>1827</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7"/>
      <c r="K455" s="118" t="s">
        <v>1831</v>
      </c>
      <c r="L455" s="118">
        <v>9</v>
      </c>
      <c r="M455" s="118" t="s">
        <v>1832</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7"/>
      <c r="K456" s="118" t="s">
        <v>1836</v>
      </c>
      <c r="L456" s="118">
        <v>99</v>
      </c>
      <c r="M456" s="118" t="s">
        <v>1837</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7"/>
      <c r="K457" s="118" t="s">
        <v>1836</v>
      </c>
      <c r="L457" s="118">
        <v>120</v>
      </c>
      <c r="M457" s="118" t="s">
        <v>1837</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7"/>
      <c r="K458" s="118" t="s">
        <v>1836</v>
      </c>
      <c r="L458" s="118">
        <v>350</v>
      </c>
      <c r="M458" s="118" t="s">
        <v>1837</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7"/>
      <c r="K459" s="118" t="s">
        <v>1847</v>
      </c>
      <c r="L459" s="118">
        <v>10</v>
      </c>
      <c r="M459" s="118" t="s">
        <v>1848</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7"/>
      <c r="M460" s="118" t="s">
        <v>1244</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7"/>
      <c r="K463" s="118" t="s">
        <v>1150</v>
      </c>
      <c r="L463" s="118">
        <v>2850</v>
      </c>
      <c r="M463" s="118" t="s">
        <v>1770</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7"/>
      <c r="K464" s="118" t="s">
        <v>1150</v>
      </c>
      <c r="L464" s="118">
        <v>1180</v>
      </c>
      <c r="M464" s="118" t="s">
        <v>1770</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7"/>
      <c r="K465" s="118" t="s">
        <v>1150</v>
      </c>
      <c r="L465" s="118">
        <v>380</v>
      </c>
      <c r="M465" s="118" t="s">
        <v>1770</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7"/>
      <c r="K466" s="118" t="s">
        <v>1150</v>
      </c>
      <c r="L466" s="118">
        <v>2330</v>
      </c>
      <c r="M466" s="118" t="s">
        <v>1770</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7"/>
      <c r="K467" s="118" t="s">
        <v>1150</v>
      </c>
      <c r="L467" s="118">
        <v>2400</v>
      </c>
      <c r="M467" s="118" t="s">
        <v>1770</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7"/>
      <c r="K469" s="118" t="s">
        <v>1871</v>
      </c>
      <c r="L469" s="118">
        <v>2.6</v>
      </c>
      <c r="M469" s="118" t="s">
        <v>1872</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7"/>
      <c r="K470" s="118" t="s">
        <v>1871</v>
      </c>
      <c r="L470" s="118">
        <v>2.6</v>
      </c>
      <c r="M470" s="118" t="s">
        <v>1872</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7"/>
      <c r="K471" s="118" t="s">
        <v>1871</v>
      </c>
      <c r="L471" s="118">
        <v>2.6</v>
      </c>
      <c r="M471" s="118" t="s">
        <v>1872</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7"/>
      <c r="K472" s="118" t="s">
        <v>1880</v>
      </c>
      <c r="L472" s="118">
        <v>40</v>
      </c>
      <c r="M472" s="118" t="s">
        <v>1881</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7"/>
      <c r="K473" s="118" t="s">
        <v>1033</v>
      </c>
      <c r="L473" s="118">
        <v>17.33</v>
      </c>
      <c r="M473" s="118" t="s">
        <v>1694</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7"/>
      <c r="K474" s="118" t="s">
        <v>1887</v>
      </c>
      <c r="L474" s="118">
        <v>7</v>
      </c>
      <c r="M474" s="118" t="s">
        <v>1888</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7"/>
      <c r="K475" s="118" t="s">
        <v>1887</v>
      </c>
      <c r="L475" s="118">
        <v>1.5</v>
      </c>
      <c r="M475" s="118" t="s">
        <v>1888</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7"/>
      <c r="M476" s="118" t="s">
        <v>1244</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7"/>
      <c r="K478" s="118" t="s">
        <v>1847</v>
      </c>
      <c r="L478" s="118">
        <v>40</v>
      </c>
      <c r="M478" s="118" t="s">
        <v>1848</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7"/>
      <c r="K479" s="118" t="s">
        <v>1847</v>
      </c>
      <c r="L479" s="118">
        <v>85</v>
      </c>
      <c r="M479" s="118" t="s">
        <v>1848</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7"/>
      <c r="K480" s="118" t="s">
        <v>1831</v>
      </c>
      <c r="L480" s="118">
        <v>190</v>
      </c>
      <c r="M480" s="118" t="s">
        <v>1832</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7"/>
      <c r="K481" s="118" t="s">
        <v>1847</v>
      </c>
      <c r="L481" s="118">
        <v>28</v>
      </c>
      <c r="M481" s="118" t="s">
        <v>1848</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7"/>
      <c r="K482" s="118" t="s">
        <v>1831</v>
      </c>
      <c r="L482" s="118">
        <v>32</v>
      </c>
      <c r="M482" s="118" t="s">
        <v>1832</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7"/>
      <c r="K483" s="118" t="s">
        <v>1831</v>
      </c>
      <c r="L483" s="118">
        <v>180</v>
      </c>
      <c r="M483" s="118" t="s">
        <v>1832</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7"/>
      <c r="K484" s="118" t="s">
        <v>1847</v>
      </c>
      <c r="L484" s="118">
        <v>15</v>
      </c>
      <c r="M484" s="118" t="s">
        <v>1848</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7"/>
      <c r="K485" s="118" t="s">
        <v>1847</v>
      </c>
      <c r="L485" s="118">
        <v>25</v>
      </c>
      <c r="M485" s="118" t="s">
        <v>1848</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7"/>
      <c r="K488" s="118" t="s">
        <v>1396</v>
      </c>
      <c r="L488" s="118">
        <v>49</v>
      </c>
      <c r="M488" s="118" t="s">
        <v>1675</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7"/>
      <c r="K489" s="118" t="s">
        <v>1396</v>
      </c>
      <c r="L489" s="118">
        <v>42</v>
      </c>
      <c r="M489" s="118" t="s">
        <v>1675</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7"/>
      <c r="K490" s="118" t="s">
        <v>1633</v>
      </c>
      <c r="L490" s="118">
        <v>1262</v>
      </c>
      <c r="M490" s="118" t="s">
        <v>1634</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7"/>
      <c r="K491" s="118" t="s">
        <v>1396</v>
      </c>
      <c r="L491" s="118">
        <v>200</v>
      </c>
      <c r="M491" s="118" t="s">
        <v>1675</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7"/>
      <c r="K492" s="118" t="s">
        <v>1396</v>
      </c>
      <c r="L492" s="118">
        <v>30</v>
      </c>
      <c r="M492" s="118" t="s">
        <v>1675</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7"/>
      <c r="K494" s="118" t="s">
        <v>1396</v>
      </c>
      <c r="L494" s="118">
        <v>22</v>
      </c>
      <c r="M494" s="118" t="s">
        <v>1675</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7"/>
      <c r="K495" s="118" t="s">
        <v>1396</v>
      </c>
      <c r="L495" s="118">
        <v>25</v>
      </c>
      <c r="M495" s="118" t="s">
        <v>1675</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7"/>
      <c r="K496" s="118" t="s">
        <v>1396</v>
      </c>
      <c r="L496" s="118">
        <v>16</v>
      </c>
      <c r="M496" s="118" t="s">
        <v>1675</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7"/>
      <c r="K497" s="118" t="s">
        <v>1633</v>
      </c>
      <c r="L497" s="118">
        <v>277</v>
      </c>
      <c r="M497" s="118" t="s">
        <v>1634</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7"/>
      <c r="K498" s="118" t="s">
        <v>1949</v>
      </c>
      <c r="L498" s="118">
        <v>21</v>
      </c>
      <c r="M498" s="118" t="s">
        <v>1950</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7"/>
      <c r="K499" s="118" t="s">
        <v>1754</v>
      </c>
      <c r="L499" s="118">
        <v>375</v>
      </c>
      <c r="M499" s="118" t="s">
        <v>1755</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7"/>
      <c r="K500" s="118" t="s">
        <v>1754</v>
      </c>
      <c r="L500" s="118">
        <v>95</v>
      </c>
      <c r="M500" s="118" t="s">
        <v>1755</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7"/>
      <c r="K501" s="118" t="s">
        <v>1633</v>
      </c>
      <c r="L501" s="118">
        <v>2350</v>
      </c>
      <c r="M501" s="118" t="s">
        <v>1634</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7"/>
      <c r="K504" s="118" t="s">
        <v>1396</v>
      </c>
      <c r="L504" s="118">
        <v>513</v>
      </c>
      <c r="M504" s="118" t="s">
        <v>1675</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7"/>
      <c r="K505" s="118" t="s">
        <v>1396</v>
      </c>
      <c r="L505" s="118">
        <v>2500</v>
      </c>
      <c r="M505" s="118" t="s">
        <v>1675</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7"/>
      <c r="K506" s="118" t="s">
        <v>1150</v>
      </c>
      <c r="L506" s="118">
        <v>2315</v>
      </c>
      <c r="M506" s="118" t="s">
        <v>1770</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7"/>
      <c r="K507" s="118" t="s">
        <v>1396</v>
      </c>
      <c r="L507" s="118">
        <v>360</v>
      </c>
      <c r="M507" s="118" t="s">
        <v>1675</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7"/>
      <c r="K508" s="118" t="s">
        <v>1396</v>
      </c>
      <c r="L508" s="118">
        <v>300</v>
      </c>
      <c r="M508" s="118" t="s">
        <v>1675</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7"/>
      <c r="K509" s="118" t="s">
        <v>1396</v>
      </c>
      <c r="L509" s="118">
        <v>500</v>
      </c>
      <c r="M509" s="118" t="s">
        <v>1675</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7"/>
      <c r="K510" s="118" t="s">
        <v>1982</v>
      </c>
      <c r="L510" s="118">
        <v>3650</v>
      </c>
      <c r="M510" s="118" t="s">
        <v>1983</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7"/>
      <c r="K511" s="118" t="s">
        <v>1982</v>
      </c>
      <c r="L511" s="118">
        <v>35000</v>
      </c>
      <c r="M511" s="118" t="s">
        <v>1983</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7"/>
      <c r="K513" s="118" t="s">
        <v>1992</v>
      </c>
      <c r="L513" s="118">
        <v>15</v>
      </c>
      <c r="M513" s="118" t="s">
        <v>1993</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7"/>
      <c r="K514" s="118" t="s">
        <v>1992</v>
      </c>
      <c r="L514" s="118">
        <v>57</v>
      </c>
      <c r="M514" s="118" t="s">
        <v>1993</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7"/>
      <c r="K515" s="118" t="s">
        <v>1754</v>
      </c>
      <c r="L515" s="118">
        <v>3</v>
      </c>
      <c r="M515" s="118" t="s">
        <v>1755</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7"/>
      <c r="K516" s="118" t="s">
        <v>1150</v>
      </c>
      <c r="L516" s="118">
        <v>490</v>
      </c>
      <c r="M516" s="118" t="s">
        <v>1770</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7"/>
      <c r="K517" s="118" t="s">
        <v>1633</v>
      </c>
      <c r="L517" s="118">
        <v>320</v>
      </c>
      <c r="M517" s="118" t="s">
        <v>1634</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7"/>
      <c r="K518" s="118" t="s">
        <v>2008</v>
      </c>
      <c r="L518" s="118">
        <v>35</v>
      </c>
      <c r="M518" s="118" t="s">
        <v>2009</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7"/>
      <c r="K519" s="118" t="s">
        <v>1633</v>
      </c>
      <c r="L519" s="118">
        <v>70</v>
      </c>
      <c r="M519" s="118" t="s">
        <v>1634</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7"/>
      <c r="K521" s="118" t="s">
        <v>1396</v>
      </c>
      <c r="L521" s="118">
        <v>50</v>
      </c>
      <c r="M521" s="118" t="s">
        <v>1675</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7"/>
      <c r="K522" s="118" t="s">
        <v>1396</v>
      </c>
      <c r="L522" s="118">
        <v>20</v>
      </c>
      <c r="M522" s="118" t="s">
        <v>1675</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7"/>
      <c r="K523" s="118" t="s">
        <v>1396</v>
      </c>
      <c r="L523" s="118">
        <v>66</v>
      </c>
      <c r="M523" s="118" t="s">
        <v>1675</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7"/>
      <c r="K524" s="118" t="s">
        <v>2026</v>
      </c>
      <c r="L524" s="118">
        <v>8.5</v>
      </c>
      <c r="M524" s="118" t="s">
        <v>1805</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7"/>
      <c r="K525" s="118" t="s">
        <v>1396</v>
      </c>
      <c r="L525" s="118">
        <v>8</v>
      </c>
      <c r="M525" s="118" t="s">
        <v>1675</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7"/>
      <c r="K526" s="118" t="s">
        <v>2026</v>
      </c>
      <c r="L526" s="118">
        <v>80</v>
      </c>
      <c r="M526" s="118" t="s">
        <v>1805</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7"/>
      <c r="K527" s="118" t="s">
        <v>1396</v>
      </c>
      <c r="L527" s="118">
        <v>65</v>
      </c>
      <c r="M527" s="118" t="s">
        <v>1675</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7"/>
      <c r="K528" s="118" t="s">
        <v>1633</v>
      </c>
      <c r="L528" s="118">
        <v>135</v>
      </c>
      <c r="M528" s="118" t="s">
        <v>1634</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7"/>
      <c r="K529" s="118" t="s">
        <v>1396</v>
      </c>
      <c r="L529" s="118">
        <v>35</v>
      </c>
      <c r="M529" s="118" t="s">
        <v>1675</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7"/>
      <c r="K530" s="118" t="s">
        <v>1396</v>
      </c>
      <c r="L530" s="118">
        <v>36</v>
      </c>
      <c r="M530" s="118" t="s">
        <v>1675</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7"/>
      <c r="K531" s="118" t="s">
        <v>2026</v>
      </c>
      <c r="L531" s="118">
        <v>4.3</v>
      </c>
      <c r="M531" s="118" t="s">
        <v>1805</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7"/>
      <c r="K532" s="118" t="s">
        <v>1396</v>
      </c>
      <c r="L532" s="118">
        <v>52</v>
      </c>
      <c r="M532" s="118" t="s">
        <v>1675</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7"/>
      <c r="K533" s="118" t="s">
        <v>1396</v>
      </c>
      <c r="L533" s="118">
        <v>350</v>
      </c>
      <c r="M533" s="118" t="s">
        <v>1675</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7"/>
      <c r="K534" s="118" t="s">
        <v>1396</v>
      </c>
      <c r="L534" s="118">
        <v>75</v>
      </c>
      <c r="M534" s="118" t="s">
        <v>1675</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7"/>
      <c r="K535" s="118" t="s">
        <v>1396</v>
      </c>
      <c r="L535" s="118">
        <v>48</v>
      </c>
      <c r="M535" s="118" t="s">
        <v>1675</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7"/>
      <c r="K536" s="118" t="s">
        <v>1396</v>
      </c>
      <c r="L536" s="118">
        <v>20</v>
      </c>
      <c r="M536" s="118" t="s">
        <v>1675</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7"/>
      <c r="K537" s="118" t="s">
        <v>1396</v>
      </c>
      <c r="L537" s="118">
        <v>590</v>
      </c>
      <c r="M537" s="118" t="s">
        <v>1675</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7"/>
      <c r="K538" s="118" t="s">
        <v>1396</v>
      </c>
      <c r="L538" s="118">
        <v>7000</v>
      </c>
      <c r="M538" s="118" t="s">
        <v>1675</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7"/>
      <c r="K539" s="118" t="s">
        <v>1949</v>
      </c>
      <c r="L539" s="118">
        <v>783</v>
      </c>
      <c r="M539" s="118" t="s">
        <v>1950</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7"/>
      <c r="K542" s="118" t="s">
        <v>1982</v>
      </c>
      <c r="L542" s="118">
        <v>280</v>
      </c>
      <c r="M542" s="118" t="s">
        <v>1983</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7"/>
      <c r="K543" s="118" t="s">
        <v>1396</v>
      </c>
      <c r="L543" s="118">
        <v>252</v>
      </c>
      <c r="M543" s="118" t="s">
        <v>1675</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7"/>
      <c r="K544" s="118" t="s">
        <v>1982</v>
      </c>
      <c r="L544" s="118">
        <v>7000</v>
      </c>
      <c r="M544" s="118" t="s">
        <v>1983</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7"/>
      <c r="K545" s="118" t="s">
        <v>1150</v>
      </c>
      <c r="L545" s="118">
        <v>36500</v>
      </c>
      <c r="M545" s="118" t="s">
        <v>1770</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7"/>
      <c r="K546" s="118" t="s">
        <v>1150</v>
      </c>
      <c r="L546" s="118">
        <v>1400</v>
      </c>
      <c r="M546" s="118" t="s">
        <v>1770</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7"/>
      <c r="K547" s="118" t="s">
        <v>1150</v>
      </c>
      <c r="L547" s="118">
        <v>2277.92857142857</v>
      </c>
      <c r="M547" s="118" t="s">
        <v>1770</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7"/>
      <c r="K548" s="118" t="s">
        <v>1150</v>
      </c>
      <c r="L548" s="118">
        <v>2634.13508090615</v>
      </c>
      <c r="M548" s="118" t="s">
        <v>1770</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7"/>
      <c r="K549" s="118" t="s">
        <v>1150</v>
      </c>
      <c r="L549" s="118">
        <v>88.4446601941746</v>
      </c>
      <c r="M549" s="118" t="s">
        <v>1770</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7"/>
      <c r="K550" s="118" t="s">
        <v>1150</v>
      </c>
      <c r="L550" s="118">
        <v>4754.2</v>
      </c>
      <c r="M550" s="118" t="s">
        <v>1770</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7"/>
      <c r="K551" s="118" t="s">
        <v>1150</v>
      </c>
      <c r="L551" s="118">
        <v>6363.33333333333</v>
      </c>
      <c r="M551" s="118" t="s">
        <v>1770</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7"/>
      <c r="K553" s="118" t="s">
        <v>1150</v>
      </c>
      <c r="L553" s="118">
        <v>750</v>
      </c>
      <c r="M553" s="118" t="s">
        <v>1770</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7"/>
      <c r="K554" s="118" t="s">
        <v>1150</v>
      </c>
      <c r="L554" s="118">
        <v>500</v>
      </c>
      <c r="M554" s="118" t="s">
        <v>1770</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7"/>
      <c r="K555" s="118" t="s">
        <v>2103</v>
      </c>
      <c r="L555" s="118">
        <v>6.3</v>
      </c>
      <c r="M555" s="118" t="s">
        <v>2104</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7"/>
      <c r="K556" s="118" t="s">
        <v>1150</v>
      </c>
      <c r="L556" s="118">
        <v>500</v>
      </c>
      <c r="M556" s="118" t="s">
        <v>1770</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7"/>
      <c r="K557" s="118" t="s">
        <v>1150</v>
      </c>
      <c r="L557" s="118">
        <v>1400</v>
      </c>
      <c r="M557" s="118" t="s">
        <v>1770</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7"/>
      <c r="K558" s="118" t="s">
        <v>1150</v>
      </c>
      <c r="L558" s="118">
        <v>640</v>
      </c>
      <c r="M558" s="118" t="s">
        <v>1770</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7"/>
      <c r="K559" s="118" t="s">
        <v>1949</v>
      </c>
      <c r="L559" s="118">
        <v>35</v>
      </c>
      <c r="M559" s="118" t="s">
        <v>1950</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7"/>
      <c r="K560" s="118" t="s">
        <v>1150</v>
      </c>
      <c r="L560" s="118">
        <v>450</v>
      </c>
      <c r="M560" s="118" t="s">
        <v>1770</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7"/>
      <c r="K561" s="118" t="s">
        <v>1150</v>
      </c>
      <c r="L561" s="118">
        <v>300</v>
      </c>
      <c r="M561" s="118" t="s">
        <v>1770</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7"/>
      <c r="K562" s="118" t="s">
        <v>1150</v>
      </c>
      <c r="L562" s="118">
        <v>550</v>
      </c>
      <c r="M562" s="118" t="s">
        <v>1770</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7"/>
      <c r="K563" s="118" t="s">
        <v>1150</v>
      </c>
      <c r="L563" s="118">
        <v>610</v>
      </c>
      <c r="M563" s="118" t="s">
        <v>1770</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7"/>
      <c r="K564" s="118" t="s">
        <v>1150</v>
      </c>
      <c r="L564" s="118">
        <v>500</v>
      </c>
      <c r="M564" s="118" t="s">
        <v>1770</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7"/>
      <c r="K565" s="118" t="s">
        <v>2125</v>
      </c>
      <c r="L565" s="118">
        <v>570</v>
      </c>
      <c r="M565" s="118" t="s">
        <v>2126</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7"/>
      <c r="K566" s="118" t="s">
        <v>1633</v>
      </c>
      <c r="L566" s="118">
        <v>115</v>
      </c>
      <c r="M566" s="118" t="s">
        <v>1634</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7"/>
      <c r="K567" s="118" t="s">
        <v>1150</v>
      </c>
      <c r="L567" s="118">
        <v>150</v>
      </c>
      <c r="M567" s="118" t="s">
        <v>1770</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7"/>
      <c r="K568" s="118" t="s">
        <v>1150</v>
      </c>
      <c r="L568" s="118">
        <v>91</v>
      </c>
      <c r="M568" s="118" t="s">
        <v>1770</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7"/>
      <c r="K569" s="118" t="s">
        <v>1150</v>
      </c>
      <c r="L569" s="118">
        <v>165</v>
      </c>
      <c r="M569" s="118" t="s">
        <v>1770</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7"/>
      <c r="M571" s="118" t="s">
        <v>1244</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7"/>
      <c r="M572" s="118" t="s">
        <v>1244</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7"/>
      <c r="M573" s="118" t="s">
        <v>1244</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7"/>
      <c r="M574" s="118" t="s">
        <v>1244</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7"/>
      <c r="M575" s="118" t="s">
        <v>1244</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7"/>
      <c r="M576" s="118" t="s">
        <v>1244</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7"/>
      <c r="M577" s="118" t="s">
        <v>1244</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7"/>
      <c r="M578" s="118" t="s">
        <v>1244</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7"/>
      <c r="M579" s="118" t="s">
        <v>1244</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7"/>
      <c r="M580" s="118" t="s">
        <v>1244</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7"/>
      <c r="M581" s="114" t="s">
        <v>1244</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spans="2:66">
      <c r="B582" s="108" t="s">
        <v>794</v>
      </c>
      <c r="C582" s="109">
        <v>1.3</v>
      </c>
      <c r="D582" s="107" t="s">
        <v>64</v>
      </c>
      <c r="E582" s="108"/>
      <c r="F582" s="108"/>
      <c r="G582" s="108"/>
      <c r="H582" s="108">
        <f>H583+H601+H605+H614+H624+H627+H634+H643+H646+H651</f>
        <v>4000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4000</v>
      </c>
      <c r="AC582" s="108">
        <f t="shared" si="1002"/>
        <v>4000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9" customFormat="1" ht="33.95" customHeight="1" outlineLevel="2" spans="2:66">
      <c r="B583" s="111" t="s">
        <v>794</v>
      </c>
      <c r="C583" s="112" t="s">
        <v>2161</v>
      </c>
      <c r="D583" s="29" t="s">
        <v>2162</v>
      </c>
      <c r="E583" s="111"/>
      <c r="F583" s="111"/>
      <c r="G583" s="111"/>
      <c r="H583" s="111">
        <f>SUM(H584:H600)</f>
        <v>4000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4000</v>
      </c>
      <c r="AC583" s="111">
        <f t="shared" si="1003"/>
        <v>4000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8" customFormat="1" ht="33.95" customHeight="1" outlineLevel="3" spans="2:66">
      <c r="B584" s="114" t="s">
        <v>799</v>
      </c>
      <c r="C584" s="115" t="s">
        <v>2163</v>
      </c>
      <c r="D584" s="48" t="s">
        <v>2164</v>
      </c>
      <c r="E584" s="114"/>
      <c r="F584" s="114" t="s">
        <v>1625</v>
      </c>
      <c r="G584" s="114" t="s">
        <v>943</v>
      </c>
      <c r="H584" s="114">
        <f t="shared" ref="H584:H600" si="1004">J584*L584</f>
        <v>4000</v>
      </c>
      <c r="I584" s="114" t="s">
        <v>1242</v>
      </c>
      <c r="J584" s="114">
        <v>1</v>
      </c>
      <c r="K584" s="114" t="s">
        <v>1243</v>
      </c>
      <c r="L584" s="297">
        <f>预算主表!P84</f>
        <v>4000</v>
      </c>
      <c r="M584" s="114" t="s">
        <v>1377</v>
      </c>
      <c r="N584" s="114">
        <f t="shared" ref="N584:N600" si="1005">COUNTA(O584:Z584)</f>
        <v>1</v>
      </c>
      <c r="O584" s="316" t="s">
        <v>1292</v>
      </c>
      <c r="P584" s="316"/>
      <c r="Q584" s="316"/>
      <c r="R584" s="316"/>
      <c r="S584" s="316"/>
      <c r="T584" s="316"/>
      <c r="U584" s="316"/>
      <c r="V584" s="316"/>
      <c r="W584" s="316"/>
      <c r="X584" s="316"/>
      <c r="Y584" s="316"/>
      <c r="Z584" s="316"/>
      <c r="AA584" s="114"/>
      <c r="AB584" s="114">
        <f t="shared" ref="AB584:AB600" si="1006">SUM(AC584,AF584,AI584,AL584,AO584,AR584,AU584,AX584,BA584,BD584,BG584,BJ584)</f>
        <v>4000</v>
      </c>
      <c r="AC584" s="114">
        <f t="shared" ref="AC584:AC600" si="1007">IF(O584="√",$J584*$L584/$N584,0)</f>
        <v>4000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7"/>
      <c r="M585" s="114" t="s">
        <v>1377</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7"/>
      <c r="M586" s="114" t="s">
        <v>1377</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7"/>
      <c r="M587" s="114" t="s">
        <v>1377</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7"/>
      <c r="M588" s="114" t="s">
        <v>1377</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7"/>
      <c r="M589" s="114" t="s">
        <v>1377</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7"/>
      <c r="M590" s="114" t="s">
        <v>1377</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7"/>
      <c r="M591" s="114" t="s">
        <v>1377</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7"/>
      <c r="M592" s="114" t="s">
        <v>1377</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7"/>
      <c r="M593" s="114" t="s">
        <v>1377</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7"/>
      <c r="M594" s="114" t="s">
        <v>1377</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7"/>
      <c r="M595" s="114" t="s">
        <v>1377</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7"/>
      <c r="M596" s="114" t="s">
        <v>1377</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7"/>
      <c r="M597" s="114" t="s">
        <v>1377</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7"/>
      <c r="M598" s="114" t="s">
        <v>1377</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7"/>
      <c r="M599" s="114" t="s">
        <v>1377</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7"/>
      <c r="M600" s="114" t="s">
        <v>1377</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7"/>
      <c r="M602" s="114" t="s">
        <v>1377</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7"/>
      <c r="M603" s="114" t="s">
        <v>1377</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7"/>
      <c r="M604" s="114" t="s">
        <v>1377</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7"/>
      <c r="M606" s="114" t="s">
        <v>1377</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7"/>
      <c r="M607" s="114" t="s">
        <v>1377</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7"/>
      <c r="M608" s="114" t="s">
        <v>1377</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7"/>
      <c r="M609" s="114" t="s">
        <v>1377</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7"/>
      <c r="M610" s="114" t="s">
        <v>1377</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7"/>
      <c r="M611" s="114" t="s">
        <v>1377</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7"/>
      <c r="M612" s="114" t="s">
        <v>1377</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7"/>
      <c r="M613" s="114" t="s">
        <v>1377</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7"/>
      <c r="M615" s="114" t="s">
        <v>1377</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7"/>
      <c r="M616" s="114" t="s">
        <v>1377</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7"/>
      <c r="M617" s="114" t="s">
        <v>1377</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7"/>
      <c r="M618" s="114" t="s">
        <v>1377</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7"/>
      <c r="M619" s="114" t="s">
        <v>1377</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7"/>
      <c r="M620" s="114" t="s">
        <v>1377</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7"/>
      <c r="M621" s="114" t="s">
        <v>1377</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7"/>
      <c r="M622" s="114" t="s">
        <v>1377</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7"/>
      <c r="M623" s="114" t="s">
        <v>1377</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7"/>
      <c r="M625" s="114" t="s">
        <v>1377</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7"/>
      <c r="M626" s="114" t="s">
        <v>1377</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7"/>
      <c r="M628" s="114" t="s">
        <v>1377</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7"/>
      <c r="M629" s="114" t="s">
        <v>1377</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7"/>
      <c r="M630" s="114" t="s">
        <v>1377</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7"/>
      <c r="M631" s="114" t="s">
        <v>1377</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7"/>
      <c r="M632" s="114" t="s">
        <v>1377</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7"/>
      <c r="M633" s="114" t="s">
        <v>1377</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7"/>
      <c r="M635" s="114" t="s">
        <v>1377</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7"/>
      <c r="M636" s="114" t="s">
        <v>1377</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7"/>
      <c r="M637" s="114" t="s">
        <v>1377</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7"/>
      <c r="M638" s="114" t="s">
        <v>1377</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7"/>
      <c r="M639" s="114" t="s">
        <v>1377</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7"/>
      <c r="M640" s="114" t="s">
        <v>1377</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7"/>
      <c r="M641" s="114" t="s">
        <v>1377</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7"/>
      <c r="M642" s="114" t="s">
        <v>1377</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7"/>
      <c r="M644" s="114" t="s">
        <v>1377</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7"/>
      <c r="M645" s="114" t="s">
        <v>1377</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7"/>
      <c r="M647" s="114" t="s">
        <v>1377</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7"/>
      <c r="M648" s="114" t="s">
        <v>1377</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7"/>
      <c r="M649" s="114" t="s">
        <v>1377</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7"/>
      <c r="M650" s="114" t="s">
        <v>1377</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9" customFormat="1" ht="33.95" hidden="1" customHeight="1" outlineLevel="2" spans="2:66">
      <c r="B651" s="111" t="s">
        <v>799</v>
      </c>
      <c r="C651" s="112" t="s">
        <v>2300</v>
      </c>
      <c r="D651" s="29" t="s">
        <v>2301</v>
      </c>
      <c r="G651" s="111" t="s">
        <v>1851</v>
      </c>
      <c r="H651" s="111">
        <f>J651*L651*N651</f>
        <v>0</v>
      </c>
      <c r="I651" s="111" t="s">
        <v>1242</v>
      </c>
      <c r="J651" s="111">
        <v>1</v>
      </c>
      <c r="K651" s="111" t="s">
        <v>1243</v>
      </c>
      <c r="L651" s="297">
        <f>预算主表!P88/12</f>
        <v>0</v>
      </c>
      <c r="M651" s="111" t="s">
        <v>1244</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hidden="1" customHeight="1" outlineLevel="1" collapsed="1" spans="2:66">
      <c r="B652" s="108" t="s">
        <v>794</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7">
        <f>预算主表!P100/(12*L653)</f>
        <v>0</v>
      </c>
      <c r="K653" s="111" t="s">
        <v>2304</v>
      </c>
      <c r="L653" s="297">
        <v>5.24</v>
      </c>
      <c r="M653" s="111" t="s">
        <v>2305</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7">
        <f>预算主表!P101/(12*L654)</f>
        <v>0</v>
      </c>
      <c r="K654" s="111" t="s">
        <v>2308</v>
      </c>
      <c r="L654" s="297">
        <v>0.69</v>
      </c>
      <c r="M654" s="111" t="s">
        <v>2309</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7"/>
      <c r="K655" s="111" t="s">
        <v>2304</v>
      </c>
      <c r="L655" s="297"/>
      <c r="M655" s="111" t="s">
        <v>2305</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7"/>
      <c r="K656" s="111" t="s">
        <v>1243</v>
      </c>
      <c r="L656" s="297"/>
      <c r="M656" s="111" t="s">
        <v>2314</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7"/>
      <c r="M657" s="111" t="s">
        <v>1244</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spans="2:66">
      <c r="B658" s="108" t="s">
        <v>794</v>
      </c>
      <c r="C658" s="321">
        <v>1.5</v>
      </c>
      <c r="D658" s="107" t="s">
        <v>216</v>
      </c>
      <c r="G658" s="108"/>
      <c r="H658" s="108">
        <f>SUM(H659:H667)</f>
        <v>2000</v>
      </c>
      <c r="N658" s="302"/>
      <c r="O658" s="285"/>
      <c r="P658" s="285"/>
      <c r="Q658" s="285"/>
      <c r="R658" s="285"/>
      <c r="S658" s="285"/>
      <c r="T658" s="285"/>
      <c r="U658" s="285"/>
      <c r="V658" s="285"/>
      <c r="W658" s="285"/>
      <c r="X658" s="285"/>
      <c r="Y658" s="285"/>
      <c r="Z658" s="285"/>
      <c r="AA658" s="285"/>
      <c r="AB658" s="108">
        <f t="shared" ref="AB658:AF658" si="1131">SUM(AB659:AB667)</f>
        <v>2000</v>
      </c>
      <c r="AC658" s="108">
        <f t="shared" si="1131"/>
        <v>166.666666666667</v>
      </c>
      <c r="AF658" s="108">
        <f t="shared" si="1131"/>
        <v>166.666666666667</v>
      </c>
      <c r="AI658" s="108">
        <f>SUM(AI659:AI667)</f>
        <v>166.666666666667</v>
      </c>
      <c r="AL658" s="108">
        <f>SUM(AL659:AL667)</f>
        <v>166.666666666667</v>
      </c>
      <c r="AO658" s="108">
        <f>SUM(AO659:AO667)</f>
        <v>166.666666666667</v>
      </c>
      <c r="AR658" s="108">
        <f>SUM(AR659:AR667)</f>
        <v>166.666666666667</v>
      </c>
      <c r="AU658" s="108">
        <f>SUM(AU659:AU667)</f>
        <v>166.666666666667</v>
      </c>
      <c r="AX658" s="108">
        <f>SUM(AX659:AX667)</f>
        <v>166.666666666667</v>
      </c>
      <c r="BA658" s="108">
        <f>SUM(BA659:BA667)</f>
        <v>166.666666666667</v>
      </c>
      <c r="BD658" s="108">
        <f>SUM(BD659:BD667)</f>
        <v>166.666666666667</v>
      </c>
      <c r="BG658" s="108">
        <f>SUM(BG659:BG667)</f>
        <v>166.666666666667</v>
      </c>
      <c r="BJ658" s="108">
        <f>SUM(BJ659:BJ667)</f>
        <v>166.666666666667</v>
      </c>
      <c r="BL658" s="302"/>
      <c r="BM658" s="310"/>
      <c r="BN658" s="285"/>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7"/>
      <c r="K659" s="111" t="s">
        <v>1396</v>
      </c>
      <c r="L659" s="111">
        <v>100</v>
      </c>
      <c r="M659" s="111" t="s">
        <v>1417</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9" customFormat="1" ht="33.95" hidden="1" customHeight="1" outlineLevel="2" spans="2:66">
      <c r="B660" s="111" t="s">
        <v>799</v>
      </c>
      <c r="C660" s="112" t="s">
        <v>137</v>
      </c>
      <c r="D660" s="29" t="s">
        <v>138</v>
      </c>
      <c r="E660" s="111" t="s">
        <v>2317</v>
      </c>
      <c r="F660" s="111"/>
      <c r="G660" s="111" t="s">
        <v>1851</v>
      </c>
      <c r="H660" s="111">
        <f t="shared" ref="H660:H667" si="1132">J660*L660*N660</f>
        <v>0</v>
      </c>
      <c r="I660" s="111" t="s">
        <v>1242</v>
      </c>
      <c r="J660" s="111">
        <v>1</v>
      </c>
      <c r="K660" s="111" t="s">
        <v>1243</v>
      </c>
      <c r="L660" s="297">
        <f>预算主表!P116/12</f>
        <v>0</v>
      </c>
      <c r="M660" s="111" t="s">
        <v>1244</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7">
        <f>预算主表!P117/12</f>
        <v>0</v>
      </c>
      <c r="M661" s="111" t="s">
        <v>1244</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7"/>
      <c r="M662" s="111" t="s">
        <v>1244</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7"/>
      <c r="M663" s="111" t="s">
        <v>1244</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7">
        <f>预算主表!P119/12</f>
        <v>0</v>
      </c>
      <c r="M664" s="111" t="s">
        <v>1244</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7">
        <f>预算主表!P125/12</f>
        <v>0</v>
      </c>
      <c r="M665" s="111" t="s">
        <v>1244</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9" customFormat="1" ht="33.95" customHeight="1" outlineLevel="2" spans="2:66">
      <c r="B666" s="111" t="s">
        <v>799</v>
      </c>
      <c r="C666" s="112" t="s">
        <v>157</v>
      </c>
      <c r="D666" s="29" t="s">
        <v>158</v>
      </c>
      <c r="E666" s="111" t="s">
        <v>2322</v>
      </c>
      <c r="F666" s="111"/>
      <c r="G666" s="111" t="s">
        <v>1851</v>
      </c>
      <c r="H666" s="111">
        <f t="shared" si="1132"/>
        <v>2000</v>
      </c>
      <c r="I666" s="111" t="s">
        <v>1242</v>
      </c>
      <c r="J666" s="111">
        <v>1</v>
      </c>
      <c r="K666" s="111" t="s">
        <v>1243</v>
      </c>
      <c r="L666" s="297">
        <f>预算主表!P127/12</f>
        <v>166.666666666667</v>
      </c>
      <c r="M666" s="111" t="s">
        <v>1244</v>
      </c>
      <c r="N666" s="303">
        <v>12</v>
      </c>
      <c r="O666" s="286"/>
      <c r="P666" s="286"/>
      <c r="Q666" s="286"/>
      <c r="R666" s="286"/>
      <c r="S666" s="286"/>
      <c r="T666" s="286"/>
      <c r="U666" s="286"/>
      <c r="V666" s="286"/>
      <c r="W666" s="286"/>
      <c r="X666" s="286"/>
      <c r="Y666" s="286"/>
      <c r="Z666" s="286"/>
      <c r="AA666" s="286"/>
      <c r="AB666" s="324">
        <f t="shared" si="1133"/>
        <v>2000</v>
      </c>
      <c r="AC666" s="324">
        <f t="shared" si="1134"/>
        <v>166.666666666667</v>
      </c>
      <c r="AD666" s="324"/>
      <c r="AE666" s="324"/>
      <c r="AF666" s="324">
        <f t="shared" si="1135"/>
        <v>166.666666666667</v>
      </c>
      <c r="AG666" s="324"/>
      <c r="AH666" s="324"/>
      <c r="AI666" s="324">
        <f t="shared" si="1136"/>
        <v>166.666666666667</v>
      </c>
      <c r="AJ666" s="324"/>
      <c r="AK666" s="324"/>
      <c r="AL666" s="324">
        <f t="shared" si="1137"/>
        <v>166.666666666667</v>
      </c>
      <c r="AM666" s="324"/>
      <c r="AN666" s="324"/>
      <c r="AO666" s="324">
        <f t="shared" si="1138"/>
        <v>166.666666666667</v>
      </c>
      <c r="AP666" s="324"/>
      <c r="AQ666" s="324"/>
      <c r="AR666" s="324">
        <f t="shared" si="1139"/>
        <v>166.666666666667</v>
      </c>
      <c r="AS666" s="324"/>
      <c r="AT666" s="324"/>
      <c r="AU666" s="324">
        <f t="shared" si="1140"/>
        <v>166.666666666667</v>
      </c>
      <c r="AV666" s="324"/>
      <c r="AW666" s="324"/>
      <c r="AX666" s="324">
        <f t="shared" si="1141"/>
        <v>166.666666666667</v>
      </c>
      <c r="AY666" s="324"/>
      <c r="AZ666" s="324"/>
      <c r="BA666" s="324">
        <f t="shared" si="1142"/>
        <v>166.666666666667</v>
      </c>
      <c r="BB666" s="324"/>
      <c r="BC666" s="324"/>
      <c r="BD666" s="324">
        <f t="shared" si="1143"/>
        <v>166.666666666667</v>
      </c>
      <c r="BE666" s="324"/>
      <c r="BF666" s="324"/>
      <c r="BG666" s="324">
        <f t="shared" si="1144"/>
        <v>166.666666666667</v>
      </c>
      <c r="BH666" s="324"/>
      <c r="BI666" s="324"/>
      <c r="BJ666" s="324">
        <f t="shared" si="1145"/>
        <v>166.666666666667</v>
      </c>
      <c r="BK666" s="324"/>
      <c r="BL666" s="325"/>
      <c r="BM666" s="310"/>
      <c r="BN666" s="311"/>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7">
        <f>预算主表!P98/12</f>
        <v>0</v>
      </c>
      <c r="M667" s="111" t="s">
        <v>1244</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spans="2:66">
      <c r="B668" s="108" t="s">
        <v>794</v>
      </c>
      <c r="C668" s="109">
        <v>1.6</v>
      </c>
      <c r="D668" s="107" t="s">
        <v>217</v>
      </c>
      <c r="F668" s="107" t="s">
        <v>2324</v>
      </c>
      <c r="G668" s="108"/>
      <c r="H668" s="108">
        <f>H669+H691+H692+H693+H694</f>
        <v>900</v>
      </c>
      <c r="N668" s="302"/>
      <c r="O668" s="285"/>
      <c r="P668" s="285"/>
      <c r="Q668" s="285"/>
      <c r="R668" s="285"/>
      <c r="S668" s="285"/>
      <c r="T668" s="285"/>
      <c r="U668" s="285"/>
      <c r="V668" s="285"/>
      <c r="W668" s="285"/>
      <c r="X668" s="285"/>
      <c r="Y668" s="285"/>
      <c r="Z668" s="285"/>
      <c r="AA668" s="285"/>
      <c r="AB668" s="108">
        <f t="shared" ref="AB668:AF668" si="1146">AB669+AB691+AB692+AB693+AB694</f>
        <v>900</v>
      </c>
      <c r="AC668" s="108">
        <f t="shared" si="1146"/>
        <v>900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9" customFormat="1" ht="33.95" hidden="1" customHeight="1" outlineLevel="2" collapsed="1" spans="2:66">
      <c r="B669" s="111" t="s">
        <v>794</v>
      </c>
      <c r="C669" s="112" t="s">
        <v>2325</v>
      </c>
      <c r="D669" s="29" t="s">
        <v>2326</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7"/>
      <c r="K670" s="114" t="s">
        <v>1396</v>
      </c>
      <c r="L670" s="114">
        <v>1700</v>
      </c>
      <c r="M670" s="114" t="s">
        <v>1675</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8" customFormat="1" ht="33.95" hidden="1" customHeight="1" outlineLevel="3" spans="2:66">
      <c r="B671" s="114" t="s">
        <v>799</v>
      </c>
      <c r="C671" s="115" t="s">
        <v>2329</v>
      </c>
      <c r="D671" s="48" t="s">
        <v>2330</v>
      </c>
      <c r="F671" s="114" t="s">
        <v>1625</v>
      </c>
      <c r="G671" s="114" t="s">
        <v>943</v>
      </c>
      <c r="H671" s="114">
        <f t="shared" si="1148"/>
        <v>0</v>
      </c>
      <c r="I671" s="114" t="s">
        <v>1242</v>
      </c>
      <c r="J671" s="297"/>
      <c r="K671" s="114" t="s">
        <v>1396</v>
      </c>
      <c r="L671" s="114">
        <v>510</v>
      </c>
      <c r="M671" s="114" t="s">
        <v>1675</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8" customFormat="1" ht="33.95" hidden="1" customHeight="1" outlineLevel="3" spans="2:66">
      <c r="B672" s="114" t="s">
        <v>799</v>
      </c>
      <c r="C672" s="115" t="s">
        <v>2331</v>
      </c>
      <c r="D672" s="48" t="s">
        <v>2332</v>
      </c>
      <c r="F672" s="114" t="s">
        <v>1625</v>
      </c>
      <c r="G672" s="114" t="s">
        <v>943</v>
      </c>
      <c r="H672" s="114">
        <f t="shared" si="1148"/>
        <v>0</v>
      </c>
      <c r="I672" s="114" t="s">
        <v>1242</v>
      </c>
      <c r="J672" s="297"/>
      <c r="K672" s="114" t="s">
        <v>1396</v>
      </c>
      <c r="L672" s="114">
        <v>200</v>
      </c>
      <c r="M672" s="114" t="s">
        <v>1675</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7"/>
      <c r="K673" s="114" t="s">
        <v>1396</v>
      </c>
      <c r="L673" s="114">
        <v>450</v>
      </c>
      <c r="M673" s="114" t="s">
        <v>1675</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7"/>
      <c r="K674" s="114" t="s">
        <v>1396</v>
      </c>
      <c r="L674" s="114">
        <v>460</v>
      </c>
      <c r="M674" s="114" t="s">
        <v>1675</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7"/>
      <c r="K675" s="114" t="s">
        <v>1396</v>
      </c>
      <c r="L675" s="114">
        <v>1300</v>
      </c>
      <c r="M675" s="114" t="s">
        <v>1675</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7"/>
      <c r="K676" s="114" t="s">
        <v>1396</v>
      </c>
      <c r="L676" s="114">
        <v>1100</v>
      </c>
      <c r="M676" s="114" t="s">
        <v>1675</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7"/>
      <c r="K677" s="114" t="s">
        <v>1396</v>
      </c>
      <c r="L677" s="114">
        <v>240</v>
      </c>
      <c r="M677" s="114" t="s">
        <v>1675</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7"/>
      <c r="K678" s="114" t="s">
        <v>1396</v>
      </c>
      <c r="L678" s="114">
        <v>1200</v>
      </c>
      <c r="M678" s="114" t="s">
        <v>1675</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7"/>
      <c r="K679" s="114" t="s">
        <v>1396</v>
      </c>
      <c r="L679" s="114">
        <v>225</v>
      </c>
      <c r="M679" s="114" t="s">
        <v>1675</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7"/>
      <c r="K680" s="114" t="s">
        <v>1396</v>
      </c>
      <c r="L680" s="114">
        <v>4000</v>
      </c>
      <c r="M680" s="114" t="s">
        <v>1675</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7"/>
      <c r="K681" s="114" t="s">
        <v>1633</v>
      </c>
      <c r="L681" s="114">
        <v>4100</v>
      </c>
      <c r="M681" s="114" t="s">
        <v>1634</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7"/>
      <c r="K682" s="114" t="s">
        <v>1396</v>
      </c>
      <c r="L682" s="114">
        <v>1500</v>
      </c>
      <c r="M682" s="114" t="s">
        <v>1675</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7"/>
      <c r="K683" s="114" t="s">
        <v>1396</v>
      </c>
      <c r="L683" s="114">
        <v>5000</v>
      </c>
      <c r="M683" s="114" t="s">
        <v>1675</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7"/>
      <c r="K684" s="114" t="s">
        <v>1396</v>
      </c>
      <c r="L684" s="114">
        <v>8500</v>
      </c>
      <c r="M684" s="114" t="s">
        <v>1675</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7"/>
      <c r="K685" s="114" t="s">
        <v>1396</v>
      </c>
      <c r="L685" s="114">
        <v>2700</v>
      </c>
      <c r="M685" s="114" t="s">
        <v>1675</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7"/>
      <c r="K686" s="114" t="s">
        <v>1396</v>
      </c>
      <c r="L686" s="114">
        <v>400</v>
      </c>
      <c r="M686" s="114" t="s">
        <v>1675</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7"/>
      <c r="K687" s="114" t="s">
        <v>1396</v>
      </c>
      <c r="L687" s="114">
        <v>450</v>
      </c>
      <c r="M687" s="114" t="s">
        <v>1675</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7"/>
      <c r="K688" s="114" t="s">
        <v>1396</v>
      </c>
      <c r="L688" s="114">
        <v>460</v>
      </c>
      <c r="M688" s="114" t="s">
        <v>1675</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7"/>
      <c r="K689" s="114" t="s">
        <v>1396</v>
      </c>
      <c r="L689" s="114">
        <v>500</v>
      </c>
      <c r="M689" s="114" t="s">
        <v>1675</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8" customFormat="1" ht="33.95" hidden="1" customHeight="1" outlineLevel="3" spans="2:66">
      <c r="B690" s="114" t="s">
        <v>799</v>
      </c>
      <c r="C690" s="115" t="s">
        <v>2377</v>
      </c>
      <c r="D690" s="48" t="s">
        <v>2378</v>
      </c>
      <c r="E690" s="114"/>
      <c r="F690" s="114"/>
      <c r="G690" s="114" t="s">
        <v>943</v>
      </c>
      <c r="H690" s="114">
        <f t="shared" si="1163"/>
        <v>0</v>
      </c>
      <c r="I690" s="114" t="s">
        <v>1242</v>
      </c>
      <c r="J690" s="297">
        <v>12</v>
      </c>
      <c r="K690" s="114" t="s">
        <v>1243</v>
      </c>
      <c r="L690" s="297">
        <f>预算主表!P123/12</f>
        <v>0</v>
      </c>
      <c r="M690" s="114" t="s">
        <v>1244</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9" customFormat="1" ht="33.95" customHeight="1" outlineLevel="2" collapsed="1" spans="2:66">
      <c r="B691" s="111" t="s">
        <v>799</v>
      </c>
      <c r="C691" s="112" t="s">
        <v>2379</v>
      </c>
      <c r="D691" s="29" t="s">
        <v>2380</v>
      </c>
      <c r="E691" s="111" t="s">
        <v>2381</v>
      </c>
      <c r="F691" s="111" t="s">
        <v>1625</v>
      </c>
      <c r="G691" s="111" t="s">
        <v>943</v>
      </c>
      <c r="H691" s="111">
        <f t="shared" ref="H691:H694" si="1178">J691*L691</f>
        <v>900</v>
      </c>
      <c r="I691" s="111" t="s">
        <v>1242</v>
      </c>
      <c r="J691" s="111">
        <v>1</v>
      </c>
      <c r="K691" s="111" t="s">
        <v>1243</v>
      </c>
      <c r="L691" s="297">
        <f>预算主表!P132</f>
        <v>900</v>
      </c>
      <c r="M691" s="111" t="s">
        <v>1377</v>
      </c>
      <c r="N691" s="111">
        <f t="shared" ref="N691:N694" si="1179">COUNTA(O691:Z691)</f>
        <v>1</v>
      </c>
      <c r="O691" s="316" t="s">
        <v>1292</v>
      </c>
      <c r="P691" s="316"/>
      <c r="Q691" s="316"/>
      <c r="R691" s="316"/>
      <c r="S691" s="316"/>
      <c r="T691" s="316"/>
      <c r="U691" s="316"/>
      <c r="V691" s="316"/>
      <c r="W691" s="316"/>
      <c r="X691" s="316"/>
      <c r="Y691" s="316"/>
      <c r="Z691" s="316"/>
      <c r="AA691" s="111"/>
      <c r="AB691" s="111">
        <f t="shared" si="1165"/>
        <v>900</v>
      </c>
      <c r="AC691" s="111">
        <f t="shared" ref="AC691:AC694" si="1180">IF(O691="√",$J691*$L691/$N691,0)</f>
        <v>900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7"/>
      <c r="M692" s="111" t="s">
        <v>1377</v>
      </c>
      <c r="N692" s="111">
        <f t="shared" si="1179"/>
        <v>1</v>
      </c>
      <c r="O692" s="297" t="s">
        <v>1292</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7">
        <f>预算主表!P93</f>
        <v>0</v>
      </c>
      <c r="M693" s="111" t="s">
        <v>1377</v>
      </c>
      <c r="N693" s="111">
        <f t="shared" si="1179"/>
        <v>1</v>
      </c>
      <c r="O693" s="297" t="s">
        <v>1292</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7">
        <f>预算主表!P95</f>
        <v>0</v>
      </c>
      <c r="M694" s="111" t="s">
        <v>1377</v>
      </c>
      <c r="N694" s="111">
        <f t="shared" si="1179"/>
        <v>1</v>
      </c>
      <c r="O694" s="297" t="s">
        <v>1292</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900.00"/>
        <filter val="4,000.00"/>
        <filter val="2,000.00"/>
        <filter val="1,200.00"/>
        <filter val="193,366.60"/>
        <filter val="579,404.34"/>
        <filter val="22,971.24"/>
        <filter val="53,207.55"/>
        <filter val="11,320.75"/>
        <filter val="602,375.58"/>
        <filter val="610,475.58"/>
        <filter val="11,650.49"/>
        <filter val="332,830.19"/>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8"/>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13557.22</v>
      </c>
      <c r="I8" s="256">
        <v>13557.22</v>
      </c>
      <c r="J8" s="256">
        <v>13557.22</v>
      </c>
      <c r="K8" s="256">
        <v>13557.22</v>
      </c>
      <c r="L8" s="256">
        <v>13557.22</v>
      </c>
      <c r="M8" s="256">
        <v>13557.22</v>
      </c>
      <c r="N8" s="256">
        <v>13557.22</v>
      </c>
      <c r="O8" s="256">
        <v>13557.22</v>
      </c>
      <c r="P8" s="256">
        <v>13557.22</v>
      </c>
      <c r="Q8" s="256">
        <v>13557.22</v>
      </c>
      <c r="R8" s="256">
        <v>13557.22</v>
      </c>
      <c r="S8" s="256">
        <v>13557.22</v>
      </c>
    </row>
    <row r="9" ht="27" customHeight="1" spans="3:19">
      <c r="C9" s="81" t="s">
        <v>2406</v>
      </c>
      <c r="D9" s="251" t="s">
        <v>2407</v>
      </c>
      <c r="F9" s="81" t="s">
        <v>1032</v>
      </c>
      <c r="G9" s="81" t="s">
        <v>1033</v>
      </c>
      <c r="H9" s="256">
        <v>13557.22</v>
      </c>
      <c r="I9" s="256">
        <v>13557.22</v>
      </c>
      <c r="J9" s="256">
        <v>13557.22</v>
      </c>
      <c r="K9" s="256">
        <v>13557.22</v>
      </c>
      <c r="L9" s="256">
        <v>13557.22</v>
      </c>
      <c r="M9" s="256">
        <v>13557.22</v>
      </c>
      <c r="N9" s="256">
        <v>13557.22</v>
      </c>
      <c r="O9" s="256">
        <v>13557.22</v>
      </c>
      <c r="P9" s="256">
        <v>13557.22</v>
      </c>
      <c r="Q9" s="256">
        <v>13557.22</v>
      </c>
      <c r="R9" s="256">
        <v>13557.22</v>
      </c>
      <c r="S9" s="256">
        <v>13557.22</v>
      </c>
    </row>
    <row r="10" ht="27" customHeight="1" spans="3:19">
      <c r="C10" s="81" t="s">
        <v>2408</v>
      </c>
      <c r="D10" s="251" t="s">
        <v>2409</v>
      </c>
      <c r="F10" s="81" t="s">
        <v>2410</v>
      </c>
      <c r="G10" s="81" t="s">
        <v>1033</v>
      </c>
      <c r="H10" s="256">
        <v>13557.22</v>
      </c>
      <c r="I10" s="256">
        <v>13557.22</v>
      </c>
      <c r="J10" s="256">
        <v>13557.22</v>
      </c>
      <c r="K10" s="256">
        <v>13557.22</v>
      </c>
      <c r="L10" s="256">
        <v>13557.22</v>
      </c>
      <c r="M10" s="256">
        <v>13557.22</v>
      </c>
      <c r="N10" s="256">
        <v>13557.22</v>
      </c>
      <c r="O10" s="256">
        <v>13557.22</v>
      </c>
      <c r="P10" s="256">
        <v>13557.22</v>
      </c>
      <c r="Q10" s="256">
        <v>13557.22</v>
      </c>
      <c r="R10" s="256">
        <v>13557.22</v>
      </c>
      <c r="S10" s="256">
        <v>13557.22</v>
      </c>
    </row>
    <row r="11" ht="27" customHeight="1" spans="3:19">
      <c r="C11" s="81" t="s">
        <v>2411</v>
      </c>
      <c r="D11" s="251" t="s">
        <v>2412</v>
      </c>
      <c r="F11" s="81" t="s">
        <v>1096</v>
      </c>
      <c r="G11" s="81" t="s">
        <v>1033</v>
      </c>
      <c r="H11" s="256"/>
      <c r="I11" s="256"/>
      <c r="J11" s="256"/>
      <c r="K11" s="256"/>
      <c r="L11" s="256"/>
      <c r="M11" s="256"/>
      <c r="N11" s="256"/>
      <c r="O11" s="256"/>
      <c r="P11" s="256"/>
      <c r="Q11" s="256"/>
      <c r="R11" s="256"/>
      <c r="S11" s="256"/>
    </row>
    <row r="12" ht="27" customHeight="1" spans="3:19">
      <c r="C12" s="81" t="s">
        <v>2413</v>
      </c>
      <c r="D12" s="251" t="s">
        <v>2398</v>
      </c>
      <c r="F12" s="81" t="s">
        <v>1177</v>
      </c>
      <c r="G12" s="81" t="s">
        <v>1033</v>
      </c>
      <c r="H12" s="256">
        <v>13557.22</v>
      </c>
      <c r="I12" s="256">
        <v>13557.22</v>
      </c>
      <c r="J12" s="256">
        <v>13557.22</v>
      </c>
      <c r="K12" s="256">
        <v>13557.22</v>
      </c>
      <c r="L12" s="256">
        <v>13557.22</v>
      </c>
      <c r="M12" s="256">
        <v>13557.22</v>
      </c>
      <c r="N12" s="256">
        <v>13557.22</v>
      </c>
      <c r="O12" s="256">
        <v>13557.22</v>
      </c>
      <c r="P12" s="256">
        <v>13557.22</v>
      </c>
      <c r="Q12" s="256">
        <v>13557.22</v>
      </c>
      <c r="R12" s="256">
        <v>13557.22</v>
      </c>
      <c r="S12" s="256">
        <v>13557.22</v>
      </c>
    </row>
    <row r="13" ht="27" customHeight="1" spans="3:19">
      <c r="C13" s="81" t="s">
        <v>2414</v>
      </c>
      <c r="D13" s="251"/>
      <c r="F13" s="81" t="s">
        <v>2313</v>
      </c>
      <c r="G13" s="81" t="s">
        <v>1033</v>
      </c>
      <c r="H13" s="256">
        <v>13557.22</v>
      </c>
      <c r="I13" s="256">
        <v>13557.22</v>
      </c>
      <c r="J13" s="256">
        <v>13557.22</v>
      </c>
      <c r="K13" s="256">
        <v>13557.22</v>
      </c>
      <c r="L13" s="256">
        <v>13557.22</v>
      </c>
      <c r="M13" s="256">
        <v>13557.22</v>
      </c>
      <c r="N13" s="256">
        <v>13557.22</v>
      </c>
      <c r="O13" s="256">
        <v>13557.22</v>
      </c>
      <c r="P13" s="256">
        <v>13557.22</v>
      </c>
      <c r="Q13" s="256">
        <v>13557.22</v>
      </c>
      <c r="R13" s="256">
        <v>13557.22</v>
      </c>
      <c r="S13" s="256">
        <v>13557.22</v>
      </c>
    </row>
    <row r="14" ht="27" customHeight="1" spans="3:4">
      <c r="C14" s="81" t="s">
        <v>2415</v>
      </c>
      <c r="D14" s="251" t="s">
        <v>2416</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2417</v>
      </c>
      <c r="D17" s="250"/>
      <c r="E17" s="250"/>
      <c r="F17" s="250"/>
      <c r="G17" s="250"/>
      <c r="H17" s="250"/>
      <c r="I17" s="250"/>
      <c r="J17" s="250"/>
      <c r="K17" s="250"/>
      <c r="L17" s="250"/>
      <c r="M17" s="250"/>
      <c r="N17" s="250"/>
      <c r="O17" s="250"/>
      <c r="P17" s="250"/>
      <c r="Q17" s="250"/>
      <c r="R17" s="250"/>
      <c r="S17" s="250"/>
    </row>
    <row r="18" ht="27" customHeight="1" spans="3:19">
      <c r="C18" s="81" t="s">
        <v>2418</v>
      </c>
      <c r="D18" s="257" t="s">
        <v>2412</v>
      </c>
      <c r="F18" s="252" t="s">
        <v>2419</v>
      </c>
      <c r="G18" s="253"/>
      <c r="H18" s="253"/>
      <c r="I18" s="253"/>
      <c r="J18" s="253"/>
      <c r="K18" s="253"/>
      <c r="L18" s="253"/>
      <c r="M18" s="253"/>
      <c r="N18" s="253"/>
      <c r="O18" s="253"/>
      <c r="P18" s="253"/>
      <c r="Q18" s="253"/>
      <c r="R18" s="253"/>
      <c r="S18" s="258"/>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1"/>
      <c r="I21" s="251"/>
      <c r="J21" s="251"/>
      <c r="K21" s="251"/>
      <c r="L21" s="251"/>
      <c r="M21" s="251"/>
      <c r="N21" s="251"/>
      <c r="O21" s="251"/>
      <c r="P21" s="251"/>
      <c r="Q21" s="251"/>
      <c r="R21" s="251"/>
      <c r="S21" s="251"/>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J172" sqref="J172"/>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14</v>
      </c>
      <c r="E2" s="223" t="s">
        <v>805</v>
      </c>
      <c r="F2" s="224">
        <f t="shared" ref="F2:Q2" si="1">F3+F4+F5</f>
        <v>69</v>
      </c>
      <c r="G2" s="224">
        <f t="shared" si="1"/>
        <v>9</v>
      </c>
      <c r="H2" s="224">
        <f t="shared" si="1"/>
        <v>9</v>
      </c>
      <c r="I2" s="224">
        <f t="shared" si="1"/>
        <v>9</v>
      </c>
      <c r="J2" s="224">
        <f t="shared" si="1"/>
        <v>9</v>
      </c>
      <c r="K2" s="224">
        <f t="shared" si="1"/>
        <v>9</v>
      </c>
      <c r="L2" s="224">
        <f t="shared" si="1"/>
        <v>9</v>
      </c>
      <c r="M2" s="224">
        <f t="shared" si="1"/>
        <v>9</v>
      </c>
      <c r="N2" s="224">
        <f t="shared" si="1"/>
        <v>9</v>
      </c>
      <c r="O2" s="224">
        <f t="shared" si="1"/>
        <v>9</v>
      </c>
      <c r="P2" s="224">
        <f t="shared" si="1"/>
        <v>9</v>
      </c>
      <c r="Q2" s="224">
        <f t="shared" si="1"/>
        <v>9</v>
      </c>
    </row>
    <row r="3" spans="1:17">
      <c r="A3" s="216">
        <v>1</v>
      </c>
      <c r="B3" s="222" t="s">
        <v>2428</v>
      </c>
      <c r="C3" s="225" t="s">
        <v>109</v>
      </c>
      <c r="D3" s="226">
        <f t="shared" si="0"/>
        <v>3.58333333333333</v>
      </c>
      <c r="E3" s="226" t="s">
        <v>805</v>
      </c>
      <c r="F3" s="227">
        <f t="shared" ref="F3:Q3" si="2">F7+F35+F71+F115+F155+F175+F195+F211</f>
        <v>21</v>
      </c>
      <c r="G3" s="227">
        <f t="shared" si="2"/>
        <v>2</v>
      </c>
      <c r="H3" s="227">
        <f t="shared" si="2"/>
        <v>2</v>
      </c>
      <c r="I3" s="227">
        <f t="shared" si="2"/>
        <v>2</v>
      </c>
      <c r="J3" s="227">
        <f t="shared" si="2"/>
        <v>2</v>
      </c>
      <c r="K3" s="227">
        <f t="shared" si="2"/>
        <v>2</v>
      </c>
      <c r="L3" s="227">
        <f t="shared" si="2"/>
        <v>2</v>
      </c>
      <c r="M3" s="227">
        <f t="shared" si="2"/>
        <v>2</v>
      </c>
      <c r="N3" s="227">
        <f t="shared" si="2"/>
        <v>2</v>
      </c>
      <c r="O3" s="227">
        <f t="shared" si="2"/>
        <v>2</v>
      </c>
      <c r="P3" s="227">
        <f t="shared" si="2"/>
        <v>2</v>
      </c>
      <c r="Q3" s="227">
        <f t="shared" si="2"/>
        <v>2</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8.75</v>
      </c>
      <c r="E5" s="232" t="s">
        <v>805</v>
      </c>
      <c r="F5" s="233">
        <f t="shared" ref="F5:Q5" si="4">F9+F37+F73+F117+F157+F177+F197+F213</f>
        <v>28</v>
      </c>
      <c r="G5" s="233">
        <f t="shared" si="4"/>
        <v>7</v>
      </c>
      <c r="H5" s="233">
        <f t="shared" si="4"/>
        <v>7</v>
      </c>
      <c r="I5" s="233">
        <f t="shared" si="4"/>
        <v>7</v>
      </c>
      <c r="J5" s="233">
        <f t="shared" si="4"/>
        <v>7</v>
      </c>
      <c r="K5" s="233">
        <f t="shared" si="4"/>
        <v>7</v>
      </c>
      <c r="L5" s="233">
        <f t="shared" si="4"/>
        <v>7</v>
      </c>
      <c r="M5" s="233">
        <f t="shared" si="4"/>
        <v>7</v>
      </c>
      <c r="N5" s="233">
        <f t="shared" si="4"/>
        <v>7</v>
      </c>
      <c r="O5" s="233">
        <f t="shared" si="4"/>
        <v>7</v>
      </c>
      <c r="P5" s="233">
        <f t="shared" si="4"/>
        <v>7</v>
      </c>
      <c r="Q5" s="233">
        <f t="shared" si="4"/>
        <v>7</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6</v>
      </c>
      <c r="E70" s="235" t="s">
        <v>805</v>
      </c>
      <c r="F70" s="236">
        <f t="shared" ref="F70:Q70" si="28">F71+F72+F73</f>
        <v>6</v>
      </c>
      <c r="G70" s="236">
        <f t="shared" si="28"/>
        <v>6</v>
      </c>
      <c r="H70" s="236">
        <f t="shared" si="28"/>
        <v>6</v>
      </c>
      <c r="I70" s="236">
        <f t="shared" si="28"/>
        <v>6</v>
      </c>
      <c r="J70" s="236">
        <f t="shared" si="28"/>
        <v>6</v>
      </c>
      <c r="K70" s="236">
        <f t="shared" si="28"/>
        <v>6</v>
      </c>
      <c r="L70" s="236">
        <f t="shared" si="28"/>
        <v>6</v>
      </c>
      <c r="M70" s="236">
        <f t="shared" si="28"/>
        <v>6</v>
      </c>
      <c r="N70" s="236">
        <f t="shared" si="28"/>
        <v>6</v>
      </c>
      <c r="O70" s="236">
        <f t="shared" si="28"/>
        <v>6</v>
      </c>
      <c r="P70" s="236">
        <f t="shared" si="28"/>
        <v>6</v>
      </c>
      <c r="Q70" s="236">
        <f t="shared" si="28"/>
        <v>6</v>
      </c>
    </row>
    <row r="71" spans="1:17">
      <c r="A71" s="216">
        <v>17</v>
      </c>
      <c r="B71" s="234" t="s">
        <v>191</v>
      </c>
      <c r="C71" s="225" t="s">
        <v>109</v>
      </c>
      <c r="D71" s="226">
        <f t="shared" si="26"/>
        <v>0</v>
      </c>
      <c r="E71" s="226" t="s">
        <v>805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6</v>
      </c>
      <c r="E73" s="232" t="s">
        <v>805</v>
      </c>
      <c r="F73" s="233">
        <f t="shared" ref="F73:Q73" si="31">F77+F81+F85+F89+F93+F97+F101+F105+F109+F113</f>
        <v>6</v>
      </c>
      <c r="G73" s="233">
        <f t="shared" si="31"/>
        <v>6</v>
      </c>
      <c r="H73" s="233">
        <f t="shared" si="31"/>
        <v>6</v>
      </c>
      <c r="I73" s="233">
        <f t="shared" si="31"/>
        <v>6</v>
      </c>
      <c r="J73" s="233">
        <f t="shared" si="31"/>
        <v>6</v>
      </c>
      <c r="K73" s="233">
        <f t="shared" si="31"/>
        <v>6</v>
      </c>
      <c r="L73" s="233">
        <f t="shared" si="31"/>
        <v>6</v>
      </c>
      <c r="M73" s="233">
        <f t="shared" si="31"/>
        <v>6</v>
      </c>
      <c r="N73" s="233">
        <f t="shared" si="31"/>
        <v>6</v>
      </c>
      <c r="O73" s="233">
        <f t="shared" si="31"/>
        <v>6</v>
      </c>
      <c r="P73" s="233">
        <f t="shared" si="31"/>
        <v>6</v>
      </c>
      <c r="Q73" s="233">
        <f t="shared" si="31"/>
        <v>6</v>
      </c>
    </row>
    <row r="74" outlineLevel="1" spans="1:17">
      <c r="A74" s="216">
        <v>18</v>
      </c>
      <c r="B74" s="237" t="s">
        <v>885</v>
      </c>
      <c r="C74" s="238" t="s">
        <v>745</v>
      </c>
      <c r="D74" s="239">
        <f t="shared" si="26"/>
        <v>6</v>
      </c>
      <c r="E74" s="239" t="s">
        <v>805</v>
      </c>
      <c r="F74" s="240">
        <f t="shared" ref="F74:Q74" si="32">F75+F76+F77</f>
        <v>6</v>
      </c>
      <c r="G74" s="240">
        <f t="shared" si="32"/>
        <v>6</v>
      </c>
      <c r="H74" s="240">
        <f t="shared" si="32"/>
        <v>6</v>
      </c>
      <c r="I74" s="240">
        <f t="shared" si="32"/>
        <v>6</v>
      </c>
      <c r="J74" s="240">
        <f t="shared" si="32"/>
        <v>6</v>
      </c>
      <c r="K74" s="240">
        <f t="shared" si="32"/>
        <v>6</v>
      </c>
      <c r="L74" s="240">
        <f t="shared" si="32"/>
        <v>6</v>
      </c>
      <c r="M74" s="240">
        <f t="shared" si="32"/>
        <v>6</v>
      </c>
      <c r="N74" s="240">
        <f t="shared" si="32"/>
        <v>6</v>
      </c>
      <c r="O74" s="240">
        <f t="shared" si="32"/>
        <v>6</v>
      </c>
      <c r="P74" s="240">
        <f t="shared" si="32"/>
        <v>6</v>
      </c>
      <c r="Q74" s="240">
        <f t="shared" si="32"/>
        <v>6</v>
      </c>
    </row>
    <row r="75" outlineLevel="1" spans="1:17">
      <c r="A75" s="216">
        <v>18</v>
      </c>
      <c r="B75" s="237" t="s">
        <v>885</v>
      </c>
      <c r="C75" s="225" t="s">
        <v>109</v>
      </c>
      <c r="D75" s="226">
        <f t="shared" si="26"/>
        <v>0</v>
      </c>
      <c r="E75" s="226" t="s">
        <v>805</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6</v>
      </c>
      <c r="E77" s="232" t="s">
        <v>805</v>
      </c>
      <c r="F77" s="241">
        <v>6</v>
      </c>
      <c r="G77" s="241">
        <v>6</v>
      </c>
      <c r="H77" s="241">
        <v>6</v>
      </c>
      <c r="I77" s="241">
        <v>6</v>
      </c>
      <c r="J77" s="241">
        <v>6</v>
      </c>
      <c r="K77" s="241">
        <v>6</v>
      </c>
      <c r="L77" s="241">
        <v>6</v>
      </c>
      <c r="M77" s="241">
        <v>6</v>
      </c>
      <c r="N77" s="241">
        <v>6</v>
      </c>
      <c r="O77" s="241">
        <v>6</v>
      </c>
      <c r="P77" s="241">
        <v>6</v>
      </c>
      <c r="Q77" s="241">
        <v>6</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2</v>
      </c>
      <c r="E114" s="235" t="s">
        <v>805</v>
      </c>
      <c r="F114" s="236">
        <f t="shared" ref="F114:Q114" si="42">F115+F116+F117</f>
        <v>2</v>
      </c>
      <c r="G114" s="236">
        <f t="shared" si="42"/>
        <v>2</v>
      </c>
      <c r="H114" s="236">
        <f t="shared" si="42"/>
        <v>2</v>
      </c>
      <c r="I114" s="236">
        <f t="shared" si="42"/>
        <v>2</v>
      </c>
      <c r="J114" s="236">
        <f t="shared" si="42"/>
        <v>2</v>
      </c>
      <c r="K114" s="236">
        <f t="shared" si="42"/>
        <v>2</v>
      </c>
      <c r="L114" s="236">
        <f t="shared" si="42"/>
        <v>2</v>
      </c>
      <c r="M114" s="236">
        <f t="shared" si="42"/>
        <v>2</v>
      </c>
      <c r="N114" s="236">
        <f t="shared" si="42"/>
        <v>2</v>
      </c>
      <c r="O114" s="236">
        <f t="shared" si="42"/>
        <v>2</v>
      </c>
      <c r="P114" s="236">
        <f t="shared" si="42"/>
        <v>2</v>
      </c>
      <c r="Q114" s="236">
        <f t="shared" si="42"/>
        <v>2</v>
      </c>
    </row>
    <row r="115" spans="1:17">
      <c r="A115" s="216">
        <v>28</v>
      </c>
      <c r="B115" s="234" t="s">
        <v>195</v>
      </c>
      <c r="C115" s="225" t="s">
        <v>109</v>
      </c>
      <c r="D115" s="226">
        <f t="shared" si="26"/>
        <v>2</v>
      </c>
      <c r="E115" s="226" t="s">
        <v>805</v>
      </c>
      <c r="F115" s="227">
        <f t="shared" ref="F115:Q115" si="43">F119+F123+F127+F131+F135+F139+F143+F147+F151</f>
        <v>2</v>
      </c>
      <c r="G115" s="227">
        <f t="shared" si="43"/>
        <v>2</v>
      </c>
      <c r="H115" s="227">
        <f t="shared" si="43"/>
        <v>2</v>
      </c>
      <c r="I115" s="227">
        <f t="shared" si="43"/>
        <v>2</v>
      </c>
      <c r="J115" s="227">
        <f t="shared" si="43"/>
        <v>2</v>
      </c>
      <c r="K115" s="227">
        <f t="shared" si="43"/>
        <v>2</v>
      </c>
      <c r="L115" s="227">
        <f t="shared" si="43"/>
        <v>2</v>
      </c>
      <c r="M115" s="227">
        <f t="shared" si="43"/>
        <v>2</v>
      </c>
      <c r="N115" s="227">
        <f t="shared" si="43"/>
        <v>2</v>
      </c>
      <c r="O115" s="227">
        <f t="shared" si="43"/>
        <v>2</v>
      </c>
      <c r="P115" s="227">
        <f t="shared" si="43"/>
        <v>2</v>
      </c>
      <c r="Q115" s="227">
        <f t="shared" si="43"/>
        <v>2</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2</v>
      </c>
      <c r="E118" s="239" t="s">
        <v>805</v>
      </c>
      <c r="F118" s="240">
        <f t="shared" ref="F118:Q118" si="46">F119+F120+F121</f>
        <v>2</v>
      </c>
      <c r="G118" s="240">
        <f t="shared" si="46"/>
        <v>2</v>
      </c>
      <c r="H118" s="240">
        <f t="shared" si="46"/>
        <v>2</v>
      </c>
      <c r="I118" s="240">
        <f t="shared" si="46"/>
        <v>2</v>
      </c>
      <c r="J118" s="240">
        <f t="shared" si="46"/>
        <v>2</v>
      </c>
      <c r="K118" s="240">
        <f t="shared" si="46"/>
        <v>2</v>
      </c>
      <c r="L118" s="240">
        <f t="shared" si="46"/>
        <v>2</v>
      </c>
      <c r="M118" s="240">
        <f t="shared" si="46"/>
        <v>2</v>
      </c>
      <c r="N118" s="240">
        <f t="shared" si="46"/>
        <v>2</v>
      </c>
      <c r="O118" s="240">
        <f t="shared" si="46"/>
        <v>2</v>
      </c>
      <c r="P118" s="240">
        <f t="shared" si="46"/>
        <v>2</v>
      </c>
      <c r="Q118" s="240">
        <f t="shared" si="46"/>
        <v>2</v>
      </c>
    </row>
    <row r="119" outlineLevel="1" spans="1:17">
      <c r="A119" s="216">
        <v>29</v>
      </c>
      <c r="B119" s="237" t="s">
        <v>986</v>
      </c>
      <c r="C119" s="225" t="s">
        <v>109</v>
      </c>
      <c r="D119" s="226">
        <f t="shared" si="26"/>
        <v>2</v>
      </c>
      <c r="E119" s="226" t="s">
        <v>805</v>
      </c>
      <c r="F119" s="241">
        <f>自有人工预算!E10</f>
        <v>2</v>
      </c>
      <c r="G119" s="241">
        <f>自有人工预算!F10</f>
        <v>2</v>
      </c>
      <c r="H119" s="241">
        <f>自有人工预算!G10</f>
        <v>2</v>
      </c>
      <c r="I119" s="241">
        <f>自有人工预算!H10</f>
        <v>2</v>
      </c>
      <c r="J119" s="241">
        <f>自有人工预算!I10</f>
        <v>2</v>
      </c>
      <c r="K119" s="241">
        <f>自有人工预算!J10</f>
        <v>2</v>
      </c>
      <c r="L119" s="241">
        <f>自有人工预算!K10</f>
        <v>2</v>
      </c>
      <c r="M119" s="241">
        <f>自有人工预算!L10</f>
        <v>2</v>
      </c>
      <c r="N119" s="241">
        <f>自有人工预算!M10</f>
        <v>2</v>
      </c>
      <c r="O119" s="241">
        <f>自有人工预算!N10</f>
        <v>2</v>
      </c>
      <c r="P119" s="241">
        <f>自有人工预算!O10</f>
        <v>2</v>
      </c>
      <c r="Q119" s="241">
        <f>自有人工预算!P10</f>
        <v>2</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0</v>
      </c>
      <c r="E154" s="235" t="s">
        <v>805</v>
      </c>
      <c r="F154" s="236">
        <f t="shared" ref="F154:Q154" si="56">F155+F156+F157</f>
        <v>0</v>
      </c>
      <c r="G154" s="236">
        <f t="shared" si="56"/>
        <v>0</v>
      </c>
      <c r="H154" s="236">
        <f t="shared" si="56"/>
        <v>0</v>
      </c>
      <c r="I154" s="236">
        <f t="shared" si="56"/>
        <v>0</v>
      </c>
      <c r="J154" s="236">
        <f t="shared" si="56"/>
        <v>0</v>
      </c>
      <c r="K154" s="236">
        <f t="shared" si="56"/>
        <v>0</v>
      </c>
      <c r="L154" s="236">
        <f t="shared" si="56"/>
        <v>0</v>
      </c>
      <c r="M154" s="236">
        <f t="shared" si="56"/>
        <v>0</v>
      </c>
      <c r="N154" s="236">
        <f t="shared" si="56"/>
        <v>0</v>
      </c>
      <c r="O154" s="236">
        <f t="shared" si="56"/>
        <v>0</v>
      </c>
      <c r="P154" s="236">
        <f t="shared" si="56"/>
        <v>0</v>
      </c>
      <c r="Q154" s="236">
        <f t="shared" si="56"/>
        <v>0</v>
      </c>
    </row>
    <row r="155" spans="1:17">
      <c r="A155" s="216">
        <v>38</v>
      </c>
      <c r="B155" s="234" t="s">
        <v>199</v>
      </c>
      <c r="C155" s="225" t="s">
        <v>109</v>
      </c>
      <c r="D155" s="226">
        <f t="shared" si="49"/>
        <v>0</v>
      </c>
      <c r="E155" s="226" t="s">
        <v>805</v>
      </c>
      <c r="F155" s="227">
        <f t="shared" ref="F155:Q155" si="57">F159+F163+F167+F171</f>
        <v>0</v>
      </c>
      <c r="G155" s="227">
        <f t="shared" si="57"/>
        <v>0</v>
      </c>
      <c r="H155" s="227">
        <f t="shared" si="57"/>
        <v>0</v>
      </c>
      <c r="I155" s="227">
        <f t="shared" si="57"/>
        <v>0</v>
      </c>
      <c r="J155" s="227">
        <f t="shared" si="57"/>
        <v>0</v>
      </c>
      <c r="K155" s="227">
        <f t="shared" si="57"/>
        <v>0</v>
      </c>
      <c r="L155" s="227">
        <f t="shared" si="57"/>
        <v>0</v>
      </c>
      <c r="M155" s="227">
        <f t="shared" si="57"/>
        <v>0</v>
      </c>
      <c r="N155" s="227">
        <f t="shared" si="57"/>
        <v>0</v>
      </c>
      <c r="O155" s="227">
        <f t="shared" si="57"/>
        <v>0</v>
      </c>
      <c r="P155" s="227">
        <f t="shared" si="57"/>
        <v>0</v>
      </c>
      <c r="Q155" s="227">
        <f t="shared" si="57"/>
        <v>0</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0</v>
      </c>
      <c r="E158" s="239" t="s">
        <v>805</v>
      </c>
      <c r="F158" s="240">
        <f t="shared" ref="F158:Q158" si="60">F159+F160+F161</f>
        <v>0</v>
      </c>
      <c r="G158" s="240">
        <f t="shared" si="60"/>
        <v>0</v>
      </c>
      <c r="H158" s="240">
        <f t="shared" si="60"/>
        <v>0</v>
      </c>
      <c r="I158" s="240">
        <f t="shared" si="60"/>
        <v>0</v>
      </c>
      <c r="J158" s="240">
        <f t="shared" si="60"/>
        <v>0</v>
      </c>
      <c r="K158" s="240">
        <f t="shared" si="60"/>
        <v>0</v>
      </c>
      <c r="L158" s="240">
        <f t="shared" si="60"/>
        <v>0</v>
      </c>
      <c r="M158" s="240">
        <f t="shared" si="60"/>
        <v>0</v>
      </c>
      <c r="N158" s="240">
        <f t="shared" si="60"/>
        <v>0</v>
      </c>
      <c r="O158" s="240">
        <f t="shared" si="60"/>
        <v>0</v>
      </c>
      <c r="P158" s="240">
        <f t="shared" si="60"/>
        <v>0</v>
      </c>
      <c r="Q158" s="240">
        <f t="shared" si="60"/>
        <v>0</v>
      </c>
    </row>
    <row r="159" outlineLevel="1" spans="1:17">
      <c r="A159" s="216">
        <v>39</v>
      </c>
      <c r="B159" s="237" t="s">
        <v>1037</v>
      </c>
      <c r="C159" s="225" t="s">
        <v>109</v>
      </c>
      <c r="D159" s="226">
        <f t="shared" si="49"/>
        <v>0</v>
      </c>
      <c r="E159" s="226" t="s">
        <v>805</v>
      </c>
      <c r="F159" s="241">
        <f>自有人工预算!E9</f>
        <v>0</v>
      </c>
      <c r="G159" s="241">
        <f>自有人工预算!F9</f>
        <v>0</v>
      </c>
      <c r="H159" s="241">
        <f>自有人工预算!G9</f>
        <v>0</v>
      </c>
      <c r="I159" s="241">
        <f>自有人工预算!H9</f>
        <v>0</v>
      </c>
      <c r="J159" s="241">
        <f>自有人工预算!I9</f>
        <v>0</v>
      </c>
      <c r="K159" s="241">
        <f>自有人工预算!J9</f>
        <v>0</v>
      </c>
      <c r="L159" s="241">
        <f>自有人工预算!K9</f>
        <v>0</v>
      </c>
      <c r="M159" s="241">
        <f>自有人工预算!L9</f>
        <v>0</v>
      </c>
      <c r="N159" s="241">
        <f>自有人工预算!M9</f>
        <v>0</v>
      </c>
      <c r="O159" s="241">
        <f>自有人工预算!N9</f>
        <v>0</v>
      </c>
      <c r="P159" s="241">
        <f>自有人工预算!O9</f>
        <v>0</v>
      </c>
      <c r="Q159" s="241">
        <f>自有人工预算!P9</f>
        <v>0</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1</v>
      </c>
      <c r="E174" s="235" t="s">
        <v>805</v>
      </c>
      <c r="F174" s="236">
        <f t="shared" ref="F174:Q174" si="64">F175+F176+F177</f>
        <v>1</v>
      </c>
      <c r="G174" s="236">
        <f t="shared" si="64"/>
        <v>1</v>
      </c>
      <c r="H174" s="236">
        <f t="shared" si="64"/>
        <v>1</v>
      </c>
      <c r="I174" s="236">
        <f t="shared" si="64"/>
        <v>1</v>
      </c>
      <c r="J174" s="236">
        <f t="shared" si="64"/>
        <v>1</v>
      </c>
      <c r="K174" s="236">
        <f t="shared" si="64"/>
        <v>1</v>
      </c>
      <c r="L174" s="236">
        <f t="shared" si="64"/>
        <v>1</v>
      </c>
      <c r="M174" s="236">
        <f t="shared" si="64"/>
        <v>1</v>
      </c>
      <c r="N174" s="236">
        <f t="shared" si="64"/>
        <v>1</v>
      </c>
      <c r="O174" s="236">
        <f t="shared" si="64"/>
        <v>1</v>
      </c>
      <c r="P174" s="236">
        <f t="shared" si="64"/>
        <v>1</v>
      </c>
      <c r="Q174" s="236">
        <f t="shared" si="64"/>
        <v>1</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1</v>
      </c>
      <c r="E177" s="232" t="s">
        <v>805</v>
      </c>
      <c r="F177" s="233">
        <f t="shared" ref="F177:Q177" si="67">F181+F185+F189+F193</f>
        <v>1</v>
      </c>
      <c r="G177" s="233">
        <f t="shared" si="67"/>
        <v>1</v>
      </c>
      <c r="H177" s="233">
        <f t="shared" si="67"/>
        <v>1</v>
      </c>
      <c r="I177" s="233">
        <f t="shared" si="67"/>
        <v>1</v>
      </c>
      <c r="J177" s="233">
        <f t="shared" si="67"/>
        <v>1</v>
      </c>
      <c r="K177" s="233">
        <f t="shared" si="67"/>
        <v>1</v>
      </c>
      <c r="L177" s="233">
        <f t="shared" si="67"/>
        <v>1</v>
      </c>
      <c r="M177" s="233">
        <f t="shared" si="67"/>
        <v>1</v>
      </c>
      <c r="N177" s="233">
        <f t="shared" si="67"/>
        <v>1</v>
      </c>
      <c r="O177" s="233">
        <f t="shared" si="67"/>
        <v>1</v>
      </c>
      <c r="P177" s="233">
        <f t="shared" si="67"/>
        <v>1</v>
      </c>
      <c r="Q177" s="233">
        <f t="shared" si="67"/>
        <v>1</v>
      </c>
    </row>
    <row r="178" outlineLevel="1" spans="1:17">
      <c r="A178" s="216">
        <v>44</v>
      </c>
      <c r="B178" s="237" t="s">
        <v>1069</v>
      </c>
      <c r="C178" s="238" t="s">
        <v>745</v>
      </c>
      <c r="D178" s="239">
        <f t="shared" si="49"/>
        <v>1</v>
      </c>
      <c r="E178" s="239" t="s">
        <v>805</v>
      </c>
      <c r="F178" s="240">
        <f t="shared" ref="F178:Q178" si="68">F179+F180+F181</f>
        <v>1</v>
      </c>
      <c r="G178" s="240">
        <f t="shared" si="68"/>
        <v>1</v>
      </c>
      <c r="H178" s="240">
        <f t="shared" si="68"/>
        <v>1</v>
      </c>
      <c r="I178" s="240">
        <f t="shared" si="68"/>
        <v>1</v>
      </c>
      <c r="J178" s="240">
        <f t="shared" si="68"/>
        <v>1</v>
      </c>
      <c r="K178" s="240">
        <f t="shared" si="68"/>
        <v>1</v>
      </c>
      <c r="L178" s="240">
        <f t="shared" si="68"/>
        <v>1</v>
      </c>
      <c r="M178" s="240">
        <f t="shared" si="68"/>
        <v>1</v>
      </c>
      <c r="N178" s="240">
        <f t="shared" si="68"/>
        <v>1</v>
      </c>
      <c r="O178" s="240">
        <f t="shared" si="68"/>
        <v>1</v>
      </c>
      <c r="P178" s="240">
        <f t="shared" si="68"/>
        <v>1</v>
      </c>
      <c r="Q178" s="240">
        <f t="shared" si="68"/>
        <v>1</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1</v>
      </c>
      <c r="E181" s="232" t="s">
        <v>805</v>
      </c>
      <c r="F181" s="241">
        <v>1</v>
      </c>
      <c r="G181" s="241">
        <v>1</v>
      </c>
      <c r="H181" s="241">
        <v>1</v>
      </c>
      <c r="I181" s="241">
        <v>1</v>
      </c>
      <c r="J181" s="241">
        <v>1</v>
      </c>
      <c r="K181" s="241">
        <v>1</v>
      </c>
      <c r="L181" s="241">
        <v>1</v>
      </c>
      <c r="M181" s="241">
        <v>1</v>
      </c>
      <c r="N181" s="241">
        <v>1</v>
      </c>
      <c r="O181" s="241">
        <v>1</v>
      </c>
      <c r="P181" s="241">
        <v>1</v>
      </c>
      <c r="Q181" s="241">
        <v>1</v>
      </c>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2423</v>
      </c>
    </row>
    <row r="5" spans="2:4">
      <c r="B5" t="s">
        <v>943</v>
      </c>
      <c r="C5" t="s">
        <v>2431</v>
      </c>
      <c r="D5" t="s">
        <v>2432</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2431</v>
      </c>
      <c r="AB26" s="178" t="s">
        <v>2431</v>
      </c>
      <c r="AC26" s="178" t="s">
        <v>2431</v>
      </c>
      <c r="AD26" s="178" t="s">
        <v>2431</v>
      </c>
      <c r="AE26" s="178" t="s">
        <v>2431</v>
      </c>
      <c r="AF26" s="178" t="s">
        <v>2431</v>
      </c>
      <c r="AG26" s="178" t="s">
        <v>2431</v>
      </c>
      <c r="AH26" s="178" t="s">
        <v>2431</v>
      </c>
      <c r="AI26" s="178" t="s">
        <v>2431</v>
      </c>
      <c r="AJ26" s="178" t="s">
        <v>2431</v>
      </c>
      <c r="AK26" s="178" t="s">
        <v>2431</v>
      </c>
      <c r="AL26" s="178" t="s">
        <v>2431</v>
      </c>
      <c r="AM26" s="178" t="s">
        <v>2431</v>
      </c>
      <c r="AN26" s="178" t="s">
        <v>2431</v>
      </c>
      <c r="AO26" s="178" t="s">
        <v>2431</v>
      </c>
      <c r="AP26" s="178" t="s">
        <v>2431</v>
      </c>
      <c r="AQ26" s="178" t="s">
        <v>2431</v>
      </c>
      <c r="AR26" s="178" t="s">
        <v>2431</v>
      </c>
      <c r="AS26" s="178" t="s">
        <v>2431</v>
      </c>
      <c r="AT26" s="178" t="s">
        <v>2431</v>
      </c>
      <c r="AU26" s="178" t="s">
        <v>2431</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2431</v>
      </c>
      <c r="CM26" s="178" t="s">
        <v>2431</v>
      </c>
      <c r="CN26" s="178" t="s">
        <v>2431</v>
      </c>
      <c r="CO26" s="178" t="s">
        <v>2431</v>
      </c>
      <c r="CP26" s="178" t="s">
        <v>2431</v>
      </c>
      <c r="CQ26" s="178" t="s">
        <v>2431</v>
      </c>
      <c r="CR26" s="178" t="s">
        <v>2431</v>
      </c>
      <c r="CS26" s="178" t="s">
        <v>2431</v>
      </c>
      <c r="CT26" s="178" t="s">
        <v>2431</v>
      </c>
      <c r="CU26" s="178" t="s">
        <v>2431</v>
      </c>
      <c r="CV26" s="178" t="s">
        <v>2431</v>
      </c>
      <c r="CW26" s="178" t="s">
        <v>2431</v>
      </c>
      <c r="CX26" s="178" t="s">
        <v>2431</v>
      </c>
      <c r="CY26" s="178" t="s">
        <v>2431</v>
      </c>
      <c r="CZ26" s="178" t="s">
        <v>2431</v>
      </c>
      <c r="DA26" s="178" t="s">
        <v>2431</v>
      </c>
      <c r="DB26" s="178" t="s">
        <v>2431</v>
      </c>
      <c r="DC26" s="178" t="s">
        <v>2431</v>
      </c>
      <c r="DD26" s="178" t="s">
        <v>2431</v>
      </c>
      <c r="DE26" s="178" t="s">
        <v>2431</v>
      </c>
      <c r="DF26" s="178" t="s">
        <v>2431</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2423</v>
      </c>
      <c r="G28" s="181" t="s">
        <v>2432</v>
      </c>
      <c r="H28" s="181" t="s">
        <v>2434</v>
      </c>
      <c r="I28" s="181" t="s">
        <v>2435</v>
      </c>
      <c r="J28" s="181" t="s">
        <v>2436</v>
      </c>
      <c r="K28" s="181" t="s">
        <v>2437</v>
      </c>
      <c r="L28" s="202" t="s">
        <v>2438</v>
      </c>
      <c r="M28" s="178" t="s">
        <v>2423</v>
      </c>
      <c r="N28" s="181" t="s">
        <v>2432</v>
      </c>
      <c r="O28" s="181" t="s">
        <v>2434</v>
      </c>
      <c r="P28" s="203" t="s">
        <v>2435</v>
      </c>
      <c r="Q28" s="203" t="s">
        <v>2436</v>
      </c>
      <c r="R28" s="203" t="s">
        <v>2437</v>
      </c>
      <c r="S28" s="202" t="s">
        <v>2438</v>
      </c>
      <c r="T28" s="207" t="s">
        <v>2423</v>
      </c>
      <c r="U28" s="203" t="s">
        <v>2432</v>
      </c>
      <c r="V28" s="203" t="s">
        <v>2434</v>
      </c>
      <c r="W28" s="203" t="s">
        <v>2435</v>
      </c>
      <c r="X28" s="203" t="s">
        <v>2436</v>
      </c>
      <c r="Y28" s="203" t="s">
        <v>2437</v>
      </c>
      <c r="Z28" s="202" t="s">
        <v>2438</v>
      </c>
      <c r="AA28" s="208" t="s">
        <v>2423</v>
      </c>
      <c r="AB28" s="203" t="s">
        <v>2432</v>
      </c>
      <c r="AC28" s="203" t="s">
        <v>2434</v>
      </c>
      <c r="AD28" s="203" t="s">
        <v>2435</v>
      </c>
      <c r="AE28" s="203" t="s">
        <v>2436</v>
      </c>
      <c r="AF28" s="203" t="s">
        <v>2437</v>
      </c>
      <c r="AG28" s="202" t="s">
        <v>2438</v>
      </c>
      <c r="AH28" s="208" t="s">
        <v>2423</v>
      </c>
      <c r="AI28" s="203" t="s">
        <v>2432</v>
      </c>
      <c r="AJ28" s="203" t="s">
        <v>2434</v>
      </c>
      <c r="AK28" s="203" t="s">
        <v>2435</v>
      </c>
      <c r="AL28" s="203" t="s">
        <v>2436</v>
      </c>
      <c r="AM28" s="203" t="s">
        <v>2437</v>
      </c>
      <c r="AN28" s="202" t="s">
        <v>2438</v>
      </c>
      <c r="AO28" s="208" t="s">
        <v>2423</v>
      </c>
      <c r="AP28" s="203" t="s">
        <v>2432</v>
      </c>
      <c r="AQ28" s="203" t="s">
        <v>2434</v>
      </c>
      <c r="AR28" s="203" t="s">
        <v>2435</v>
      </c>
      <c r="AS28" s="203" t="s">
        <v>2436</v>
      </c>
      <c r="AT28" s="203" t="s">
        <v>2437</v>
      </c>
      <c r="AU28" s="202" t="s">
        <v>2438</v>
      </c>
      <c r="AV28" s="207" t="s">
        <v>2423</v>
      </c>
      <c r="AW28" s="202" t="s">
        <v>2432</v>
      </c>
      <c r="AX28" s="202" t="s">
        <v>2434</v>
      </c>
      <c r="AY28" s="202" t="s">
        <v>2435</v>
      </c>
      <c r="AZ28" s="202" t="s">
        <v>2436</v>
      </c>
      <c r="BA28" s="202" t="s">
        <v>2437</v>
      </c>
      <c r="BB28" s="202" t="s">
        <v>2438</v>
      </c>
      <c r="BC28" s="207" t="s">
        <v>2423</v>
      </c>
      <c r="BD28" s="202" t="s">
        <v>2432</v>
      </c>
      <c r="BE28" s="202" t="s">
        <v>2434</v>
      </c>
      <c r="BF28" s="202" t="s">
        <v>2435</v>
      </c>
      <c r="BG28" s="210" t="s">
        <v>2436</v>
      </c>
      <c r="BH28" s="210" t="s">
        <v>2437</v>
      </c>
      <c r="BI28" s="210" t="s">
        <v>2438</v>
      </c>
      <c r="BJ28" s="178" t="s">
        <v>2423</v>
      </c>
      <c r="BK28" s="210" t="s">
        <v>2432</v>
      </c>
      <c r="BL28" s="210" t="s">
        <v>2434</v>
      </c>
      <c r="BM28" s="210" t="s">
        <v>2435</v>
      </c>
      <c r="BN28" s="210" t="s">
        <v>2436</v>
      </c>
      <c r="BO28" s="210" t="s">
        <v>2437</v>
      </c>
      <c r="BP28" s="210" t="s">
        <v>2438</v>
      </c>
      <c r="BQ28" s="178" t="s">
        <v>2423</v>
      </c>
      <c r="BR28" s="181" t="s">
        <v>2432</v>
      </c>
      <c r="BS28" s="181" t="s">
        <v>2434</v>
      </c>
      <c r="BT28" s="181" t="s">
        <v>2435</v>
      </c>
      <c r="BU28" s="181" t="s">
        <v>2436</v>
      </c>
      <c r="BV28" s="181" t="s">
        <v>2437</v>
      </c>
      <c r="BW28" s="202" t="s">
        <v>2438</v>
      </c>
      <c r="BX28" s="178" t="s">
        <v>2423</v>
      </c>
      <c r="BY28" s="181" t="s">
        <v>2432</v>
      </c>
      <c r="BZ28" s="181" t="s">
        <v>2434</v>
      </c>
      <c r="CA28" s="203" t="s">
        <v>2435</v>
      </c>
      <c r="CB28" s="203" t="s">
        <v>2436</v>
      </c>
      <c r="CC28" s="203" t="s">
        <v>2437</v>
      </c>
      <c r="CD28" s="202" t="s">
        <v>2438</v>
      </c>
      <c r="CE28" s="207" t="s">
        <v>2423</v>
      </c>
      <c r="CF28" s="203" t="s">
        <v>2432</v>
      </c>
      <c r="CG28" s="203" t="s">
        <v>2434</v>
      </c>
      <c r="CH28" s="203" t="s">
        <v>2435</v>
      </c>
      <c r="CI28" s="203" t="s">
        <v>2436</v>
      </c>
      <c r="CJ28" s="203" t="s">
        <v>2437</v>
      </c>
      <c r="CK28" s="202" t="s">
        <v>2438</v>
      </c>
      <c r="CL28" s="208" t="s">
        <v>2423</v>
      </c>
      <c r="CM28" s="203" t="s">
        <v>2432</v>
      </c>
      <c r="CN28" s="203" t="s">
        <v>2434</v>
      </c>
      <c r="CO28" s="203" t="s">
        <v>2435</v>
      </c>
      <c r="CP28" s="203" t="s">
        <v>2436</v>
      </c>
      <c r="CQ28" s="203" t="s">
        <v>2437</v>
      </c>
      <c r="CR28" s="202" t="s">
        <v>2438</v>
      </c>
      <c r="CS28" s="208" t="s">
        <v>2423</v>
      </c>
      <c r="CT28" s="203" t="s">
        <v>2432</v>
      </c>
      <c r="CU28" s="203" t="s">
        <v>2434</v>
      </c>
      <c r="CV28" s="203" t="s">
        <v>2435</v>
      </c>
      <c r="CW28" s="203" t="s">
        <v>2436</v>
      </c>
      <c r="CX28" s="203" t="s">
        <v>2437</v>
      </c>
      <c r="CY28" s="202" t="s">
        <v>2438</v>
      </c>
      <c r="CZ28" s="208" t="s">
        <v>2423</v>
      </c>
      <c r="DA28" s="203" t="s">
        <v>2432</v>
      </c>
      <c r="DB28" s="203" t="s">
        <v>2434</v>
      </c>
      <c r="DC28" s="203" t="s">
        <v>2435</v>
      </c>
      <c r="DD28" s="203" t="s">
        <v>2436</v>
      </c>
      <c r="DE28" s="203" t="s">
        <v>2437</v>
      </c>
      <c r="DF28" s="202" t="s">
        <v>2438</v>
      </c>
      <c r="DG28" s="207" t="s">
        <v>2423</v>
      </c>
      <c r="DH28" s="202" t="s">
        <v>2432</v>
      </c>
      <c r="DI28" s="202" t="s">
        <v>2434</v>
      </c>
      <c r="DJ28" s="202" t="s">
        <v>2435</v>
      </c>
      <c r="DK28" s="202" t="s">
        <v>2436</v>
      </c>
      <c r="DL28" s="202" t="s">
        <v>2437</v>
      </c>
      <c r="DM28" s="202" t="s">
        <v>2438</v>
      </c>
      <c r="DN28" s="207" t="s">
        <v>2423</v>
      </c>
      <c r="DO28" s="202" t="s">
        <v>2432</v>
      </c>
      <c r="DP28" s="202" t="s">
        <v>2434</v>
      </c>
      <c r="DQ28" s="202" t="s">
        <v>2435</v>
      </c>
      <c r="DR28" s="210" t="s">
        <v>2436</v>
      </c>
      <c r="DS28" s="210" t="s">
        <v>2437</v>
      </c>
      <c r="DT28" s="210" t="s">
        <v>2438</v>
      </c>
      <c r="DU28" s="178" t="s">
        <v>2423</v>
      </c>
      <c r="DV28" s="210" t="s">
        <v>2432</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2412</v>
      </c>
      <c r="BR29" s="178" t="s">
        <v>2412</v>
      </c>
      <c r="BS29" s="178" t="s">
        <v>2412</v>
      </c>
      <c r="BT29" s="178" t="s">
        <v>2412</v>
      </c>
      <c r="BU29" s="178" t="s">
        <v>2412</v>
      </c>
      <c r="BV29" s="178" t="s">
        <v>2412</v>
      </c>
      <c r="BW29" s="178" t="s">
        <v>2412</v>
      </c>
      <c r="BX29" s="178" t="s">
        <v>2412</v>
      </c>
      <c r="BY29" s="178" t="s">
        <v>2412</v>
      </c>
      <c r="BZ29" s="178" t="s">
        <v>2412</v>
      </c>
      <c r="CA29" s="178" t="s">
        <v>2412</v>
      </c>
      <c r="CB29" s="178" t="s">
        <v>2412</v>
      </c>
      <c r="CC29" s="178" t="s">
        <v>2412</v>
      </c>
      <c r="CD29" s="178" t="s">
        <v>2412</v>
      </c>
      <c r="CE29" s="178" t="s">
        <v>2412</v>
      </c>
      <c r="CF29" s="178" t="s">
        <v>2412</v>
      </c>
      <c r="CG29" s="178" t="s">
        <v>2412</v>
      </c>
      <c r="CH29" s="178" t="s">
        <v>2412</v>
      </c>
      <c r="CI29" s="178" t="s">
        <v>2412</v>
      </c>
      <c r="CJ29" s="178" t="s">
        <v>2412</v>
      </c>
      <c r="CK29" s="178" t="s">
        <v>2412</v>
      </c>
      <c r="CL29" s="178" t="s">
        <v>2412</v>
      </c>
      <c r="CM29" s="178" t="s">
        <v>2412</v>
      </c>
      <c r="CN29" s="178" t="s">
        <v>2412</v>
      </c>
      <c r="CO29" s="178" t="s">
        <v>2412</v>
      </c>
      <c r="CP29" s="178" t="s">
        <v>2412</v>
      </c>
      <c r="CQ29" s="178" t="s">
        <v>2412</v>
      </c>
      <c r="CR29" s="178" t="s">
        <v>2412</v>
      </c>
      <c r="CS29" s="178" t="s">
        <v>2412</v>
      </c>
      <c r="CT29" s="178" t="s">
        <v>2412</v>
      </c>
      <c r="CU29" s="178" t="s">
        <v>2412</v>
      </c>
      <c r="CV29" s="178" t="s">
        <v>2412</v>
      </c>
      <c r="CW29" s="178" t="s">
        <v>2412</v>
      </c>
      <c r="CX29" s="178" t="s">
        <v>2412</v>
      </c>
      <c r="CY29" s="178" t="s">
        <v>2412</v>
      </c>
      <c r="CZ29" s="178" t="s">
        <v>2412</v>
      </c>
      <c r="DA29" s="178" t="s">
        <v>2412</v>
      </c>
      <c r="DB29" s="178" t="s">
        <v>2412</v>
      </c>
      <c r="DC29" s="178" t="s">
        <v>2412</v>
      </c>
      <c r="DD29" s="178" t="s">
        <v>2412</v>
      </c>
      <c r="DE29" s="178" t="s">
        <v>2412</v>
      </c>
      <c r="DF29" s="178" t="s">
        <v>2412</v>
      </c>
      <c r="DG29" s="178" t="s">
        <v>2412</v>
      </c>
      <c r="DH29" s="178" t="s">
        <v>2412</v>
      </c>
      <c r="DI29" s="178" t="s">
        <v>2412</v>
      </c>
      <c r="DJ29" s="178" t="s">
        <v>2412</v>
      </c>
      <c r="DK29" s="178" t="s">
        <v>2412</v>
      </c>
      <c r="DL29" s="178" t="s">
        <v>2412</v>
      </c>
      <c r="DM29" s="178" t="s">
        <v>2412</v>
      </c>
      <c r="DN29" s="178" t="s">
        <v>2412</v>
      </c>
      <c r="DO29" s="178" t="s">
        <v>2412</v>
      </c>
      <c r="DP29" s="178" t="s">
        <v>2412</v>
      </c>
      <c r="DQ29" s="178" t="s">
        <v>2412</v>
      </c>
      <c r="DR29" s="178" t="s">
        <v>2412</v>
      </c>
      <c r="DS29" s="178" t="s">
        <v>2412</v>
      </c>
      <c r="DT29" s="178" t="s">
        <v>2412</v>
      </c>
      <c r="DU29" s="178" t="s">
        <v>2412</v>
      </c>
      <c r="DV29" s="178" t="s">
        <v>2412</v>
      </c>
      <c r="DW29" s="178" t="s">
        <v>2412</v>
      </c>
      <c r="DX29" s="178" t="s">
        <v>2412</v>
      </c>
      <c r="DY29" s="178" t="s">
        <v>2412</v>
      </c>
      <c r="DZ29" s="178" t="s">
        <v>2412</v>
      </c>
      <c r="EA29" s="178" t="s">
        <v>2412</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L273" sqref="L273"/>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610475.576002931</v>
      </c>
      <c r="I4" s="106">
        <f t="shared" ref="I4:J4" si="0">Y4+AB4+AE4+AH4+AK4+AN4+AQ4+AT4+AW4+AZ4+BC4+BF4</f>
        <v>596490.876002931</v>
      </c>
      <c r="J4" s="106">
        <f t="shared" si="0"/>
        <v>13984.7</v>
      </c>
      <c r="K4" s="106"/>
      <c r="L4" s="144"/>
      <c r="M4" s="144"/>
      <c r="N4" s="106"/>
      <c r="O4" s="144"/>
      <c r="P4" s="106"/>
      <c r="Q4" s="106"/>
      <c r="R4" s="106"/>
      <c r="S4" s="106"/>
      <c r="T4" s="106"/>
      <c r="U4" s="106"/>
      <c r="V4" s="106"/>
      <c r="W4" s="106"/>
      <c r="X4" s="106">
        <f t="shared" ref="X4:BC4" si="1">X5+X508+X536+X597+X603+X616</f>
        <v>69259.3864908103</v>
      </c>
      <c r="Y4" s="106">
        <f t="shared" si="1"/>
        <v>69259.3864908103</v>
      </c>
      <c r="Z4" s="106">
        <f t="shared" si="1"/>
        <v>0</v>
      </c>
      <c r="AA4" s="106">
        <f t="shared" si="1"/>
        <v>49201.4717738292</v>
      </c>
      <c r="AB4" s="106">
        <f t="shared" si="1"/>
        <v>49201.4717738292</v>
      </c>
      <c r="AC4" s="106">
        <f t="shared" si="1"/>
        <v>0</v>
      </c>
      <c r="AD4" s="106">
        <f t="shared" si="1"/>
        <v>49201.4717738292</v>
      </c>
      <c r="AE4" s="106">
        <f t="shared" si="1"/>
        <v>48024.069609327</v>
      </c>
      <c r="AF4" s="106">
        <f t="shared" si="1"/>
        <v>1177.40216450216</v>
      </c>
      <c r="AG4" s="106">
        <f t="shared" si="1"/>
        <v>49201.4717738292</v>
      </c>
      <c r="AH4" s="106">
        <f t="shared" si="1"/>
        <v>47406.0561894136</v>
      </c>
      <c r="AI4" s="106">
        <f t="shared" si="1"/>
        <v>1795.41558441558</v>
      </c>
      <c r="AJ4" s="106">
        <f t="shared" si="1"/>
        <v>49201.4717738292</v>
      </c>
      <c r="AK4" s="106">
        <f t="shared" si="1"/>
        <v>47346.2090032664</v>
      </c>
      <c r="AL4" s="106">
        <f t="shared" si="1"/>
        <v>1855.26277056277</v>
      </c>
      <c r="AM4" s="106">
        <f t="shared" si="1"/>
        <v>49201.4717738292</v>
      </c>
      <c r="AN4" s="106">
        <f t="shared" si="1"/>
        <v>47406.0561894136</v>
      </c>
      <c r="AO4" s="106">
        <f t="shared" si="1"/>
        <v>1795.41558441558</v>
      </c>
      <c r="AP4" s="106">
        <f t="shared" si="1"/>
        <v>49201.4717738292</v>
      </c>
      <c r="AQ4" s="106">
        <f t="shared" si="1"/>
        <v>47346.2090032664</v>
      </c>
      <c r="AR4" s="106">
        <f t="shared" si="1"/>
        <v>1855.26277056277</v>
      </c>
      <c r="AS4" s="106">
        <f t="shared" si="1"/>
        <v>49201.4717738292</v>
      </c>
      <c r="AT4" s="106">
        <f t="shared" si="1"/>
        <v>47346.2090032664</v>
      </c>
      <c r="AU4" s="106">
        <f t="shared" si="1"/>
        <v>1855.26277056277</v>
      </c>
      <c r="AV4" s="106">
        <f t="shared" si="1"/>
        <v>49201.4717738292</v>
      </c>
      <c r="AW4" s="106">
        <f t="shared" si="1"/>
        <v>47406.0561894136</v>
      </c>
      <c r="AX4" s="106">
        <f t="shared" si="1"/>
        <v>1795.41558441558</v>
      </c>
      <c r="AY4" s="106">
        <f t="shared" si="1"/>
        <v>49201.4717738292</v>
      </c>
      <c r="AZ4" s="106">
        <f t="shared" si="1"/>
        <v>47346.2090032664</v>
      </c>
      <c r="BA4" s="106">
        <f t="shared" si="1"/>
        <v>1855.26277056277</v>
      </c>
      <c r="BB4" s="106">
        <f t="shared" si="1"/>
        <v>49201.4717738292</v>
      </c>
      <c r="BC4" s="106">
        <f t="shared" si="1"/>
        <v>49201.4717738292</v>
      </c>
      <c r="BD4" s="106">
        <f t="shared" ref="BD4:CI4" si="2">BD5+BD508+BD536+BD597+BD603+BD616</f>
        <v>0</v>
      </c>
      <c r="BE4" s="106">
        <f t="shared" si="2"/>
        <v>49201.4717738292</v>
      </c>
      <c r="BF4" s="106">
        <f t="shared" si="2"/>
        <v>49201.4717738292</v>
      </c>
      <c r="BG4" s="106">
        <f t="shared" si="2"/>
        <v>0</v>
      </c>
      <c r="BH4" s="106">
        <f t="shared" si="2"/>
        <v>69259.3864908103</v>
      </c>
      <c r="BI4" s="106">
        <f t="shared" si="2"/>
        <v>69259.3864908103</v>
      </c>
      <c r="BJ4" s="106">
        <f t="shared" si="2"/>
        <v>0</v>
      </c>
      <c r="BK4" s="106">
        <f t="shared" si="2"/>
        <v>49201.4717738292</v>
      </c>
      <c r="BL4" s="106">
        <f t="shared" si="2"/>
        <v>49201.4717738292</v>
      </c>
      <c r="BM4" s="106">
        <f t="shared" si="2"/>
        <v>0</v>
      </c>
      <c r="BN4" s="106">
        <f t="shared" si="2"/>
        <v>49201.4717738292</v>
      </c>
      <c r="BO4" s="106">
        <f t="shared" si="2"/>
        <v>49201.4717738292</v>
      </c>
      <c r="BP4" s="106">
        <f t="shared" si="2"/>
        <v>0</v>
      </c>
      <c r="BQ4" s="106">
        <f t="shared" si="2"/>
        <v>49201.4717738292</v>
      </c>
      <c r="BR4" s="106">
        <f t="shared" si="2"/>
        <v>49201.4717738292</v>
      </c>
      <c r="BS4" s="106">
        <f t="shared" si="2"/>
        <v>0</v>
      </c>
      <c r="BT4" s="106">
        <f t="shared" si="2"/>
        <v>49201.4717738292</v>
      </c>
      <c r="BU4" s="106">
        <f t="shared" si="2"/>
        <v>49201.4717738292</v>
      </c>
      <c r="BV4" s="106">
        <f t="shared" si="2"/>
        <v>0</v>
      </c>
      <c r="BW4" s="106">
        <f t="shared" si="2"/>
        <v>49201.4717738292</v>
      </c>
      <c r="BX4" s="106">
        <f t="shared" si="2"/>
        <v>49201.4717738292</v>
      </c>
      <c r="BY4" s="106">
        <f t="shared" si="2"/>
        <v>0</v>
      </c>
      <c r="BZ4" s="106">
        <f t="shared" si="2"/>
        <v>49201.4717738292</v>
      </c>
      <c r="CA4" s="106">
        <f t="shared" si="2"/>
        <v>49201.4717738292</v>
      </c>
      <c r="CB4" s="106">
        <f t="shared" si="2"/>
        <v>0</v>
      </c>
      <c r="CC4" s="106">
        <f t="shared" si="2"/>
        <v>49201.4717738292</v>
      </c>
      <c r="CD4" s="106">
        <f t="shared" si="2"/>
        <v>49201.4717738292</v>
      </c>
      <c r="CE4" s="106">
        <f t="shared" si="2"/>
        <v>0</v>
      </c>
      <c r="CF4" s="106">
        <f t="shared" si="2"/>
        <v>49201.4717738292</v>
      </c>
      <c r="CG4" s="106">
        <f t="shared" si="2"/>
        <v>49201.4717738292</v>
      </c>
      <c r="CH4" s="106">
        <f t="shared" si="2"/>
        <v>0</v>
      </c>
      <c r="CI4" s="106">
        <f t="shared" si="2"/>
        <v>49201.4717738292</v>
      </c>
      <c r="CJ4" s="106">
        <f t="shared" ref="CJ4:CQ4" si="3">CJ5+CJ508+CJ536+CJ597+CJ603+CJ616</f>
        <v>49201.4717738292</v>
      </c>
      <c r="CK4" s="106">
        <f t="shared" si="3"/>
        <v>0</v>
      </c>
      <c r="CL4" s="106">
        <f t="shared" si="3"/>
        <v>49201.4717738292</v>
      </c>
      <c r="CM4" s="106">
        <f t="shared" si="3"/>
        <v>49201.4717738292</v>
      </c>
      <c r="CN4" s="106">
        <f t="shared" si="3"/>
        <v>0</v>
      </c>
      <c r="CO4" s="106">
        <f t="shared" si="3"/>
        <v>49201.4717738292</v>
      </c>
      <c r="CP4" s="106">
        <f t="shared" si="3"/>
        <v>49201.4717738292</v>
      </c>
      <c r="CQ4" s="106">
        <f t="shared" si="3"/>
        <v>0</v>
      </c>
    </row>
    <row r="5" s="82" customFormat="1" ht="24" customHeight="1" spans="1:95">
      <c r="A5" s="107"/>
      <c r="B5" s="108" t="s">
        <v>794</v>
      </c>
      <c r="C5" s="109">
        <v>1.1</v>
      </c>
      <c r="D5" s="107" t="s">
        <v>214</v>
      </c>
      <c r="E5" s="108"/>
      <c r="F5" s="108"/>
      <c r="G5" s="107"/>
      <c r="H5" s="110">
        <f t="shared" ref="H5:I8" si="4">X5+AA5+AD5+AG5+AJ5+AM5+AP5+AS5+AV5+AY5+BB5+BE5</f>
        <v>602375.576002931</v>
      </c>
      <c r="I5" s="110">
        <f t="shared" si="4"/>
        <v>588390.876002931</v>
      </c>
      <c r="J5" s="110">
        <f t="shared" ref="J5:J68" si="5">Z5+AC5+AF5+AI5+AL5+AO5+AR5+AU5+AX5+BA5+BD5+BG5</f>
        <v>13984.7</v>
      </c>
      <c r="K5" s="110"/>
      <c r="L5" s="145"/>
      <c r="M5" s="145"/>
      <c r="N5" s="110"/>
      <c r="O5" s="145"/>
      <c r="P5" s="110"/>
      <c r="Q5" s="110"/>
      <c r="R5" s="110"/>
      <c r="S5" s="110"/>
      <c r="T5" s="110"/>
      <c r="U5" s="110"/>
      <c r="V5" s="110"/>
      <c r="W5" s="110"/>
      <c r="X5" s="110">
        <f>VLOOKUP($C5,'1 预算编制表单'!$C:$BJ,27,FALSE)</f>
        <v>62992.7198241436</v>
      </c>
      <c r="Y5" s="110">
        <f t="shared" ref="Y5:BG5" si="6">Y6+Y177+Y428</f>
        <v>62992.7198241436</v>
      </c>
      <c r="Z5" s="110">
        <f t="shared" si="6"/>
        <v>0</v>
      </c>
      <c r="AA5" s="110">
        <f>VLOOKUP($C5,'1 预算编制表单'!$C:$BJ,30,FALSE)</f>
        <v>49034.8051071625</v>
      </c>
      <c r="AB5" s="110">
        <f t="shared" si="6"/>
        <v>49034.8051071625</v>
      </c>
      <c r="AC5" s="110">
        <f t="shared" si="6"/>
        <v>0</v>
      </c>
      <c r="AD5" s="110">
        <f>VLOOKUP($C5,'1 预算编制表单'!$C:$BJ,33,FALSE)</f>
        <v>49034.8051071625</v>
      </c>
      <c r="AE5" s="110">
        <f t="shared" si="6"/>
        <v>47857.4029426604</v>
      </c>
      <c r="AF5" s="110">
        <f t="shared" si="6"/>
        <v>1177.40216450216</v>
      </c>
      <c r="AG5" s="110">
        <f>VLOOKUP($C5,'1 预算编制表单'!$C:$BJ,36,FALSE)</f>
        <v>49034.8051071625</v>
      </c>
      <c r="AH5" s="110">
        <f t="shared" si="6"/>
        <v>47239.3895227469</v>
      </c>
      <c r="AI5" s="110">
        <f t="shared" si="6"/>
        <v>1795.41558441558</v>
      </c>
      <c r="AJ5" s="110">
        <f>VLOOKUP($C5,'1 预算编制表单'!$C:$BJ,39,FALSE)</f>
        <v>49034.8051071625</v>
      </c>
      <c r="AK5" s="110">
        <f t="shared" si="6"/>
        <v>47179.5423365997</v>
      </c>
      <c r="AL5" s="110">
        <f t="shared" si="6"/>
        <v>1855.26277056277</v>
      </c>
      <c r="AM5" s="110">
        <f>VLOOKUP($C5,'1 预算编制表单'!$C:$BJ,42,FALSE)</f>
        <v>49034.8051071625</v>
      </c>
      <c r="AN5" s="110">
        <f t="shared" si="6"/>
        <v>47239.3895227469</v>
      </c>
      <c r="AO5" s="110">
        <f t="shared" si="6"/>
        <v>1795.41558441558</v>
      </c>
      <c r="AP5" s="110">
        <f>VLOOKUP($C5,'1 预算编制表单'!$C:$BJ,45,FALSE)</f>
        <v>49034.8051071625</v>
      </c>
      <c r="AQ5" s="110">
        <f t="shared" si="6"/>
        <v>47179.5423365997</v>
      </c>
      <c r="AR5" s="110">
        <f t="shared" si="6"/>
        <v>1855.26277056277</v>
      </c>
      <c r="AS5" s="110">
        <f>VLOOKUP($C5,'1 预算编制表单'!$C:$BJ,48,FALSE)</f>
        <v>49034.8051071625</v>
      </c>
      <c r="AT5" s="110">
        <f t="shared" si="6"/>
        <v>47179.5423365997</v>
      </c>
      <c r="AU5" s="110">
        <f t="shared" si="6"/>
        <v>1855.26277056277</v>
      </c>
      <c r="AV5" s="110">
        <f>VLOOKUP($C5,'1 预算编制表单'!$C:$BJ,51,FALSE)</f>
        <v>49034.8051071625</v>
      </c>
      <c r="AW5" s="110">
        <f t="shared" si="6"/>
        <v>47239.3895227469</v>
      </c>
      <c r="AX5" s="110">
        <f t="shared" si="6"/>
        <v>1795.41558441558</v>
      </c>
      <c r="AY5" s="110">
        <f>VLOOKUP($C5,'1 预算编制表单'!$C:$BJ,54,FALSE)</f>
        <v>49034.8051071625</v>
      </c>
      <c r="AZ5" s="110">
        <f t="shared" si="6"/>
        <v>47179.5423365997</v>
      </c>
      <c r="BA5" s="110">
        <f t="shared" si="6"/>
        <v>1855.26277056277</v>
      </c>
      <c r="BB5" s="110">
        <f>VLOOKUP($C5,'1 预算编制表单'!$C:$BJ,57,FALSE)</f>
        <v>49034.8051071625</v>
      </c>
      <c r="BC5" s="110">
        <f t="shared" si="6"/>
        <v>49034.8051071625</v>
      </c>
      <c r="BD5" s="110">
        <f t="shared" si="6"/>
        <v>0</v>
      </c>
      <c r="BE5" s="110">
        <f>VLOOKUP($C5,'1 预算编制表单'!$C:$BJ,60,FALSE)</f>
        <v>49034.8051071625</v>
      </c>
      <c r="BF5" s="110">
        <f t="shared" si="6"/>
        <v>49034.8051071625</v>
      </c>
      <c r="BG5" s="110">
        <f t="shared" si="6"/>
        <v>0</v>
      </c>
      <c r="BH5" s="110">
        <f>VLOOKUP($C5,'1 预算编制表单'!$C:$BJ,27,FALSE)</f>
        <v>62992.7198241436</v>
      </c>
      <c r="BI5" s="110">
        <f t="shared" ref="BI5:BM5" si="7">BI6+BI177+BI428</f>
        <v>62992.7198241436</v>
      </c>
      <c r="BJ5" s="110">
        <f t="shared" si="7"/>
        <v>0</v>
      </c>
      <c r="BK5" s="110">
        <f>VLOOKUP($C5,'1 预算编制表单'!$C:$BJ,30,FALSE)</f>
        <v>49034.8051071625</v>
      </c>
      <c r="BL5" s="110">
        <f t="shared" si="7"/>
        <v>49034.8051071625</v>
      </c>
      <c r="BM5" s="110">
        <f t="shared" si="7"/>
        <v>0</v>
      </c>
      <c r="BN5" s="110">
        <f>VLOOKUP($C5,'1 预算编制表单'!$C:$BJ,33,FALSE)</f>
        <v>49034.8051071625</v>
      </c>
      <c r="BO5" s="110">
        <f t="shared" ref="BO5:BS5" si="8">BO6+BO177+BO428</f>
        <v>49034.8051071625</v>
      </c>
      <c r="BP5" s="110">
        <f t="shared" si="8"/>
        <v>0</v>
      </c>
      <c r="BQ5" s="110">
        <f>VLOOKUP($C5,'1 预算编制表单'!$C:$BJ,36,FALSE)</f>
        <v>49034.8051071625</v>
      </c>
      <c r="BR5" s="110">
        <f t="shared" si="8"/>
        <v>49034.8051071625</v>
      </c>
      <c r="BS5" s="110">
        <f t="shared" si="8"/>
        <v>0</v>
      </c>
      <c r="BT5" s="110">
        <f>VLOOKUP($C5,'1 预算编制表单'!$C:$BJ,39,FALSE)</f>
        <v>49034.8051071625</v>
      </c>
      <c r="BU5" s="110">
        <f t="shared" ref="BU5:BY5" si="9">BU6+BU177+BU428</f>
        <v>49034.8051071625</v>
      </c>
      <c r="BV5" s="110">
        <f t="shared" si="9"/>
        <v>0</v>
      </c>
      <c r="BW5" s="110">
        <f>VLOOKUP($C5,'1 预算编制表单'!$C:$BJ,42,FALSE)</f>
        <v>49034.8051071625</v>
      </c>
      <c r="BX5" s="110">
        <f t="shared" si="9"/>
        <v>49034.8051071625</v>
      </c>
      <c r="BY5" s="110">
        <f t="shared" si="9"/>
        <v>0</v>
      </c>
      <c r="BZ5" s="110">
        <f>VLOOKUP($C5,'1 预算编制表单'!$C:$BJ,45,FALSE)</f>
        <v>49034.8051071625</v>
      </c>
      <c r="CA5" s="110">
        <f t="shared" ref="CA5:CE5" si="10">CA6+CA177+CA428</f>
        <v>49034.8051071625</v>
      </c>
      <c r="CB5" s="110">
        <f t="shared" si="10"/>
        <v>0</v>
      </c>
      <c r="CC5" s="110">
        <f>VLOOKUP($C5,'1 预算编制表单'!$C:$BJ,48,FALSE)</f>
        <v>49034.8051071625</v>
      </c>
      <c r="CD5" s="110">
        <f t="shared" si="10"/>
        <v>49034.8051071625</v>
      </c>
      <c r="CE5" s="110">
        <f t="shared" si="10"/>
        <v>0</v>
      </c>
      <c r="CF5" s="110">
        <f>VLOOKUP($C5,'1 预算编制表单'!$C:$BJ,51,FALSE)</f>
        <v>49034.8051071625</v>
      </c>
      <c r="CG5" s="110">
        <f t="shared" ref="CG5:CK5" si="11">CG6+CG177+CG428</f>
        <v>49034.8051071625</v>
      </c>
      <c r="CH5" s="110">
        <f t="shared" si="11"/>
        <v>0</v>
      </c>
      <c r="CI5" s="110">
        <f>VLOOKUP($C5,'1 预算编制表单'!$C:$BJ,54,FALSE)</f>
        <v>49034.8051071625</v>
      </c>
      <c r="CJ5" s="110">
        <f t="shared" si="11"/>
        <v>49034.8051071625</v>
      </c>
      <c r="CK5" s="110">
        <f t="shared" si="11"/>
        <v>0</v>
      </c>
      <c r="CL5" s="110">
        <f>VLOOKUP($C5,'1 预算编制表单'!$C:$BJ,57,FALSE)</f>
        <v>49034.8051071625</v>
      </c>
      <c r="CM5" s="110">
        <f t="shared" ref="CM5:CQ5" si="12">CM6+CM177+CM428</f>
        <v>49034.8051071625</v>
      </c>
      <c r="CN5" s="110">
        <f t="shared" si="12"/>
        <v>0</v>
      </c>
      <c r="CO5" s="110">
        <f>VLOOKUP($C5,'1 预算编制表单'!$C:$BJ,60,FALSE)</f>
        <v>49034.8051071625</v>
      </c>
      <c r="CP5" s="110">
        <f t="shared" si="12"/>
        <v>49034.8051071625</v>
      </c>
      <c r="CQ5" s="110">
        <f t="shared" si="12"/>
        <v>0</v>
      </c>
    </row>
    <row r="6" s="82" customFormat="1" ht="24" customHeight="1" outlineLevel="1" spans="1:95">
      <c r="A6" s="29">
        <f>IF(C6&lt;&gt;"",ROW(),"")</f>
        <v>6</v>
      </c>
      <c r="B6" s="111" t="s">
        <v>794</v>
      </c>
      <c r="C6" s="112" t="s">
        <v>218</v>
      </c>
      <c r="D6" s="29" t="s">
        <v>219</v>
      </c>
      <c r="E6" s="111"/>
      <c r="F6" s="111"/>
      <c r="G6" s="111"/>
      <c r="H6" s="113">
        <f t="shared" si="4"/>
        <v>579404.335849057</v>
      </c>
      <c r="I6" s="113">
        <f t="shared" si="4"/>
        <v>579404.335849057</v>
      </c>
      <c r="J6" s="113">
        <f t="shared" si="5"/>
        <v>0</v>
      </c>
      <c r="K6" s="113"/>
      <c r="L6" s="146"/>
      <c r="M6" s="146"/>
      <c r="N6" s="113"/>
      <c r="O6" s="146"/>
      <c r="P6" s="113"/>
      <c r="Q6" s="113"/>
      <c r="R6" s="113"/>
      <c r="S6" s="113"/>
      <c r="T6" s="113"/>
      <c r="U6" s="113"/>
      <c r="V6" s="113"/>
      <c r="W6" s="113"/>
      <c r="X6" s="113">
        <f>VLOOKUP($C6,'1 预算编制表单'!$C:$BJ,27,FALSE)</f>
        <v>50701.0913207547</v>
      </c>
      <c r="Y6" s="113">
        <f>X6-Z6</f>
        <v>50701.0913207547</v>
      </c>
      <c r="Z6" s="113">
        <f>Z7+Z26+Z45+Z70+Z95+Z114+Z139+Z158</f>
        <v>0</v>
      </c>
      <c r="AA6" s="113">
        <f>VLOOKUP($C6,'1 预算编制表单'!$C:$BJ,30,FALSE)</f>
        <v>48063.9313207547</v>
      </c>
      <c r="AB6" s="113">
        <f>AA6-AC6</f>
        <v>48063.9313207547</v>
      </c>
      <c r="AC6" s="113">
        <f>AC7+AC26+AC45+AC70+AC95+AC114+AC139+AC158</f>
        <v>0</v>
      </c>
      <c r="AD6" s="113">
        <f>VLOOKUP($C6,'1 预算编制表单'!$C:$BJ,33,FALSE)</f>
        <v>48063.9313207547</v>
      </c>
      <c r="AE6" s="113">
        <f>AD6-AF6</f>
        <v>48063.9313207547</v>
      </c>
      <c r="AF6" s="113">
        <f>AF7+AF26+AF45+AF70+AF95+AF114+AF139+AF158</f>
        <v>0</v>
      </c>
      <c r="AG6" s="113">
        <f>VLOOKUP($C6,'1 预算编制表单'!$C:$BJ,36,FALSE)</f>
        <v>48063.9313207547</v>
      </c>
      <c r="AH6" s="113">
        <f>AG6-AI6</f>
        <v>48063.9313207547</v>
      </c>
      <c r="AI6" s="113">
        <f>AI7+AI26+AI45+AI70+AI95+AI114+AI139+AI158</f>
        <v>0</v>
      </c>
      <c r="AJ6" s="113">
        <f>VLOOKUP($C6,'1 预算编制表单'!$C:$BJ,39,FALSE)</f>
        <v>48063.9313207547</v>
      </c>
      <c r="AK6" s="113">
        <f>AJ6-AL6</f>
        <v>48063.9313207547</v>
      </c>
      <c r="AL6" s="113">
        <f>AL7+AL26+AL45+AL70+AL95+AL114+AL139+AL158</f>
        <v>0</v>
      </c>
      <c r="AM6" s="113">
        <f>VLOOKUP($C6,'1 预算编制表单'!$C:$BJ,42,FALSE)</f>
        <v>48063.9313207547</v>
      </c>
      <c r="AN6" s="113">
        <f>AM6-AO6</f>
        <v>48063.9313207547</v>
      </c>
      <c r="AO6" s="113">
        <f>AO7+AO26+AO45+AO70+AO95+AO114+AO139+AO158</f>
        <v>0</v>
      </c>
      <c r="AP6" s="113">
        <f>VLOOKUP($C6,'1 预算编制表单'!$C:$BJ,45,FALSE)</f>
        <v>48063.9313207547</v>
      </c>
      <c r="AQ6" s="113">
        <f>AP6-AR6</f>
        <v>48063.9313207547</v>
      </c>
      <c r="AR6" s="113">
        <f>AR7+AR26+AR45+AR70+AR95+AR114+AR139+AR158</f>
        <v>0</v>
      </c>
      <c r="AS6" s="113">
        <f>VLOOKUP($C6,'1 预算编制表单'!$C:$BJ,48,FALSE)</f>
        <v>48063.9313207547</v>
      </c>
      <c r="AT6" s="113">
        <f>AS6-AU6</f>
        <v>48063.9313207547</v>
      </c>
      <c r="AU6" s="113">
        <f>AU7+AU26+AU45+AU70+AU95+AU114+AU139+AU158</f>
        <v>0</v>
      </c>
      <c r="AV6" s="113">
        <f>VLOOKUP($C6,'1 预算编制表单'!$C:$BJ,51,FALSE)</f>
        <v>48063.9313207547</v>
      </c>
      <c r="AW6" s="113">
        <f>AV6-AX6</f>
        <v>48063.9313207547</v>
      </c>
      <c r="AX6" s="113">
        <f>AX7+AX26+AX45+AX70+AX95+AX114+AX139+AX158</f>
        <v>0</v>
      </c>
      <c r="AY6" s="113">
        <f>VLOOKUP($C6,'1 预算编制表单'!$C:$BJ,54,FALSE)</f>
        <v>48063.9313207547</v>
      </c>
      <c r="AZ6" s="113">
        <f>AY6-BA6</f>
        <v>48063.9313207547</v>
      </c>
      <c r="BA6" s="113">
        <f>BA7+BA26+BA45+BA70+BA95+BA114+BA139+BA158</f>
        <v>0</v>
      </c>
      <c r="BB6" s="113">
        <f>VLOOKUP($C6,'1 预算编制表单'!$C:$BJ,57,FALSE)</f>
        <v>48063.9313207547</v>
      </c>
      <c r="BC6" s="113">
        <f>BB6-BD6</f>
        <v>48063.9313207547</v>
      </c>
      <c r="BD6" s="113">
        <f>BD7+BD26+BD45+BD70+BD95+BD114+BD139+BD158</f>
        <v>0</v>
      </c>
      <c r="BE6" s="113">
        <f>VLOOKUP($C6,'1 预算编制表单'!$C:$BJ,60,FALSE)</f>
        <v>48063.9313207547</v>
      </c>
      <c r="BF6" s="113">
        <f>BE6-BG6</f>
        <v>48063.9313207547</v>
      </c>
      <c r="BG6" s="113">
        <f>BG7+BG26+BG45+BG70+BG95+BG114+BG139+BG158</f>
        <v>0</v>
      </c>
      <c r="BH6" s="113">
        <f>VLOOKUP($C6,'1 预算编制表单'!$C:$BJ,27,FALSE)</f>
        <v>50701.0913207547</v>
      </c>
      <c r="BI6" s="113">
        <f t="shared" ref="BI6:BI8" si="13">BH6-BJ6</f>
        <v>50701.0913207547</v>
      </c>
      <c r="BJ6" s="113">
        <f>BJ7+BJ26+BJ45+BJ70+BJ95+BJ114+BJ139+BJ158</f>
        <v>0</v>
      </c>
      <c r="BK6" s="113">
        <f>VLOOKUP($C6,'1 预算编制表单'!$C:$BJ,30,FALSE)</f>
        <v>48063.9313207547</v>
      </c>
      <c r="BL6" s="113">
        <f t="shared" ref="BL6:BL8" si="14">BK6-BM6</f>
        <v>48063.9313207547</v>
      </c>
      <c r="BM6" s="113">
        <f>BM7+BM26+BM45+BM70+BM95+BM114+BM139+BM158</f>
        <v>0</v>
      </c>
      <c r="BN6" s="113">
        <f>VLOOKUP($C6,'1 预算编制表单'!$C:$BJ,33,FALSE)</f>
        <v>48063.9313207547</v>
      </c>
      <c r="BO6" s="113">
        <f t="shared" ref="BO6:BO8" si="15">BN6-BP6</f>
        <v>48063.9313207547</v>
      </c>
      <c r="BP6" s="113">
        <f>BP7+BP26+BP45+BP70+BP95+BP114+BP139+BP158</f>
        <v>0</v>
      </c>
      <c r="BQ6" s="113">
        <f>VLOOKUP($C6,'1 预算编制表单'!$C:$BJ,36,FALSE)</f>
        <v>48063.9313207547</v>
      </c>
      <c r="BR6" s="113">
        <f t="shared" ref="BR6:BR8" si="16">BQ6-BS6</f>
        <v>48063.9313207547</v>
      </c>
      <c r="BS6" s="113">
        <f>BS7+BS26+BS45+BS70+BS95+BS114+BS139+BS158</f>
        <v>0</v>
      </c>
      <c r="BT6" s="113">
        <f>VLOOKUP($C6,'1 预算编制表单'!$C:$BJ,39,FALSE)</f>
        <v>48063.9313207547</v>
      </c>
      <c r="BU6" s="113">
        <f t="shared" ref="BU6:BU8" si="17">BT6-BV6</f>
        <v>48063.9313207547</v>
      </c>
      <c r="BV6" s="113">
        <f>BV7+BV26+BV45+BV70+BV95+BV114+BV139+BV158</f>
        <v>0</v>
      </c>
      <c r="BW6" s="113">
        <f>VLOOKUP($C6,'1 预算编制表单'!$C:$BJ,42,FALSE)</f>
        <v>48063.9313207547</v>
      </c>
      <c r="BX6" s="113">
        <f t="shared" ref="BX6:BX8" si="18">BW6-BY6</f>
        <v>48063.9313207547</v>
      </c>
      <c r="BY6" s="113">
        <f>BY7+BY26+BY45+BY70+BY95+BY114+BY139+BY158</f>
        <v>0</v>
      </c>
      <c r="BZ6" s="113">
        <f>VLOOKUP($C6,'1 预算编制表单'!$C:$BJ,45,FALSE)</f>
        <v>48063.9313207547</v>
      </c>
      <c r="CA6" s="113">
        <f t="shared" ref="CA6:CA8" si="19">BZ6-CB6</f>
        <v>48063.9313207547</v>
      </c>
      <c r="CB6" s="113">
        <f>CB7+CB26+CB45+CB70+CB95+CB114+CB139+CB158</f>
        <v>0</v>
      </c>
      <c r="CC6" s="113">
        <f>VLOOKUP($C6,'1 预算编制表单'!$C:$BJ,48,FALSE)</f>
        <v>48063.9313207547</v>
      </c>
      <c r="CD6" s="113">
        <f t="shared" ref="CD6:CD8" si="20">CC6-CE6</f>
        <v>48063.9313207547</v>
      </c>
      <c r="CE6" s="113">
        <f>CE7+CE26+CE45+CE70+CE95+CE114+CE139+CE158</f>
        <v>0</v>
      </c>
      <c r="CF6" s="113">
        <f>VLOOKUP($C6,'1 预算编制表单'!$C:$BJ,51,FALSE)</f>
        <v>48063.9313207547</v>
      </c>
      <c r="CG6" s="113">
        <f t="shared" ref="CG6:CG8" si="21">CF6-CH6</f>
        <v>48063.9313207547</v>
      </c>
      <c r="CH6" s="113">
        <f>CH7+CH26+CH45+CH70+CH95+CH114+CH139+CH158</f>
        <v>0</v>
      </c>
      <c r="CI6" s="113">
        <f>VLOOKUP($C6,'1 预算编制表单'!$C:$BJ,54,FALSE)</f>
        <v>48063.9313207547</v>
      </c>
      <c r="CJ6" s="113">
        <f t="shared" ref="CJ6:CJ8" si="22">CI6-CK6</f>
        <v>48063.9313207547</v>
      </c>
      <c r="CK6" s="113">
        <f>CK7+CK26+CK45+CK70+CK95+CK114+CK139+CK158</f>
        <v>0</v>
      </c>
      <c r="CL6" s="113">
        <f>VLOOKUP($C6,'1 预算编制表单'!$C:$BJ,57,FALSE)</f>
        <v>48063.9313207547</v>
      </c>
      <c r="CM6" s="113">
        <f t="shared" ref="CM6:CM8" si="23">CL6-CN6</f>
        <v>48063.9313207547</v>
      </c>
      <c r="CN6" s="113">
        <f>CN7+CN26+CN45+CN70+CN95+CN114+CN139+CN158</f>
        <v>0</v>
      </c>
      <c r="CO6" s="113">
        <f>VLOOKUP($C6,'1 预算编制表单'!$C:$BJ,60,FALSE)</f>
        <v>48063.9313207547</v>
      </c>
      <c r="CP6" s="113">
        <f t="shared" ref="CP6:CP8" si="24">CO6-CQ6</f>
        <v>48063.9313207547</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332830.188679246</v>
      </c>
      <c r="I45" s="116">
        <f>Y45+AB45+AE45+AH45+AK45+AN45+AQ45+AT45+AW45+AZ45+BC45+BF45</f>
        <v>332830.188679246</v>
      </c>
      <c r="J45" s="116">
        <f t="shared" si="5"/>
        <v>0</v>
      </c>
      <c r="K45" s="116"/>
      <c r="L45" s="147"/>
      <c r="M45" s="147"/>
      <c r="N45" s="116"/>
      <c r="O45" s="116"/>
      <c r="P45" s="116"/>
      <c r="Q45" s="116"/>
      <c r="R45" s="116"/>
      <c r="S45" s="116"/>
      <c r="T45" s="116"/>
      <c r="U45" s="116"/>
      <c r="V45" s="116"/>
      <c r="W45" s="116"/>
      <c r="X45" s="116">
        <f>VLOOKUP($C45,'1 预算编制表单'!$C:$BJ,27,FALSE)</f>
        <v>27735.8490566038</v>
      </c>
      <c r="Y45" s="116">
        <f>X45-Z45</f>
        <v>27735.8490566038</v>
      </c>
      <c r="Z45" s="116">
        <f>Z46+Z52+Z58+Z64</f>
        <v>0</v>
      </c>
      <c r="AA45" s="116">
        <f>VLOOKUP($C45,'1 预算编制表单'!$C:$BJ,30,FALSE)</f>
        <v>27735.8490566038</v>
      </c>
      <c r="AB45" s="116">
        <f>AA45-AC45</f>
        <v>27735.8490566038</v>
      </c>
      <c r="AC45" s="116">
        <f>AC46+AC52+AC58+AC64</f>
        <v>0</v>
      </c>
      <c r="AD45" s="116">
        <f>VLOOKUP($C45,'1 预算编制表单'!$C:$BJ,33,FALSE)</f>
        <v>27735.8490566038</v>
      </c>
      <c r="AE45" s="116">
        <f>AD45-AF45</f>
        <v>27735.8490566038</v>
      </c>
      <c r="AF45" s="116">
        <f>AF46+AF52+AF58+AF64</f>
        <v>0</v>
      </c>
      <c r="AG45" s="116">
        <f>VLOOKUP($C45,'1 预算编制表单'!$C:$BJ,36,FALSE)</f>
        <v>27735.8490566038</v>
      </c>
      <c r="AH45" s="116">
        <f>AG45-AI45</f>
        <v>27735.8490566038</v>
      </c>
      <c r="AI45" s="116">
        <f>AI46+AI52+AI58+AI64</f>
        <v>0</v>
      </c>
      <c r="AJ45" s="116">
        <f>VLOOKUP($C45,'1 预算编制表单'!$C:$BJ,39,FALSE)</f>
        <v>27735.8490566038</v>
      </c>
      <c r="AK45" s="116">
        <f>AJ45-AL45</f>
        <v>27735.8490566038</v>
      </c>
      <c r="AL45" s="116">
        <f>AL46+AL52+AL58+AL64</f>
        <v>0</v>
      </c>
      <c r="AM45" s="116">
        <f>VLOOKUP($C45,'1 预算编制表单'!$C:$BJ,42,FALSE)</f>
        <v>27735.8490566038</v>
      </c>
      <c r="AN45" s="116">
        <f>AM45-AO45</f>
        <v>27735.8490566038</v>
      </c>
      <c r="AO45" s="116">
        <f>AO46+AO52+AO58+AO64</f>
        <v>0</v>
      </c>
      <c r="AP45" s="116">
        <f>VLOOKUP($C45,'1 预算编制表单'!$C:$BJ,45,FALSE)</f>
        <v>27735.8490566038</v>
      </c>
      <c r="AQ45" s="116">
        <f>AP45-AR45</f>
        <v>27735.8490566038</v>
      </c>
      <c r="AR45" s="116">
        <f>AR46+AR52+AR58+AR64</f>
        <v>0</v>
      </c>
      <c r="AS45" s="116">
        <f>VLOOKUP($C45,'1 预算编制表单'!$C:$BJ,48,FALSE)</f>
        <v>27735.8490566038</v>
      </c>
      <c r="AT45" s="116">
        <f>AS45-AU45</f>
        <v>27735.8490566038</v>
      </c>
      <c r="AU45" s="116">
        <f>AU46+AU52+AU58+AU64</f>
        <v>0</v>
      </c>
      <c r="AV45" s="116">
        <f>VLOOKUP($C45,'1 预算编制表单'!$C:$BJ,51,FALSE)</f>
        <v>27735.8490566038</v>
      </c>
      <c r="AW45" s="116">
        <f>AV45-AX45</f>
        <v>27735.8490566038</v>
      </c>
      <c r="AX45" s="116">
        <f>AX46+AX52+AX58+AX64</f>
        <v>0</v>
      </c>
      <c r="AY45" s="116">
        <f>VLOOKUP($C45,'1 预算编制表单'!$C:$BJ,54,FALSE)</f>
        <v>27735.8490566038</v>
      </c>
      <c r="AZ45" s="116">
        <f>AY45-BA45</f>
        <v>27735.8490566038</v>
      </c>
      <c r="BA45" s="116">
        <f>BA46+BA52+BA58+BA64</f>
        <v>0</v>
      </c>
      <c r="BB45" s="116">
        <f>VLOOKUP($C45,'1 预算编制表单'!$C:$BJ,57,FALSE)</f>
        <v>27735.8490566038</v>
      </c>
      <c r="BC45" s="116">
        <f>BB45-BD45</f>
        <v>27735.8490566038</v>
      </c>
      <c r="BD45" s="116">
        <f>BD46+BD52+BD58+BD64</f>
        <v>0</v>
      </c>
      <c r="BE45" s="116">
        <f>VLOOKUP($C45,'1 预算编制表单'!$C:$BJ,60,FALSE)</f>
        <v>27735.8490566038</v>
      </c>
      <c r="BF45" s="116">
        <f>BE45-BG45</f>
        <v>27735.8490566038</v>
      </c>
      <c r="BG45" s="116">
        <f>BG46+BG52+BG58+BG64</f>
        <v>0</v>
      </c>
      <c r="BH45" s="116">
        <f>VLOOKUP($C45,'1 预算编制表单'!$C:$BJ,27,FALSE)</f>
        <v>27735.8490566038</v>
      </c>
      <c r="BI45" s="116">
        <f>BH45-BJ45</f>
        <v>27735.8490566038</v>
      </c>
      <c r="BJ45" s="116">
        <f>BJ46+BJ52+BJ58+BJ64</f>
        <v>0</v>
      </c>
      <c r="BK45" s="116">
        <f>VLOOKUP($C45,'1 预算编制表单'!$C:$BJ,30,FALSE)</f>
        <v>27735.8490566038</v>
      </c>
      <c r="BL45" s="116">
        <f>BK45-BM45</f>
        <v>27735.8490566038</v>
      </c>
      <c r="BM45" s="116">
        <f>BM46+BM52+BM58+BM64</f>
        <v>0</v>
      </c>
      <c r="BN45" s="116">
        <f>VLOOKUP($C45,'1 预算编制表单'!$C:$BJ,33,FALSE)</f>
        <v>27735.8490566038</v>
      </c>
      <c r="BO45" s="116">
        <f>BN45-BP45</f>
        <v>27735.8490566038</v>
      </c>
      <c r="BP45" s="116">
        <f>BP46+BP52+BP58+BP64</f>
        <v>0</v>
      </c>
      <c r="BQ45" s="116">
        <f>VLOOKUP($C45,'1 预算编制表单'!$C:$BJ,36,FALSE)</f>
        <v>27735.8490566038</v>
      </c>
      <c r="BR45" s="116">
        <f>BQ45-BS45</f>
        <v>27735.8490566038</v>
      </c>
      <c r="BS45" s="116">
        <f>BS46+BS52+BS58+BS64</f>
        <v>0</v>
      </c>
      <c r="BT45" s="116">
        <f>VLOOKUP($C45,'1 预算编制表单'!$C:$BJ,39,FALSE)</f>
        <v>27735.8490566038</v>
      </c>
      <c r="BU45" s="116">
        <f>BT45-BV45</f>
        <v>27735.8490566038</v>
      </c>
      <c r="BV45" s="116">
        <f>BV46+BV52+BV58+BV64</f>
        <v>0</v>
      </c>
      <c r="BW45" s="116">
        <f>VLOOKUP($C45,'1 预算编制表单'!$C:$BJ,42,FALSE)</f>
        <v>27735.8490566038</v>
      </c>
      <c r="BX45" s="116">
        <f>BW45-BY45</f>
        <v>27735.8490566038</v>
      </c>
      <c r="BY45" s="116">
        <f>BY46+BY52+BY58+BY64</f>
        <v>0</v>
      </c>
      <c r="BZ45" s="116">
        <f>VLOOKUP($C45,'1 预算编制表单'!$C:$BJ,45,FALSE)</f>
        <v>27735.8490566038</v>
      </c>
      <c r="CA45" s="116">
        <f>BZ45-CB45</f>
        <v>27735.8490566038</v>
      </c>
      <c r="CB45" s="116">
        <f>CB46+CB52+CB58+CB64</f>
        <v>0</v>
      </c>
      <c r="CC45" s="116">
        <f>VLOOKUP($C45,'1 预算编制表单'!$C:$BJ,48,FALSE)</f>
        <v>27735.8490566038</v>
      </c>
      <c r="CD45" s="116">
        <f>CC45-CE45</f>
        <v>27735.8490566038</v>
      </c>
      <c r="CE45" s="116">
        <f>CE46+CE52+CE58+CE64</f>
        <v>0</v>
      </c>
      <c r="CF45" s="116">
        <f>VLOOKUP($C45,'1 预算编制表单'!$C:$BJ,51,FALSE)</f>
        <v>27735.8490566038</v>
      </c>
      <c r="CG45" s="116">
        <f>CF45-CH45</f>
        <v>27735.8490566038</v>
      </c>
      <c r="CH45" s="116">
        <f>CH46+CH52+CH58+CH64</f>
        <v>0</v>
      </c>
      <c r="CI45" s="116">
        <f>VLOOKUP($C45,'1 预算编制表单'!$C:$BJ,54,FALSE)</f>
        <v>27735.8490566038</v>
      </c>
      <c r="CJ45" s="116">
        <f>CI45-CK45</f>
        <v>27735.8490566038</v>
      </c>
      <c r="CK45" s="116">
        <f>CK46+CK52+CK58+CK64</f>
        <v>0</v>
      </c>
      <c r="CL45" s="116">
        <f>VLOOKUP($C45,'1 预算编制表单'!$C:$BJ,57,FALSE)</f>
        <v>27735.8490566038</v>
      </c>
      <c r="CM45" s="116">
        <f>CL45-CN45</f>
        <v>27735.8490566038</v>
      </c>
      <c r="CN45" s="116">
        <f>CN46+CN52+CN58+CN64</f>
        <v>0</v>
      </c>
      <c r="CO45" s="116">
        <f>VLOOKUP($C45,'1 预算编制表单'!$C:$BJ,60,FALSE)</f>
        <v>27735.8490566038</v>
      </c>
      <c r="CP45" s="116">
        <f>CO45-CQ45</f>
        <v>27735.8490566038</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332830.188679246</v>
      </c>
      <c r="I58" s="120">
        <f>Y58+AB58+AE58+AH58+AK58+AN58+AQ58+AT58+AW58+AZ58+BC58+BF58</f>
        <v>332830.188679246</v>
      </c>
      <c r="J58" s="120">
        <f t="shared" si="5"/>
        <v>0</v>
      </c>
      <c r="K58" s="120"/>
      <c r="L58" s="148"/>
      <c r="M58" s="148"/>
      <c r="N58" s="120"/>
      <c r="O58" s="120"/>
      <c r="P58" s="120"/>
      <c r="Q58" s="120"/>
      <c r="R58" s="120"/>
      <c r="S58" s="120"/>
      <c r="T58" s="120"/>
      <c r="U58" s="120"/>
      <c r="V58" s="120"/>
      <c r="W58" s="120"/>
      <c r="X58" s="120">
        <f>VLOOKUP($C58,'1 预算编制表单'!$C:$BJ,27,FALSE)</f>
        <v>27735.8490566038</v>
      </c>
      <c r="Y58" s="120">
        <f>X58-Z58</f>
        <v>27735.8490566038</v>
      </c>
      <c r="Z58" s="120">
        <f>SUM(Z59:Z63)</f>
        <v>0</v>
      </c>
      <c r="AA58" s="120">
        <f>VLOOKUP($C58,'1 预算编制表单'!$C:$BJ,30,FALSE)</f>
        <v>27735.8490566038</v>
      </c>
      <c r="AB58" s="120">
        <f>AA58-AC58</f>
        <v>27735.8490566038</v>
      </c>
      <c r="AC58" s="120">
        <f>SUM(AC59:AC63)</f>
        <v>0</v>
      </c>
      <c r="AD58" s="120">
        <f>VLOOKUP($C58,'1 预算编制表单'!$C:$BJ,33,FALSE)</f>
        <v>27735.8490566038</v>
      </c>
      <c r="AE58" s="120">
        <f>AD58-AF58</f>
        <v>27735.8490566038</v>
      </c>
      <c r="AF58" s="120">
        <f>SUM(AF59:AF63)</f>
        <v>0</v>
      </c>
      <c r="AG58" s="120">
        <f>VLOOKUP($C58,'1 预算编制表单'!$C:$BJ,36,FALSE)</f>
        <v>27735.8490566038</v>
      </c>
      <c r="AH58" s="120">
        <f>AG58-AI58</f>
        <v>27735.8490566038</v>
      </c>
      <c r="AI58" s="120">
        <f>SUM(AI59:AI63)</f>
        <v>0</v>
      </c>
      <c r="AJ58" s="120">
        <f>VLOOKUP($C58,'1 预算编制表单'!$C:$BJ,39,FALSE)</f>
        <v>27735.8490566038</v>
      </c>
      <c r="AK58" s="120">
        <f>AJ58-AL58</f>
        <v>27735.8490566038</v>
      </c>
      <c r="AL58" s="120">
        <f>SUM(AL59:AL63)</f>
        <v>0</v>
      </c>
      <c r="AM58" s="120">
        <f>VLOOKUP($C58,'1 预算编制表单'!$C:$BJ,42,FALSE)</f>
        <v>27735.8490566038</v>
      </c>
      <c r="AN58" s="120">
        <f>AM58-AO58</f>
        <v>27735.8490566038</v>
      </c>
      <c r="AO58" s="120">
        <f>SUM(AO59:AO63)</f>
        <v>0</v>
      </c>
      <c r="AP58" s="120">
        <f>VLOOKUP($C58,'1 预算编制表单'!$C:$BJ,45,FALSE)</f>
        <v>27735.8490566038</v>
      </c>
      <c r="AQ58" s="120">
        <f>AP58-AR58</f>
        <v>27735.8490566038</v>
      </c>
      <c r="AR58" s="120">
        <f>SUM(AR59:AR63)</f>
        <v>0</v>
      </c>
      <c r="AS58" s="120">
        <f>VLOOKUP($C58,'1 预算编制表单'!$C:$BJ,48,FALSE)</f>
        <v>27735.8490566038</v>
      </c>
      <c r="AT58" s="120">
        <f>AS58-AU58</f>
        <v>27735.8490566038</v>
      </c>
      <c r="AU58" s="120">
        <f>SUM(AU59:AU63)</f>
        <v>0</v>
      </c>
      <c r="AV58" s="120">
        <f>VLOOKUP($C58,'1 预算编制表单'!$C:$BJ,51,FALSE)</f>
        <v>27735.8490566038</v>
      </c>
      <c r="AW58" s="120">
        <f>AV58-AX58</f>
        <v>27735.8490566038</v>
      </c>
      <c r="AX58" s="120">
        <f>SUM(AX59:AX63)</f>
        <v>0</v>
      </c>
      <c r="AY58" s="120">
        <f>VLOOKUP($C58,'1 预算编制表单'!$C:$BJ,54,FALSE)</f>
        <v>27735.8490566038</v>
      </c>
      <c r="AZ58" s="120">
        <f>AY58-BA58</f>
        <v>27735.8490566038</v>
      </c>
      <c r="BA58" s="120">
        <f>SUM(BA59:BA63)</f>
        <v>0</v>
      </c>
      <c r="BB58" s="120">
        <f>VLOOKUP($C58,'1 预算编制表单'!$C:$BJ,57,FALSE)</f>
        <v>27735.8490566038</v>
      </c>
      <c r="BC58" s="120">
        <f>BB58-BD58</f>
        <v>27735.8490566038</v>
      </c>
      <c r="BD58" s="120">
        <f>SUM(BD59:BD63)</f>
        <v>0</v>
      </c>
      <c r="BE58" s="120">
        <f>VLOOKUP($C58,'1 预算编制表单'!$C:$BJ,60,FALSE)</f>
        <v>27735.8490566038</v>
      </c>
      <c r="BF58" s="120">
        <f>BE58-BG58</f>
        <v>27735.8490566038</v>
      </c>
      <c r="BG58" s="120">
        <f>SUM(BG59:BG63)</f>
        <v>0</v>
      </c>
      <c r="BH58" s="120">
        <f>VLOOKUP($C58,'1 预算编制表单'!$C:$BJ,27,FALSE)</f>
        <v>27735.8490566038</v>
      </c>
      <c r="BI58" s="120">
        <f>BH58-BJ58</f>
        <v>27735.8490566038</v>
      </c>
      <c r="BJ58" s="120">
        <f>SUM(BJ59:BJ63)</f>
        <v>0</v>
      </c>
      <c r="BK58" s="120">
        <f>VLOOKUP($C58,'1 预算编制表单'!$C:$BJ,30,FALSE)</f>
        <v>27735.8490566038</v>
      </c>
      <c r="BL58" s="120">
        <f>BK58-BM58</f>
        <v>27735.8490566038</v>
      </c>
      <c r="BM58" s="120">
        <f>SUM(BM59:BM63)</f>
        <v>0</v>
      </c>
      <c r="BN58" s="120">
        <f>VLOOKUP($C58,'1 预算编制表单'!$C:$BJ,33,FALSE)</f>
        <v>27735.8490566038</v>
      </c>
      <c r="BO58" s="120">
        <f>BN58-BP58</f>
        <v>27735.8490566038</v>
      </c>
      <c r="BP58" s="120">
        <f>SUM(BP59:BP63)</f>
        <v>0</v>
      </c>
      <c r="BQ58" s="120">
        <f>VLOOKUP($C58,'1 预算编制表单'!$C:$BJ,36,FALSE)</f>
        <v>27735.8490566038</v>
      </c>
      <c r="BR58" s="120">
        <f>BQ58-BS58</f>
        <v>27735.8490566038</v>
      </c>
      <c r="BS58" s="120">
        <f>SUM(BS59:BS63)</f>
        <v>0</v>
      </c>
      <c r="BT58" s="120">
        <f>VLOOKUP($C58,'1 预算编制表单'!$C:$BJ,39,FALSE)</f>
        <v>27735.8490566038</v>
      </c>
      <c r="BU58" s="120">
        <f>BT58-BV58</f>
        <v>27735.8490566038</v>
      </c>
      <c r="BV58" s="120">
        <f>SUM(BV59:BV63)</f>
        <v>0</v>
      </c>
      <c r="BW58" s="120">
        <f>VLOOKUP($C58,'1 预算编制表单'!$C:$BJ,42,FALSE)</f>
        <v>27735.8490566038</v>
      </c>
      <c r="BX58" s="120">
        <f>BW58-BY58</f>
        <v>27735.8490566038</v>
      </c>
      <c r="BY58" s="120">
        <f>SUM(BY59:BY63)</f>
        <v>0</v>
      </c>
      <c r="BZ58" s="120">
        <f>VLOOKUP($C58,'1 预算编制表单'!$C:$BJ,45,FALSE)</f>
        <v>27735.8490566038</v>
      </c>
      <c r="CA58" s="120">
        <f>BZ58-CB58</f>
        <v>27735.8490566038</v>
      </c>
      <c r="CB58" s="120">
        <f>SUM(CB59:CB63)</f>
        <v>0</v>
      </c>
      <c r="CC58" s="120">
        <f>VLOOKUP($C58,'1 预算编制表单'!$C:$BJ,48,FALSE)</f>
        <v>27735.8490566038</v>
      </c>
      <c r="CD58" s="120">
        <f>CC58-CE58</f>
        <v>27735.8490566038</v>
      </c>
      <c r="CE58" s="120">
        <f>SUM(CE59:CE63)</f>
        <v>0</v>
      </c>
      <c r="CF58" s="120">
        <f>VLOOKUP($C58,'1 预算编制表单'!$C:$BJ,51,FALSE)</f>
        <v>27735.8490566038</v>
      </c>
      <c r="CG58" s="120">
        <f>CF58-CH58</f>
        <v>27735.8490566038</v>
      </c>
      <c r="CH58" s="120">
        <f>SUM(CH59:CH63)</f>
        <v>0</v>
      </c>
      <c r="CI58" s="120">
        <f>VLOOKUP($C58,'1 预算编制表单'!$C:$BJ,54,FALSE)</f>
        <v>27735.8490566038</v>
      </c>
      <c r="CJ58" s="120">
        <f>CI58-CK58</f>
        <v>27735.8490566038</v>
      </c>
      <c r="CK58" s="120">
        <f>SUM(CK59:CK63)</f>
        <v>0</v>
      </c>
      <c r="CL58" s="120">
        <f>VLOOKUP($C58,'1 预算编制表单'!$C:$BJ,57,FALSE)</f>
        <v>27735.8490566038</v>
      </c>
      <c r="CM58" s="120">
        <f>CL58-CN58</f>
        <v>27735.8490566038</v>
      </c>
      <c r="CN58" s="120">
        <f>SUM(CN59:CN63)</f>
        <v>0</v>
      </c>
      <c r="CO58" s="120">
        <f>VLOOKUP($C58,'1 预算编制表单'!$C:$BJ,60,FALSE)</f>
        <v>27735.8490566038</v>
      </c>
      <c r="CP58" s="120">
        <f>CO58-CQ58</f>
        <v>27735.8490566038</v>
      </c>
      <c r="CQ58" s="120">
        <f>SUM(CQ59:CQ63)</f>
        <v>0</v>
      </c>
    </row>
    <row r="59" s="82" customFormat="1" ht="24" customHeight="1" outlineLevel="4" spans="1:95">
      <c r="A59" s="121"/>
      <c r="B59" s="122"/>
      <c r="C59" s="123"/>
      <c r="D59" s="121"/>
      <c r="E59" s="122"/>
      <c r="F59" s="122"/>
      <c r="G59" s="122"/>
      <c r="H59" s="124"/>
      <c r="I59" s="124"/>
      <c r="J59" s="124">
        <f t="shared" si="5"/>
        <v>0</v>
      </c>
      <c r="K59" s="124">
        <v>1</v>
      </c>
      <c r="L59" s="149"/>
      <c r="M59" s="150">
        <f>IFERROR(VLOOKUP($L59,'2-2 引出数据_合同数据仓库'!$B$2:$BP$10000,3,FALSE),0)</f>
        <v>0</v>
      </c>
      <c r="N59" s="124"/>
      <c r="O59" s="150">
        <f>IFERROR(VLOOKUP((LEFT(VLOOKUP($L59,'2-2 引出数据_合同数据仓库'!$B$2:$BP$10000,64,FALSE),15)&amp;(RIGHT(VLOOKUP($L59,'2-2 引出数据_合同数据仓库'!$B$2:$BP$10000,64,FALSE),4)+1)),'2-2 引出数据_合同数据仓库'!$B$2:$BP$10000,3,FALSE),0)</f>
        <v>0</v>
      </c>
      <c r="P59" s="124"/>
      <c r="Q59" s="124">
        <f>IFERROR(VLOOKUP($L59,'2-2 引出数据_合同数据仓库'!$B$2:$BP$10000,28,FALSE),0)</f>
        <v>0</v>
      </c>
      <c r="R59" s="124">
        <f>IFERROR(VLOOKUP($L59,'2-2 引出数据_合同数据仓库'!$B$2:$BP$10000,29,FALSE),0)</f>
        <v>0</v>
      </c>
      <c r="S59" s="124">
        <f>IFERROR(VLOOKUP($L59,'2-2 引出数据_合同数据仓库'!$B$2:$BP$10000,4,FALSE),0)</f>
        <v>0</v>
      </c>
      <c r="T59" s="124"/>
      <c r="U59" s="124">
        <f>IFERROR(VLOOKUP($L59,'2-2 引出数据_合同数据仓库'!$B$2:$BP$10000,15,FALSE),0)</f>
        <v>0</v>
      </c>
      <c r="V59" s="124">
        <f t="shared" ref="V59:V62" si="670">U59/(S59-R59+1)*365</f>
        <v>0</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0</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0</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0</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193366.6</v>
      </c>
      <c r="I70" s="116">
        <f>Y70+AB70+AE70+AH70+AK70+AN70+AQ70+AT70+AW70+AZ70+BC70+BF70</f>
        <v>193366.6</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18531.28</v>
      </c>
      <c r="Y70" s="116">
        <f>X70-Z70</f>
        <v>18531.28</v>
      </c>
      <c r="Z70" s="116">
        <f>Z71+Z77+Z83+Z89</f>
        <v>0</v>
      </c>
      <c r="AA70" s="116">
        <f>VLOOKUP($C70,'1 预算编制表单'!$C:$BJ,30,FALSE)</f>
        <v>15894.12</v>
      </c>
      <c r="AB70" s="116">
        <f>AA70-AC70</f>
        <v>15894.12</v>
      </c>
      <c r="AC70" s="116">
        <f>AC71+AC77+AC83+AC89</f>
        <v>0</v>
      </c>
      <c r="AD70" s="116">
        <f>VLOOKUP($C70,'1 预算编制表单'!$C:$BJ,33,FALSE)</f>
        <v>15894.12</v>
      </c>
      <c r="AE70" s="116">
        <f>AD70-AF70</f>
        <v>15894.12</v>
      </c>
      <c r="AF70" s="116">
        <f>AF71+AF77+AF83+AF89</f>
        <v>0</v>
      </c>
      <c r="AG70" s="116">
        <f>VLOOKUP($C70,'1 预算编制表单'!$C:$BJ,36,FALSE)</f>
        <v>15894.12</v>
      </c>
      <c r="AH70" s="116">
        <f>AG70-AI70</f>
        <v>15894.12</v>
      </c>
      <c r="AI70" s="116">
        <f>AI71+AI77+AI83+AI89</f>
        <v>0</v>
      </c>
      <c r="AJ70" s="116">
        <f>VLOOKUP($C70,'1 预算编制表单'!$C:$BJ,39,FALSE)</f>
        <v>15894.12</v>
      </c>
      <c r="AK70" s="116">
        <f>AJ70-AL70</f>
        <v>15894.12</v>
      </c>
      <c r="AL70" s="116">
        <f>AL71+AL77+AL83+AL89</f>
        <v>0</v>
      </c>
      <c r="AM70" s="116">
        <f>VLOOKUP($C70,'1 预算编制表单'!$C:$BJ,42,FALSE)</f>
        <v>15894.12</v>
      </c>
      <c r="AN70" s="116">
        <f>AM70-AO70</f>
        <v>15894.12</v>
      </c>
      <c r="AO70" s="116">
        <f>AO71+AO77+AO83+AO89</f>
        <v>0</v>
      </c>
      <c r="AP70" s="116">
        <f>VLOOKUP($C70,'1 预算编制表单'!$C:$BJ,45,FALSE)</f>
        <v>15894.12</v>
      </c>
      <c r="AQ70" s="116">
        <f>AP70-AR70</f>
        <v>15894.12</v>
      </c>
      <c r="AR70" s="116">
        <f>AR71+AR77+AR83+AR89</f>
        <v>0</v>
      </c>
      <c r="AS70" s="116">
        <f>VLOOKUP($C70,'1 预算编制表单'!$C:$BJ,48,FALSE)</f>
        <v>15894.12</v>
      </c>
      <c r="AT70" s="116">
        <f>AS70-AU70</f>
        <v>15894.12</v>
      </c>
      <c r="AU70" s="116">
        <f>AU71+AU77+AU83+AU89</f>
        <v>0</v>
      </c>
      <c r="AV70" s="116">
        <f>VLOOKUP($C70,'1 预算编制表单'!$C:$BJ,51,FALSE)</f>
        <v>15894.12</v>
      </c>
      <c r="AW70" s="116">
        <f>AV70-AX70</f>
        <v>15894.12</v>
      </c>
      <c r="AX70" s="116">
        <f>AX71+AX77+AX83+AX89</f>
        <v>0</v>
      </c>
      <c r="AY70" s="116">
        <f>VLOOKUP($C70,'1 预算编制表单'!$C:$BJ,54,FALSE)</f>
        <v>15894.12</v>
      </c>
      <c r="AZ70" s="116">
        <f>AY70-BA70</f>
        <v>15894.12</v>
      </c>
      <c r="BA70" s="116">
        <f>BA71+BA77+BA83+BA89</f>
        <v>0</v>
      </c>
      <c r="BB70" s="116">
        <f>VLOOKUP($C70,'1 预算编制表单'!$C:$BJ,57,FALSE)</f>
        <v>15894.12</v>
      </c>
      <c r="BC70" s="116">
        <f>BB70-BD70</f>
        <v>15894.12</v>
      </c>
      <c r="BD70" s="116">
        <f>BD71+BD77+BD83+BD89</f>
        <v>0</v>
      </c>
      <c r="BE70" s="116">
        <f>VLOOKUP($C70,'1 预算编制表单'!$C:$BJ,60,FALSE)</f>
        <v>15894.12</v>
      </c>
      <c r="BF70" s="116">
        <f>BE70-BG70</f>
        <v>15894.12</v>
      </c>
      <c r="BG70" s="116">
        <f>BG71+BG77+BG83+BG89</f>
        <v>0</v>
      </c>
      <c r="BH70" s="116">
        <f>VLOOKUP($C70,'1 预算编制表单'!$C:$BJ,27,FALSE)</f>
        <v>18531.28</v>
      </c>
      <c r="BI70" s="116">
        <f>BH70-BJ70</f>
        <v>18531.28</v>
      </c>
      <c r="BJ70" s="116">
        <f>BJ71+BJ77+BJ83+BJ89</f>
        <v>0</v>
      </c>
      <c r="BK70" s="116">
        <f>VLOOKUP($C70,'1 预算编制表单'!$C:$BJ,30,FALSE)</f>
        <v>15894.12</v>
      </c>
      <c r="BL70" s="116">
        <f>BK70-BM70</f>
        <v>15894.12</v>
      </c>
      <c r="BM70" s="116">
        <f>BM71+BM77+BM83+BM89</f>
        <v>0</v>
      </c>
      <c r="BN70" s="116">
        <f>VLOOKUP($C70,'1 预算编制表单'!$C:$BJ,33,FALSE)</f>
        <v>15894.12</v>
      </c>
      <c r="BO70" s="116">
        <f>BN70-BP70</f>
        <v>15894.12</v>
      </c>
      <c r="BP70" s="116">
        <f>BP71+BP77+BP83+BP89</f>
        <v>0</v>
      </c>
      <c r="BQ70" s="116">
        <f>VLOOKUP($C70,'1 预算编制表单'!$C:$BJ,36,FALSE)</f>
        <v>15894.12</v>
      </c>
      <c r="BR70" s="116">
        <f>BQ70-BS70</f>
        <v>15894.12</v>
      </c>
      <c r="BS70" s="116">
        <f>BS71+BS77+BS83+BS89</f>
        <v>0</v>
      </c>
      <c r="BT70" s="116">
        <f>VLOOKUP($C70,'1 预算编制表单'!$C:$BJ,39,FALSE)</f>
        <v>15894.12</v>
      </c>
      <c r="BU70" s="116">
        <f>BT70-BV70</f>
        <v>15894.12</v>
      </c>
      <c r="BV70" s="116">
        <f>BV71+BV77+BV83+BV89</f>
        <v>0</v>
      </c>
      <c r="BW70" s="116">
        <f>VLOOKUP($C70,'1 预算编制表单'!$C:$BJ,42,FALSE)</f>
        <v>15894.12</v>
      </c>
      <c r="BX70" s="116">
        <f>BW70-BY70</f>
        <v>15894.12</v>
      </c>
      <c r="BY70" s="116">
        <f>BY71+BY77+BY83+BY89</f>
        <v>0</v>
      </c>
      <c r="BZ70" s="116">
        <f>VLOOKUP($C70,'1 预算编制表单'!$C:$BJ,45,FALSE)</f>
        <v>15894.12</v>
      </c>
      <c r="CA70" s="116">
        <f>BZ70-CB70</f>
        <v>15894.12</v>
      </c>
      <c r="CB70" s="116">
        <f>CB71+CB77+CB83+CB89</f>
        <v>0</v>
      </c>
      <c r="CC70" s="116">
        <f>VLOOKUP($C70,'1 预算编制表单'!$C:$BJ,48,FALSE)</f>
        <v>15894.12</v>
      </c>
      <c r="CD70" s="116">
        <f>CC70-CE70</f>
        <v>15894.12</v>
      </c>
      <c r="CE70" s="116">
        <f>CE71+CE77+CE83+CE89</f>
        <v>0</v>
      </c>
      <c r="CF70" s="116">
        <f>VLOOKUP($C70,'1 预算编制表单'!$C:$BJ,51,FALSE)</f>
        <v>15894.12</v>
      </c>
      <c r="CG70" s="116">
        <f>CF70-CH70</f>
        <v>15894.12</v>
      </c>
      <c r="CH70" s="116">
        <f>CH71+CH77+CH83+CH89</f>
        <v>0</v>
      </c>
      <c r="CI70" s="116">
        <f>VLOOKUP($C70,'1 预算编制表单'!$C:$BJ,54,FALSE)</f>
        <v>15894.12</v>
      </c>
      <c r="CJ70" s="116">
        <f>CI70-CK70</f>
        <v>15894.12</v>
      </c>
      <c r="CK70" s="116">
        <f>CK71+CK77+CK83+CK89</f>
        <v>0</v>
      </c>
      <c r="CL70" s="116">
        <f>VLOOKUP($C70,'1 预算编制表单'!$C:$BJ,57,FALSE)</f>
        <v>15894.12</v>
      </c>
      <c r="CM70" s="116">
        <f>CL70-CN70</f>
        <v>15894.12</v>
      </c>
      <c r="CN70" s="116">
        <f>CN71+CN77+CN83+CN89</f>
        <v>0</v>
      </c>
      <c r="CO70" s="116">
        <f>VLOOKUP($C70,'1 预算编制表单'!$C:$BJ,60,FALSE)</f>
        <v>15894.12</v>
      </c>
      <c r="CP70" s="116">
        <f>CO70-CQ70</f>
        <v>15894.12</v>
      </c>
      <c r="CQ70" s="116">
        <f>CQ71+CQ77+CQ83+CQ89</f>
        <v>0</v>
      </c>
    </row>
    <row r="71" ht="24" customHeight="1" outlineLevel="3" spans="1:95">
      <c r="A71" s="117"/>
      <c r="B71" s="118" t="s">
        <v>799</v>
      </c>
      <c r="C71" s="119" t="s">
        <v>118</v>
      </c>
      <c r="D71" s="117" t="s">
        <v>109</v>
      </c>
      <c r="E71" s="118"/>
      <c r="F71" s="118"/>
      <c r="G71" s="118"/>
      <c r="H71" s="120">
        <f>X71+AA71+AD71+AG71+AJ71+AM71+AP71+AS71+AV71+AY71+BB71+BE71</f>
        <v>193366.6</v>
      </c>
      <c r="I71" s="120">
        <f>Y71+AB71+AE71+AH71+AK71+AN71+AQ71+AT71+AW71+AZ71+BC71+BF71</f>
        <v>193366.6</v>
      </c>
      <c r="J71" s="120">
        <f t="shared" si="814"/>
        <v>0</v>
      </c>
      <c r="K71" s="120"/>
      <c r="L71" s="148"/>
      <c r="M71" s="148"/>
      <c r="N71" s="120"/>
      <c r="O71" s="120"/>
      <c r="P71" s="120"/>
      <c r="Q71" s="120"/>
      <c r="R71" s="120"/>
      <c r="S71" s="120"/>
      <c r="T71" s="120"/>
      <c r="U71" s="120"/>
      <c r="V71" s="120"/>
      <c r="W71" s="120"/>
      <c r="X71" s="120">
        <f>VLOOKUP($C71,'1 预算编制表单'!$C:$BJ,27,FALSE)</f>
        <v>18531.28</v>
      </c>
      <c r="Y71" s="120">
        <f>X71-Z71</f>
        <v>18531.28</v>
      </c>
      <c r="Z71" s="120">
        <f>SUM(Z72:Z76)</f>
        <v>0</v>
      </c>
      <c r="AA71" s="120">
        <f>VLOOKUP($C71,'1 预算编制表单'!$C:$BJ,30,FALSE)</f>
        <v>15894.12</v>
      </c>
      <c r="AB71" s="120">
        <f>AA71-AC71</f>
        <v>15894.12</v>
      </c>
      <c r="AC71" s="120">
        <f>SUM(AC72:AC76)</f>
        <v>0</v>
      </c>
      <c r="AD71" s="120">
        <f>VLOOKUP($C71,'1 预算编制表单'!$C:$BJ,33,FALSE)</f>
        <v>15894.12</v>
      </c>
      <c r="AE71" s="120">
        <f>AD71-AF71</f>
        <v>15894.12</v>
      </c>
      <c r="AF71" s="120">
        <f>SUM(AF72:AF76)</f>
        <v>0</v>
      </c>
      <c r="AG71" s="120">
        <f>VLOOKUP($C71,'1 预算编制表单'!$C:$BJ,36,FALSE)</f>
        <v>15894.12</v>
      </c>
      <c r="AH71" s="120">
        <f>AG71-AI71</f>
        <v>15894.12</v>
      </c>
      <c r="AI71" s="120">
        <f>SUM(AI72:AI76)</f>
        <v>0</v>
      </c>
      <c r="AJ71" s="120">
        <f>VLOOKUP($C71,'1 预算编制表单'!$C:$BJ,39,FALSE)</f>
        <v>15894.12</v>
      </c>
      <c r="AK71" s="120">
        <f>AJ71-AL71</f>
        <v>15894.12</v>
      </c>
      <c r="AL71" s="120">
        <f>SUM(AL72:AL76)</f>
        <v>0</v>
      </c>
      <c r="AM71" s="120">
        <f>VLOOKUP($C71,'1 预算编制表单'!$C:$BJ,42,FALSE)</f>
        <v>15894.12</v>
      </c>
      <c r="AN71" s="120">
        <f>AM71-AO71</f>
        <v>15894.12</v>
      </c>
      <c r="AO71" s="120">
        <f>SUM(AO72:AO76)</f>
        <v>0</v>
      </c>
      <c r="AP71" s="120">
        <f>VLOOKUP($C71,'1 预算编制表单'!$C:$BJ,45,FALSE)</f>
        <v>15894.12</v>
      </c>
      <c r="AQ71" s="120">
        <f>AP71-AR71</f>
        <v>15894.12</v>
      </c>
      <c r="AR71" s="120">
        <f>SUM(AR72:AR76)</f>
        <v>0</v>
      </c>
      <c r="AS71" s="120">
        <f>VLOOKUP($C71,'1 预算编制表单'!$C:$BJ,48,FALSE)</f>
        <v>15894.12</v>
      </c>
      <c r="AT71" s="120">
        <f>AS71-AU71</f>
        <v>15894.12</v>
      </c>
      <c r="AU71" s="120">
        <f>SUM(AU72:AU76)</f>
        <v>0</v>
      </c>
      <c r="AV71" s="120">
        <f>VLOOKUP($C71,'1 预算编制表单'!$C:$BJ,51,FALSE)</f>
        <v>15894.12</v>
      </c>
      <c r="AW71" s="120">
        <f>AV71-AX71</f>
        <v>15894.12</v>
      </c>
      <c r="AX71" s="120">
        <f>SUM(AX72:AX76)</f>
        <v>0</v>
      </c>
      <c r="AY71" s="120">
        <f>VLOOKUP($C71,'1 预算编制表单'!$C:$BJ,54,FALSE)</f>
        <v>15894.12</v>
      </c>
      <c r="AZ71" s="120">
        <f>AY71-BA71</f>
        <v>15894.12</v>
      </c>
      <c r="BA71" s="120">
        <f>SUM(BA72:BA76)</f>
        <v>0</v>
      </c>
      <c r="BB71" s="120">
        <f>VLOOKUP($C71,'1 预算编制表单'!$C:$BJ,57,FALSE)</f>
        <v>15894.12</v>
      </c>
      <c r="BC71" s="120">
        <f>BB71-BD71</f>
        <v>15894.12</v>
      </c>
      <c r="BD71" s="120">
        <f>SUM(BD72:BD76)</f>
        <v>0</v>
      </c>
      <c r="BE71" s="120">
        <f>VLOOKUP($C71,'1 预算编制表单'!$C:$BJ,60,FALSE)</f>
        <v>15894.12</v>
      </c>
      <c r="BF71" s="120">
        <f>BE71-BG71</f>
        <v>15894.12</v>
      </c>
      <c r="BG71" s="120">
        <f>SUM(BG72:BG76)</f>
        <v>0</v>
      </c>
      <c r="BH71" s="120">
        <f>VLOOKUP($C71,'1 预算编制表单'!$C:$BJ,27,FALSE)</f>
        <v>18531.28</v>
      </c>
      <c r="BI71" s="120">
        <f>BH71-BJ71</f>
        <v>18531.28</v>
      </c>
      <c r="BJ71" s="120">
        <f>SUM(BJ72:BJ76)</f>
        <v>0</v>
      </c>
      <c r="BK71" s="120">
        <f>VLOOKUP($C71,'1 预算编制表单'!$C:$BJ,30,FALSE)</f>
        <v>15894.12</v>
      </c>
      <c r="BL71" s="120">
        <f>BK71-BM71</f>
        <v>15894.12</v>
      </c>
      <c r="BM71" s="120">
        <f>SUM(BM72:BM76)</f>
        <v>0</v>
      </c>
      <c r="BN71" s="120">
        <f>VLOOKUP($C71,'1 预算编制表单'!$C:$BJ,33,FALSE)</f>
        <v>15894.12</v>
      </c>
      <c r="BO71" s="120">
        <f>BN71-BP71</f>
        <v>15894.12</v>
      </c>
      <c r="BP71" s="120">
        <f>SUM(BP72:BP76)</f>
        <v>0</v>
      </c>
      <c r="BQ71" s="120">
        <f>VLOOKUP($C71,'1 预算编制表单'!$C:$BJ,36,FALSE)</f>
        <v>15894.12</v>
      </c>
      <c r="BR71" s="120">
        <f>BQ71-BS71</f>
        <v>15894.12</v>
      </c>
      <c r="BS71" s="120">
        <f>SUM(BS72:BS76)</f>
        <v>0</v>
      </c>
      <c r="BT71" s="120">
        <f>VLOOKUP($C71,'1 预算编制表单'!$C:$BJ,39,FALSE)</f>
        <v>15894.12</v>
      </c>
      <c r="BU71" s="120">
        <f>BT71-BV71</f>
        <v>15894.12</v>
      </c>
      <c r="BV71" s="120">
        <f>SUM(BV72:BV76)</f>
        <v>0</v>
      </c>
      <c r="BW71" s="120">
        <f>VLOOKUP($C71,'1 预算编制表单'!$C:$BJ,42,FALSE)</f>
        <v>15894.12</v>
      </c>
      <c r="BX71" s="120">
        <f>BW71-BY71</f>
        <v>15894.12</v>
      </c>
      <c r="BY71" s="120">
        <f>SUM(BY72:BY76)</f>
        <v>0</v>
      </c>
      <c r="BZ71" s="120">
        <f>VLOOKUP($C71,'1 预算编制表单'!$C:$BJ,45,FALSE)</f>
        <v>15894.12</v>
      </c>
      <c r="CA71" s="120">
        <f>BZ71-CB71</f>
        <v>15894.12</v>
      </c>
      <c r="CB71" s="120">
        <f>SUM(CB72:CB76)</f>
        <v>0</v>
      </c>
      <c r="CC71" s="120">
        <f>VLOOKUP($C71,'1 预算编制表单'!$C:$BJ,48,FALSE)</f>
        <v>15894.12</v>
      </c>
      <c r="CD71" s="120">
        <f>CC71-CE71</f>
        <v>15894.12</v>
      </c>
      <c r="CE71" s="120">
        <f>SUM(CE72:CE76)</f>
        <v>0</v>
      </c>
      <c r="CF71" s="120">
        <f>VLOOKUP($C71,'1 预算编制表单'!$C:$BJ,51,FALSE)</f>
        <v>15894.12</v>
      </c>
      <c r="CG71" s="120">
        <f>CF71-CH71</f>
        <v>15894.12</v>
      </c>
      <c r="CH71" s="120">
        <f>SUM(CH72:CH76)</f>
        <v>0</v>
      </c>
      <c r="CI71" s="120">
        <f>VLOOKUP($C71,'1 预算编制表单'!$C:$BJ,54,FALSE)</f>
        <v>15894.12</v>
      </c>
      <c r="CJ71" s="120">
        <f>CI71-CK71</f>
        <v>15894.12</v>
      </c>
      <c r="CK71" s="120">
        <f>SUM(CK72:CK76)</f>
        <v>0</v>
      </c>
      <c r="CL71" s="120">
        <f>VLOOKUP($C71,'1 预算编制表单'!$C:$BJ,57,FALSE)</f>
        <v>15894.12</v>
      </c>
      <c r="CM71" s="120">
        <f>CL71-CN71</f>
        <v>15894.12</v>
      </c>
      <c r="CN71" s="120">
        <f>SUM(CN72:CN76)</f>
        <v>0</v>
      </c>
      <c r="CO71" s="120">
        <f>VLOOKUP($C71,'1 预算编制表单'!$C:$BJ,60,FALSE)</f>
        <v>15894.12</v>
      </c>
      <c r="CP71" s="120">
        <f>CO71-CQ71</f>
        <v>15894.12</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0</v>
      </c>
      <c r="I95" s="116">
        <f>Y95+AB95+AE95+AH95+AK95+AN95+AQ95+AT95+AW95+AZ95+BC95+BF95</f>
        <v>0</v>
      </c>
      <c r="J95" s="116">
        <f t="shared" si="814"/>
        <v>0</v>
      </c>
      <c r="K95" s="116"/>
      <c r="L95" s="147"/>
      <c r="M95" s="147"/>
      <c r="N95" s="116"/>
      <c r="O95" s="116"/>
      <c r="P95" s="116"/>
      <c r="Q95" s="116"/>
      <c r="R95" s="116"/>
      <c r="S95" s="116"/>
      <c r="T95" s="116"/>
      <c r="U95" s="116"/>
      <c r="V95" s="116"/>
      <c r="W95" s="116"/>
      <c r="X95" s="116">
        <f>VLOOKUP($C95,'1 预算编制表单'!$C:$BJ,27,FALSE)</f>
        <v>0</v>
      </c>
      <c r="Y95" s="116">
        <f>X95-Z95</f>
        <v>0</v>
      </c>
      <c r="Z95" s="116">
        <f>Z96+Z102+Z108</f>
        <v>0</v>
      </c>
      <c r="AA95" s="116">
        <f>VLOOKUP($C95,'1 预算编制表单'!$C:$BJ,30,FALSE)</f>
        <v>0</v>
      </c>
      <c r="AB95" s="116">
        <f>AA95-AC95</f>
        <v>0</v>
      </c>
      <c r="AC95" s="116">
        <f>AC96+AC102+AC108</f>
        <v>0</v>
      </c>
      <c r="AD95" s="116">
        <f>VLOOKUP($C95,'1 预算编制表单'!$C:$BJ,33,FALSE)</f>
        <v>0</v>
      </c>
      <c r="AE95" s="116">
        <f>AD95-AF95</f>
        <v>0</v>
      </c>
      <c r="AF95" s="116">
        <f>AF96+AF102+AF108</f>
        <v>0</v>
      </c>
      <c r="AG95" s="116">
        <f>VLOOKUP($C95,'1 预算编制表单'!$C:$BJ,36,FALSE)</f>
        <v>0</v>
      </c>
      <c r="AH95" s="116">
        <f>AG95-AI95</f>
        <v>0</v>
      </c>
      <c r="AI95" s="116">
        <f>AI96+AI102+AI108</f>
        <v>0</v>
      </c>
      <c r="AJ95" s="116">
        <f>VLOOKUP($C95,'1 预算编制表单'!$C:$BJ,39,FALSE)</f>
        <v>0</v>
      </c>
      <c r="AK95" s="116">
        <f>AJ95-AL95</f>
        <v>0</v>
      </c>
      <c r="AL95" s="116">
        <f>AL96+AL102+AL108</f>
        <v>0</v>
      </c>
      <c r="AM95" s="116">
        <f>VLOOKUP($C95,'1 预算编制表单'!$C:$BJ,42,FALSE)</f>
        <v>0</v>
      </c>
      <c r="AN95" s="116">
        <f>AM95-AO95</f>
        <v>0</v>
      </c>
      <c r="AO95" s="116">
        <f>AO96+AO102+AO108</f>
        <v>0</v>
      </c>
      <c r="AP95" s="116">
        <f>VLOOKUP($C95,'1 预算编制表单'!$C:$BJ,45,FALSE)</f>
        <v>0</v>
      </c>
      <c r="AQ95" s="116">
        <f>AP95-AR95</f>
        <v>0</v>
      </c>
      <c r="AR95" s="116">
        <f>AR96+AR102+AR108</f>
        <v>0</v>
      </c>
      <c r="AS95" s="116">
        <f>VLOOKUP($C95,'1 预算编制表单'!$C:$BJ,48,FALSE)</f>
        <v>0</v>
      </c>
      <c r="AT95" s="116">
        <f>AS95-AU95</f>
        <v>0</v>
      </c>
      <c r="AU95" s="116">
        <f>AU96+AU102+AU108</f>
        <v>0</v>
      </c>
      <c r="AV95" s="116">
        <f>VLOOKUP($C95,'1 预算编制表单'!$C:$BJ,51,FALSE)</f>
        <v>0</v>
      </c>
      <c r="AW95" s="116">
        <f>AV95-AX95</f>
        <v>0</v>
      </c>
      <c r="AX95" s="116">
        <f>AX96+AX102+AX108</f>
        <v>0</v>
      </c>
      <c r="AY95" s="116">
        <f>VLOOKUP($C95,'1 预算编制表单'!$C:$BJ,54,FALSE)</f>
        <v>0</v>
      </c>
      <c r="AZ95" s="116">
        <f>AY95-BA95</f>
        <v>0</v>
      </c>
      <c r="BA95" s="116">
        <f>BA96+BA102+BA108</f>
        <v>0</v>
      </c>
      <c r="BB95" s="116">
        <f>VLOOKUP($C95,'1 预算编制表单'!$C:$BJ,57,FALSE)</f>
        <v>0</v>
      </c>
      <c r="BC95" s="116">
        <f>BB95-BD95</f>
        <v>0</v>
      </c>
      <c r="BD95" s="116">
        <f>BD96+BD102+BD108</f>
        <v>0</v>
      </c>
      <c r="BE95" s="116">
        <f>VLOOKUP($C95,'1 预算编制表单'!$C:$BJ,60,FALSE)</f>
        <v>0</v>
      </c>
      <c r="BF95" s="116">
        <f>BE95-BG95</f>
        <v>0</v>
      </c>
      <c r="BG95" s="116">
        <f>BG96+BG102+BG108</f>
        <v>0</v>
      </c>
      <c r="BH95" s="116">
        <f>VLOOKUP($C95,'1 预算编制表单'!$C:$BJ,27,FALSE)</f>
        <v>0</v>
      </c>
      <c r="BI95" s="116">
        <f>BH95-BJ95</f>
        <v>0</v>
      </c>
      <c r="BJ95" s="116">
        <f>BJ96+BJ102+BJ108</f>
        <v>0</v>
      </c>
      <c r="BK95" s="116">
        <f>VLOOKUP($C95,'1 预算编制表单'!$C:$BJ,30,FALSE)</f>
        <v>0</v>
      </c>
      <c r="BL95" s="116">
        <f>BK95-BM95</f>
        <v>0</v>
      </c>
      <c r="BM95" s="116">
        <f>BM96+BM102+BM108</f>
        <v>0</v>
      </c>
      <c r="BN95" s="116">
        <f>VLOOKUP($C95,'1 预算编制表单'!$C:$BJ,33,FALSE)</f>
        <v>0</v>
      </c>
      <c r="BO95" s="116">
        <f>BN95-BP95</f>
        <v>0</v>
      </c>
      <c r="BP95" s="116">
        <f>BP96+BP102+BP108</f>
        <v>0</v>
      </c>
      <c r="BQ95" s="116">
        <f>VLOOKUP($C95,'1 预算编制表单'!$C:$BJ,36,FALSE)</f>
        <v>0</v>
      </c>
      <c r="BR95" s="116">
        <f>BQ95-BS95</f>
        <v>0</v>
      </c>
      <c r="BS95" s="116">
        <f>BS96+BS102+BS108</f>
        <v>0</v>
      </c>
      <c r="BT95" s="116">
        <f>VLOOKUP($C95,'1 预算编制表单'!$C:$BJ,39,FALSE)</f>
        <v>0</v>
      </c>
      <c r="BU95" s="116">
        <f>BT95-BV95</f>
        <v>0</v>
      </c>
      <c r="BV95" s="116">
        <f>BV96+BV102+BV108</f>
        <v>0</v>
      </c>
      <c r="BW95" s="116">
        <f>VLOOKUP($C95,'1 预算编制表单'!$C:$BJ,42,FALSE)</f>
        <v>0</v>
      </c>
      <c r="BX95" s="116">
        <f>BW95-BY95</f>
        <v>0</v>
      </c>
      <c r="BY95" s="116">
        <f>BY96+BY102+BY108</f>
        <v>0</v>
      </c>
      <c r="BZ95" s="116">
        <f>VLOOKUP($C95,'1 预算编制表单'!$C:$BJ,45,FALSE)</f>
        <v>0</v>
      </c>
      <c r="CA95" s="116">
        <f>BZ95-CB95</f>
        <v>0</v>
      </c>
      <c r="CB95" s="116">
        <f>CB96+CB102+CB108</f>
        <v>0</v>
      </c>
      <c r="CC95" s="116">
        <f>VLOOKUP($C95,'1 预算编制表单'!$C:$BJ,48,FALSE)</f>
        <v>0</v>
      </c>
      <c r="CD95" s="116">
        <f>CC95-CE95</f>
        <v>0</v>
      </c>
      <c r="CE95" s="116">
        <f>CE96+CE102+CE108</f>
        <v>0</v>
      </c>
      <c r="CF95" s="116">
        <f>VLOOKUP($C95,'1 预算编制表单'!$C:$BJ,51,FALSE)</f>
        <v>0</v>
      </c>
      <c r="CG95" s="116">
        <f>CF95-CH95</f>
        <v>0</v>
      </c>
      <c r="CH95" s="116">
        <f>CH96+CH102+CH108</f>
        <v>0</v>
      </c>
      <c r="CI95" s="116">
        <f>VLOOKUP($C95,'1 预算编制表单'!$C:$BJ,54,FALSE)</f>
        <v>0</v>
      </c>
      <c r="CJ95" s="116">
        <f>CI95-CK95</f>
        <v>0</v>
      </c>
      <c r="CK95" s="116">
        <f>CK96+CK102+CK108</f>
        <v>0</v>
      </c>
      <c r="CL95" s="116">
        <f>VLOOKUP($C95,'1 预算编制表单'!$C:$BJ,57,FALSE)</f>
        <v>0</v>
      </c>
      <c r="CM95" s="116">
        <f>CL95-CN95</f>
        <v>0</v>
      </c>
      <c r="CN95" s="116">
        <f>CN96+CN102+CN108</f>
        <v>0</v>
      </c>
      <c r="CO95" s="116">
        <f>VLOOKUP($C95,'1 预算编制表单'!$C:$BJ,60,FALSE)</f>
        <v>0</v>
      </c>
      <c r="CP95" s="116">
        <f>CO95-CQ95</f>
        <v>0</v>
      </c>
      <c r="CQ95" s="116">
        <f>CQ96+CQ102+CQ108</f>
        <v>0</v>
      </c>
    </row>
    <row r="96" ht="24" customHeight="1" outlineLevel="3" spans="1:95">
      <c r="A96" s="117"/>
      <c r="B96" s="118" t="s">
        <v>799</v>
      </c>
      <c r="C96" s="119" t="s">
        <v>121</v>
      </c>
      <c r="D96" s="117" t="s">
        <v>109</v>
      </c>
      <c r="E96" s="118"/>
      <c r="F96" s="118"/>
      <c r="G96" s="118"/>
      <c r="H96" s="120">
        <f>X96+AA96+AD96+AG96+AJ96+AM96+AP96+AS96+AV96+AY96+BB96+BE96</f>
        <v>0</v>
      </c>
      <c r="I96" s="120">
        <f>Y96+AB96+AE96+AH96+AK96+AN96+AQ96+AT96+AW96+AZ96+BC96+BF96</f>
        <v>0</v>
      </c>
      <c r="J96" s="120">
        <f t="shared" si="814"/>
        <v>0</v>
      </c>
      <c r="K96" s="120"/>
      <c r="L96" s="148"/>
      <c r="M96" s="148"/>
      <c r="N96" s="120"/>
      <c r="O96" s="120"/>
      <c r="P96" s="120"/>
      <c r="Q96" s="120"/>
      <c r="R96" s="120"/>
      <c r="S96" s="120"/>
      <c r="T96" s="120"/>
      <c r="U96" s="120"/>
      <c r="V96" s="120"/>
      <c r="W96" s="120"/>
      <c r="X96" s="120">
        <f>VLOOKUP($C96,'1 预算编制表单'!$C:$BJ,27,FALSE)</f>
        <v>0</v>
      </c>
      <c r="Y96" s="120">
        <f>X96-Z96</f>
        <v>0</v>
      </c>
      <c r="Z96" s="120">
        <f>SUM(Z97:Z101)</f>
        <v>0</v>
      </c>
      <c r="AA96" s="120">
        <f>VLOOKUP($C96,'1 预算编制表单'!$C:$BJ,30,FALSE)</f>
        <v>0</v>
      </c>
      <c r="AB96" s="120">
        <f>AA96-AC96</f>
        <v>0</v>
      </c>
      <c r="AC96" s="120">
        <f>SUM(AC97:AC101)</f>
        <v>0</v>
      </c>
      <c r="AD96" s="120">
        <f>VLOOKUP($C96,'1 预算编制表单'!$C:$BJ,33,FALSE)</f>
        <v>0</v>
      </c>
      <c r="AE96" s="120">
        <f>AD96-AF96</f>
        <v>0</v>
      </c>
      <c r="AF96" s="120">
        <f>SUM(AF97:AF101)</f>
        <v>0</v>
      </c>
      <c r="AG96" s="120">
        <f>VLOOKUP($C96,'1 预算编制表单'!$C:$BJ,36,FALSE)</f>
        <v>0</v>
      </c>
      <c r="AH96" s="120">
        <f>AG96-AI96</f>
        <v>0</v>
      </c>
      <c r="AI96" s="120">
        <f>SUM(AI97:AI101)</f>
        <v>0</v>
      </c>
      <c r="AJ96" s="120">
        <f>VLOOKUP($C96,'1 预算编制表单'!$C:$BJ,39,FALSE)</f>
        <v>0</v>
      </c>
      <c r="AK96" s="120">
        <f>AJ96-AL96</f>
        <v>0</v>
      </c>
      <c r="AL96" s="120">
        <f>SUM(AL97:AL101)</f>
        <v>0</v>
      </c>
      <c r="AM96" s="120">
        <f>VLOOKUP($C96,'1 预算编制表单'!$C:$BJ,42,FALSE)</f>
        <v>0</v>
      </c>
      <c r="AN96" s="120">
        <f>AM96-AO96</f>
        <v>0</v>
      </c>
      <c r="AO96" s="120">
        <f>SUM(AO97:AO101)</f>
        <v>0</v>
      </c>
      <c r="AP96" s="120">
        <f>VLOOKUP($C96,'1 预算编制表单'!$C:$BJ,45,FALSE)</f>
        <v>0</v>
      </c>
      <c r="AQ96" s="120">
        <f>AP96-AR96</f>
        <v>0</v>
      </c>
      <c r="AR96" s="120">
        <f>SUM(AR97:AR101)</f>
        <v>0</v>
      </c>
      <c r="AS96" s="120">
        <f>VLOOKUP($C96,'1 预算编制表单'!$C:$BJ,48,FALSE)</f>
        <v>0</v>
      </c>
      <c r="AT96" s="120">
        <f>AS96-AU96</f>
        <v>0</v>
      </c>
      <c r="AU96" s="120">
        <f>SUM(AU97:AU101)</f>
        <v>0</v>
      </c>
      <c r="AV96" s="120">
        <f>VLOOKUP($C96,'1 预算编制表单'!$C:$BJ,51,FALSE)</f>
        <v>0</v>
      </c>
      <c r="AW96" s="120">
        <f>AV96-AX96</f>
        <v>0</v>
      </c>
      <c r="AX96" s="120">
        <f>SUM(AX97:AX101)</f>
        <v>0</v>
      </c>
      <c r="AY96" s="120">
        <f>VLOOKUP($C96,'1 预算编制表单'!$C:$BJ,54,FALSE)</f>
        <v>0</v>
      </c>
      <c r="AZ96" s="120">
        <f>AY96-BA96</f>
        <v>0</v>
      </c>
      <c r="BA96" s="120">
        <f>SUM(BA97:BA101)</f>
        <v>0</v>
      </c>
      <c r="BB96" s="120">
        <f>VLOOKUP($C96,'1 预算编制表单'!$C:$BJ,57,FALSE)</f>
        <v>0</v>
      </c>
      <c r="BC96" s="120">
        <f>BB96-BD96</f>
        <v>0</v>
      </c>
      <c r="BD96" s="120">
        <f>SUM(BD97:BD101)</f>
        <v>0</v>
      </c>
      <c r="BE96" s="120">
        <f>VLOOKUP($C96,'1 预算编制表单'!$C:$BJ,60,FALSE)</f>
        <v>0</v>
      </c>
      <c r="BF96" s="120">
        <f>BE96-BG96</f>
        <v>0</v>
      </c>
      <c r="BG96" s="120">
        <f>SUM(BG97:BG101)</f>
        <v>0</v>
      </c>
      <c r="BH96" s="120">
        <f>VLOOKUP($C96,'1 预算编制表单'!$C:$BJ,27,FALSE)</f>
        <v>0</v>
      </c>
      <c r="BI96" s="120">
        <f>BH96-BJ96</f>
        <v>0</v>
      </c>
      <c r="BJ96" s="120">
        <f>SUM(BJ97:BJ101)</f>
        <v>0</v>
      </c>
      <c r="BK96" s="120">
        <f>VLOOKUP($C96,'1 预算编制表单'!$C:$BJ,30,FALSE)</f>
        <v>0</v>
      </c>
      <c r="BL96" s="120">
        <f>BK96-BM96</f>
        <v>0</v>
      </c>
      <c r="BM96" s="120">
        <f>SUM(BM97:BM101)</f>
        <v>0</v>
      </c>
      <c r="BN96" s="120">
        <f>VLOOKUP($C96,'1 预算编制表单'!$C:$BJ,33,FALSE)</f>
        <v>0</v>
      </c>
      <c r="BO96" s="120">
        <f>BN96-BP96</f>
        <v>0</v>
      </c>
      <c r="BP96" s="120">
        <f>SUM(BP97:BP101)</f>
        <v>0</v>
      </c>
      <c r="BQ96" s="120">
        <f>VLOOKUP($C96,'1 预算编制表单'!$C:$BJ,36,FALSE)</f>
        <v>0</v>
      </c>
      <c r="BR96" s="120">
        <f>BQ96-BS96</f>
        <v>0</v>
      </c>
      <c r="BS96" s="120">
        <f>SUM(BS97:BS101)</f>
        <v>0</v>
      </c>
      <c r="BT96" s="120">
        <f>VLOOKUP($C96,'1 预算编制表单'!$C:$BJ,39,FALSE)</f>
        <v>0</v>
      </c>
      <c r="BU96" s="120">
        <f>BT96-BV96</f>
        <v>0</v>
      </c>
      <c r="BV96" s="120">
        <f>SUM(BV97:BV101)</f>
        <v>0</v>
      </c>
      <c r="BW96" s="120">
        <f>VLOOKUP($C96,'1 预算编制表单'!$C:$BJ,42,FALSE)</f>
        <v>0</v>
      </c>
      <c r="BX96" s="120">
        <f>BW96-BY96</f>
        <v>0</v>
      </c>
      <c r="BY96" s="120">
        <f>SUM(BY97:BY101)</f>
        <v>0</v>
      </c>
      <c r="BZ96" s="120">
        <f>VLOOKUP($C96,'1 预算编制表单'!$C:$BJ,45,FALSE)</f>
        <v>0</v>
      </c>
      <c r="CA96" s="120">
        <f>BZ96-CB96</f>
        <v>0</v>
      </c>
      <c r="CB96" s="120">
        <f>SUM(CB97:CB101)</f>
        <v>0</v>
      </c>
      <c r="CC96" s="120">
        <f>VLOOKUP($C96,'1 预算编制表单'!$C:$BJ,48,FALSE)</f>
        <v>0</v>
      </c>
      <c r="CD96" s="120">
        <f>CC96-CE96</f>
        <v>0</v>
      </c>
      <c r="CE96" s="120">
        <f>SUM(CE97:CE101)</f>
        <v>0</v>
      </c>
      <c r="CF96" s="120">
        <f>VLOOKUP($C96,'1 预算编制表单'!$C:$BJ,51,FALSE)</f>
        <v>0</v>
      </c>
      <c r="CG96" s="120">
        <f>CF96-CH96</f>
        <v>0</v>
      </c>
      <c r="CH96" s="120">
        <f>SUM(CH97:CH101)</f>
        <v>0</v>
      </c>
      <c r="CI96" s="120">
        <f>VLOOKUP($C96,'1 预算编制表单'!$C:$BJ,54,FALSE)</f>
        <v>0</v>
      </c>
      <c r="CJ96" s="120">
        <f>CI96-CK96</f>
        <v>0</v>
      </c>
      <c r="CK96" s="120">
        <f>SUM(CK97:CK101)</f>
        <v>0</v>
      </c>
      <c r="CL96" s="120">
        <f>VLOOKUP($C96,'1 预算编制表单'!$C:$BJ,57,FALSE)</f>
        <v>0</v>
      </c>
      <c r="CM96" s="120">
        <f>CL96-CN96</f>
        <v>0</v>
      </c>
      <c r="CN96" s="120">
        <f>SUM(CN97:CN101)</f>
        <v>0</v>
      </c>
      <c r="CO96" s="120">
        <f>VLOOKUP($C96,'1 预算编制表单'!$C:$BJ,60,FALSE)</f>
        <v>0</v>
      </c>
      <c r="CP96" s="120">
        <f>CO96-CQ96</f>
        <v>0</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53207.5471698113</v>
      </c>
      <c r="I114" s="116">
        <f>Y114+AB114+AE114+AH114+AK114+AN114+AQ114+AT114+AW114+AZ114+BC114+BF114</f>
        <v>53207.5471698113</v>
      </c>
      <c r="J114" s="116">
        <f t="shared" si="814"/>
        <v>0</v>
      </c>
      <c r="K114" s="116"/>
      <c r="L114" s="147"/>
      <c r="M114" s="147"/>
      <c r="N114" s="116"/>
      <c r="O114" s="116"/>
      <c r="P114" s="116"/>
      <c r="Q114" s="116"/>
      <c r="R114" s="116"/>
      <c r="S114" s="116"/>
      <c r="T114" s="116"/>
      <c r="U114" s="116"/>
      <c r="V114" s="116"/>
      <c r="W114" s="116"/>
      <c r="X114" s="116">
        <f>VLOOKUP($C114,'1 预算编制表单'!$C:$BJ,27,FALSE)</f>
        <v>4433.96226415094</v>
      </c>
      <c r="Y114" s="116">
        <f>X114-Z114</f>
        <v>4433.96226415094</v>
      </c>
      <c r="Z114" s="116">
        <f>Z115+Z121+Z127+Z133</f>
        <v>0</v>
      </c>
      <c r="AA114" s="116">
        <f>VLOOKUP($C114,'1 预算编制表单'!$C:$BJ,30,FALSE)</f>
        <v>4433.96226415094</v>
      </c>
      <c r="AB114" s="116">
        <f>AA114-AC114</f>
        <v>4433.96226415094</v>
      </c>
      <c r="AC114" s="116">
        <f>AC115+AC121+AC127+AC133</f>
        <v>0</v>
      </c>
      <c r="AD114" s="116">
        <f>VLOOKUP($C114,'1 预算编制表单'!$C:$BJ,33,FALSE)</f>
        <v>4433.96226415094</v>
      </c>
      <c r="AE114" s="116">
        <f>AD114-AF114</f>
        <v>4433.96226415094</v>
      </c>
      <c r="AF114" s="116">
        <f>AF115+AF121+AF127+AF133</f>
        <v>0</v>
      </c>
      <c r="AG114" s="116">
        <f>VLOOKUP($C114,'1 预算编制表单'!$C:$BJ,36,FALSE)</f>
        <v>4433.96226415094</v>
      </c>
      <c r="AH114" s="116">
        <f>AG114-AI114</f>
        <v>4433.96226415094</v>
      </c>
      <c r="AI114" s="116">
        <f>AI115+AI121+AI127+AI133</f>
        <v>0</v>
      </c>
      <c r="AJ114" s="116">
        <f>VLOOKUP($C114,'1 预算编制表单'!$C:$BJ,39,FALSE)</f>
        <v>4433.96226415094</v>
      </c>
      <c r="AK114" s="116">
        <f>AJ114-AL114</f>
        <v>4433.96226415094</v>
      </c>
      <c r="AL114" s="116">
        <f>AL115+AL121+AL127+AL133</f>
        <v>0</v>
      </c>
      <c r="AM114" s="116">
        <f>VLOOKUP($C114,'1 预算编制表单'!$C:$BJ,42,FALSE)</f>
        <v>4433.96226415094</v>
      </c>
      <c r="AN114" s="116">
        <f>AM114-AO114</f>
        <v>4433.96226415094</v>
      </c>
      <c r="AO114" s="116">
        <f>AO115+AO121+AO127+AO133</f>
        <v>0</v>
      </c>
      <c r="AP114" s="116">
        <f>VLOOKUP($C114,'1 预算编制表单'!$C:$BJ,45,FALSE)</f>
        <v>4433.96226415094</v>
      </c>
      <c r="AQ114" s="116">
        <f>AP114-AR114</f>
        <v>4433.96226415094</v>
      </c>
      <c r="AR114" s="116">
        <f>AR115+AR121+AR127+AR133</f>
        <v>0</v>
      </c>
      <c r="AS114" s="116">
        <f>VLOOKUP($C114,'1 预算编制表单'!$C:$BJ,48,FALSE)</f>
        <v>4433.96226415094</v>
      </c>
      <c r="AT114" s="116">
        <f>AS114-AU114</f>
        <v>4433.96226415094</v>
      </c>
      <c r="AU114" s="116">
        <f>AU115+AU121+AU127+AU133</f>
        <v>0</v>
      </c>
      <c r="AV114" s="116">
        <f>VLOOKUP($C114,'1 预算编制表单'!$C:$BJ,51,FALSE)</f>
        <v>4433.96226415094</v>
      </c>
      <c r="AW114" s="116">
        <f>AV114-AX114</f>
        <v>4433.96226415094</v>
      </c>
      <c r="AX114" s="116">
        <f>AX115+AX121+AX127+AX133</f>
        <v>0</v>
      </c>
      <c r="AY114" s="116">
        <f>VLOOKUP($C114,'1 预算编制表单'!$C:$BJ,54,FALSE)</f>
        <v>4433.96226415094</v>
      </c>
      <c r="AZ114" s="116">
        <f>AY114-BA114</f>
        <v>4433.96226415094</v>
      </c>
      <c r="BA114" s="116">
        <f>BA115+BA121+BA127+BA133</f>
        <v>0</v>
      </c>
      <c r="BB114" s="116">
        <f>VLOOKUP($C114,'1 预算编制表单'!$C:$BJ,57,FALSE)</f>
        <v>4433.96226415094</v>
      </c>
      <c r="BC114" s="116">
        <f>BB114-BD114</f>
        <v>4433.96226415094</v>
      </c>
      <c r="BD114" s="116">
        <f>BD115+BD121+BD127+BD133</f>
        <v>0</v>
      </c>
      <c r="BE114" s="116">
        <f>VLOOKUP($C114,'1 预算编制表单'!$C:$BJ,60,FALSE)</f>
        <v>4433.96226415094</v>
      </c>
      <c r="BF114" s="116">
        <f>BE114-BG114</f>
        <v>4433.96226415094</v>
      </c>
      <c r="BG114" s="116">
        <f>BG115+BG121+BG127+BG133</f>
        <v>0</v>
      </c>
      <c r="BH114" s="116">
        <f>VLOOKUP($C114,'1 预算编制表单'!$C:$BJ,27,FALSE)</f>
        <v>4433.96226415094</v>
      </c>
      <c r="BI114" s="116">
        <f>BH114-BJ114</f>
        <v>4433.96226415094</v>
      </c>
      <c r="BJ114" s="116">
        <f>BJ115+BJ121+BJ127+BJ133</f>
        <v>0</v>
      </c>
      <c r="BK114" s="116">
        <f>VLOOKUP($C114,'1 预算编制表单'!$C:$BJ,30,FALSE)</f>
        <v>4433.96226415094</v>
      </c>
      <c r="BL114" s="116">
        <f>BK114-BM114</f>
        <v>4433.96226415094</v>
      </c>
      <c r="BM114" s="116">
        <f>BM115+BM121+BM127+BM133</f>
        <v>0</v>
      </c>
      <c r="BN114" s="116">
        <f>VLOOKUP($C114,'1 预算编制表单'!$C:$BJ,33,FALSE)</f>
        <v>4433.96226415094</v>
      </c>
      <c r="BO114" s="116">
        <f>BN114-BP114</f>
        <v>4433.96226415094</v>
      </c>
      <c r="BP114" s="116">
        <f>BP115+BP121+BP127+BP133</f>
        <v>0</v>
      </c>
      <c r="BQ114" s="116">
        <f>VLOOKUP($C114,'1 预算编制表单'!$C:$BJ,36,FALSE)</f>
        <v>4433.96226415094</v>
      </c>
      <c r="BR114" s="116">
        <f>BQ114-BS114</f>
        <v>4433.96226415094</v>
      </c>
      <c r="BS114" s="116">
        <f>BS115+BS121+BS127+BS133</f>
        <v>0</v>
      </c>
      <c r="BT114" s="116">
        <f>VLOOKUP($C114,'1 预算编制表单'!$C:$BJ,39,FALSE)</f>
        <v>4433.96226415094</v>
      </c>
      <c r="BU114" s="116">
        <f>BT114-BV114</f>
        <v>4433.96226415094</v>
      </c>
      <c r="BV114" s="116">
        <f>BV115+BV121+BV127+BV133</f>
        <v>0</v>
      </c>
      <c r="BW114" s="116">
        <f>VLOOKUP($C114,'1 预算编制表单'!$C:$BJ,42,FALSE)</f>
        <v>4433.96226415094</v>
      </c>
      <c r="BX114" s="116">
        <f>BW114-BY114</f>
        <v>4433.96226415094</v>
      </c>
      <c r="BY114" s="116">
        <f>BY115+BY121+BY127+BY133</f>
        <v>0</v>
      </c>
      <c r="BZ114" s="116">
        <f>VLOOKUP($C114,'1 预算编制表单'!$C:$BJ,45,FALSE)</f>
        <v>4433.96226415094</v>
      </c>
      <c r="CA114" s="116">
        <f>BZ114-CB114</f>
        <v>4433.96226415094</v>
      </c>
      <c r="CB114" s="116">
        <f>CB115+CB121+CB127+CB133</f>
        <v>0</v>
      </c>
      <c r="CC114" s="116">
        <f>VLOOKUP($C114,'1 预算编制表单'!$C:$BJ,48,FALSE)</f>
        <v>4433.96226415094</v>
      </c>
      <c r="CD114" s="116">
        <f>CC114-CE114</f>
        <v>4433.96226415094</v>
      </c>
      <c r="CE114" s="116">
        <f>CE115+CE121+CE127+CE133</f>
        <v>0</v>
      </c>
      <c r="CF114" s="116">
        <f>VLOOKUP($C114,'1 预算编制表单'!$C:$BJ,51,FALSE)</f>
        <v>4433.96226415094</v>
      </c>
      <c r="CG114" s="116">
        <f>CF114-CH114</f>
        <v>4433.96226415094</v>
      </c>
      <c r="CH114" s="116">
        <f>CH115+CH121+CH127+CH133</f>
        <v>0</v>
      </c>
      <c r="CI114" s="116">
        <f>VLOOKUP($C114,'1 预算编制表单'!$C:$BJ,54,FALSE)</f>
        <v>4433.96226415094</v>
      </c>
      <c r="CJ114" s="116">
        <f>CI114-CK114</f>
        <v>4433.96226415094</v>
      </c>
      <c r="CK114" s="116">
        <f>CK115+CK121+CK127+CK133</f>
        <v>0</v>
      </c>
      <c r="CL114" s="116">
        <f>VLOOKUP($C114,'1 预算编制表单'!$C:$BJ,57,FALSE)</f>
        <v>4433.96226415094</v>
      </c>
      <c r="CM114" s="116">
        <f>CL114-CN114</f>
        <v>4433.96226415094</v>
      </c>
      <c r="CN114" s="116">
        <f>CN115+CN121+CN127+CN133</f>
        <v>0</v>
      </c>
      <c r="CO114" s="116">
        <f>VLOOKUP($C114,'1 预算编制表单'!$C:$BJ,60,FALSE)</f>
        <v>4433.96226415094</v>
      </c>
      <c r="CP114" s="116">
        <f>CO114-CQ114</f>
        <v>4433.96226415094</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53207.5471698113</v>
      </c>
      <c r="I127" s="120">
        <f>Y127+AB127+AE127+AH127+AK127+AN127+AQ127+AT127+AW127+AZ127+BC127+BF127</f>
        <v>53207.5471698113</v>
      </c>
      <c r="J127" s="120">
        <f t="shared" si="814"/>
        <v>0</v>
      </c>
      <c r="K127" s="120"/>
      <c r="L127" s="148"/>
      <c r="M127" s="148"/>
      <c r="N127" s="120"/>
      <c r="O127" s="120"/>
      <c r="P127" s="120"/>
      <c r="Q127" s="120"/>
      <c r="R127" s="120"/>
      <c r="S127" s="120"/>
      <c r="T127" s="120"/>
      <c r="U127" s="120"/>
      <c r="V127" s="120"/>
      <c r="W127" s="120"/>
      <c r="X127" s="120">
        <f>VLOOKUP($C127,'1 预算编制表单'!$C:$BJ,27,FALSE)</f>
        <v>4433.96226415094</v>
      </c>
      <c r="Y127" s="120">
        <f>X127-Z127</f>
        <v>4433.96226415094</v>
      </c>
      <c r="Z127" s="120">
        <f>SUM(Z128:Z132)</f>
        <v>0</v>
      </c>
      <c r="AA127" s="120">
        <f>VLOOKUP($C127,'1 预算编制表单'!$C:$BJ,30,FALSE)</f>
        <v>4433.96226415094</v>
      </c>
      <c r="AB127" s="120">
        <f>AA127-AC127</f>
        <v>4433.96226415094</v>
      </c>
      <c r="AC127" s="120">
        <f>SUM(AC128:AC132)</f>
        <v>0</v>
      </c>
      <c r="AD127" s="120">
        <f>VLOOKUP($C127,'1 预算编制表单'!$C:$BJ,33,FALSE)</f>
        <v>4433.96226415094</v>
      </c>
      <c r="AE127" s="120">
        <f>AD127-AF127</f>
        <v>4433.96226415094</v>
      </c>
      <c r="AF127" s="120">
        <f>SUM(AF128:AF132)</f>
        <v>0</v>
      </c>
      <c r="AG127" s="120">
        <f>VLOOKUP($C127,'1 预算编制表单'!$C:$BJ,36,FALSE)</f>
        <v>4433.96226415094</v>
      </c>
      <c r="AH127" s="120">
        <f>AG127-AI127</f>
        <v>4433.96226415094</v>
      </c>
      <c r="AI127" s="120">
        <f>SUM(AI128:AI132)</f>
        <v>0</v>
      </c>
      <c r="AJ127" s="120">
        <f>VLOOKUP($C127,'1 预算编制表单'!$C:$BJ,39,FALSE)</f>
        <v>4433.96226415094</v>
      </c>
      <c r="AK127" s="120">
        <f>AJ127-AL127</f>
        <v>4433.96226415094</v>
      </c>
      <c r="AL127" s="120">
        <f>SUM(AL128:AL132)</f>
        <v>0</v>
      </c>
      <c r="AM127" s="120">
        <f>VLOOKUP($C127,'1 预算编制表单'!$C:$BJ,42,FALSE)</f>
        <v>4433.96226415094</v>
      </c>
      <c r="AN127" s="120">
        <f>AM127-AO127</f>
        <v>4433.96226415094</v>
      </c>
      <c r="AO127" s="120">
        <f>SUM(AO128:AO132)</f>
        <v>0</v>
      </c>
      <c r="AP127" s="120">
        <f>VLOOKUP($C127,'1 预算编制表单'!$C:$BJ,45,FALSE)</f>
        <v>4433.96226415094</v>
      </c>
      <c r="AQ127" s="120">
        <f>AP127-AR127</f>
        <v>4433.96226415094</v>
      </c>
      <c r="AR127" s="120">
        <f>SUM(AR128:AR132)</f>
        <v>0</v>
      </c>
      <c r="AS127" s="120">
        <f>VLOOKUP($C127,'1 预算编制表单'!$C:$BJ,48,FALSE)</f>
        <v>4433.96226415094</v>
      </c>
      <c r="AT127" s="120">
        <f>AS127-AU127</f>
        <v>4433.96226415094</v>
      </c>
      <c r="AU127" s="120">
        <f>SUM(AU128:AU132)</f>
        <v>0</v>
      </c>
      <c r="AV127" s="120">
        <f>VLOOKUP($C127,'1 预算编制表单'!$C:$BJ,51,FALSE)</f>
        <v>4433.96226415094</v>
      </c>
      <c r="AW127" s="120">
        <f>AV127-AX127</f>
        <v>4433.96226415094</v>
      </c>
      <c r="AX127" s="120">
        <f>SUM(AX128:AX132)</f>
        <v>0</v>
      </c>
      <c r="AY127" s="120">
        <f>VLOOKUP($C127,'1 预算编制表单'!$C:$BJ,54,FALSE)</f>
        <v>4433.96226415094</v>
      </c>
      <c r="AZ127" s="120">
        <f>AY127-BA127</f>
        <v>4433.96226415094</v>
      </c>
      <c r="BA127" s="120">
        <f>SUM(BA128:BA132)</f>
        <v>0</v>
      </c>
      <c r="BB127" s="120">
        <f>VLOOKUP($C127,'1 预算编制表单'!$C:$BJ,57,FALSE)</f>
        <v>4433.96226415094</v>
      </c>
      <c r="BC127" s="120">
        <f>BB127-BD127</f>
        <v>4433.96226415094</v>
      </c>
      <c r="BD127" s="120">
        <f>SUM(BD128:BD132)</f>
        <v>0</v>
      </c>
      <c r="BE127" s="120">
        <f>VLOOKUP($C127,'1 预算编制表单'!$C:$BJ,60,FALSE)</f>
        <v>4433.96226415094</v>
      </c>
      <c r="BF127" s="120">
        <f>BE127-BG127</f>
        <v>4433.96226415094</v>
      </c>
      <c r="BG127" s="120">
        <f>SUM(BG128:BG132)</f>
        <v>0</v>
      </c>
      <c r="BH127" s="120">
        <f>VLOOKUP($C127,'1 预算编制表单'!$C:$BJ,27,FALSE)</f>
        <v>4433.96226415094</v>
      </c>
      <c r="BI127" s="120">
        <f>BH127-BJ127</f>
        <v>4433.96226415094</v>
      </c>
      <c r="BJ127" s="120">
        <f>SUM(BJ128:BJ132)</f>
        <v>0</v>
      </c>
      <c r="BK127" s="120">
        <f>VLOOKUP($C127,'1 预算编制表单'!$C:$BJ,30,FALSE)</f>
        <v>4433.96226415094</v>
      </c>
      <c r="BL127" s="120">
        <f>BK127-BM127</f>
        <v>4433.96226415094</v>
      </c>
      <c r="BM127" s="120">
        <f>SUM(BM128:BM132)</f>
        <v>0</v>
      </c>
      <c r="BN127" s="120">
        <f>VLOOKUP($C127,'1 预算编制表单'!$C:$BJ,33,FALSE)</f>
        <v>4433.96226415094</v>
      </c>
      <c r="BO127" s="120">
        <f>BN127-BP127</f>
        <v>4433.96226415094</v>
      </c>
      <c r="BP127" s="120">
        <f>SUM(BP128:BP132)</f>
        <v>0</v>
      </c>
      <c r="BQ127" s="120">
        <f>VLOOKUP($C127,'1 预算编制表单'!$C:$BJ,36,FALSE)</f>
        <v>4433.96226415094</v>
      </c>
      <c r="BR127" s="120">
        <f>BQ127-BS127</f>
        <v>4433.96226415094</v>
      </c>
      <c r="BS127" s="120">
        <f>SUM(BS128:BS132)</f>
        <v>0</v>
      </c>
      <c r="BT127" s="120">
        <f>VLOOKUP($C127,'1 预算编制表单'!$C:$BJ,39,FALSE)</f>
        <v>4433.96226415094</v>
      </c>
      <c r="BU127" s="120">
        <f>BT127-BV127</f>
        <v>4433.96226415094</v>
      </c>
      <c r="BV127" s="120">
        <f>SUM(BV128:BV132)</f>
        <v>0</v>
      </c>
      <c r="BW127" s="120">
        <f>VLOOKUP($C127,'1 预算编制表单'!$C:$BJ,42,FALSE)</f>
        <v>4433.96226415094</v>
      </c>
      <c r="BX127" s="120">
        <f>BW127-BY127</f>
        <v>4433.96226415094</v>
      </c>
      <c r="BY127" s="120">
        <f>SUM(BY128:BY132)</f>
        <v>0</v>
      </c>
      <c r="BZ127" s="120">
        <f>VLOOKUP($C127,'1 预算编制表单'!$C:$BJ,45,FALSE)</f>
        <v>4433.96226415094</v>
      </c>
      <c r="CA127" s="120">
        <f>BZ127-CB127</f>
        <v>4433.96226415094</v>
      </c>
      <c r="CB127" s="120">
        <f>SUM(CB128:CB132)</f>
        <v>0</v>
      </c>
      <c r="CC127" s="120">
        <f>VLOOKUP($C127,'1 预算编制表单'!$C:$BJ,48,FALSE)</f>
        <v>4433.96226415094</v>
      </c>
      <c r="CD127" s="120">
        <f>CC127-CE127</f>
        <v>4433.96226415094</v>
      </c>
      <c r="CE127" s="120">
        <f>SUM(CE128:CE132)</f>
        <v>0</v>
      </c>
      <c r="CF127" s="120">
        <f>VLOOKUP($C127,'1 预算编制表单'!$C:$BJ,51,FALSE)</f>
        <v>4433.96226415094</v>
      </c>
      <c r="CG127" s="120">
        <f>CF127-CH127</f>
        <v>4433.96226415094</v>
      </c>
      <c r="CH127" s="120">
        <f>SUM(CH128:CH132)</f>
        <v>0</v>
      </c>
      <c r="CI127" s="120">
        <f>VLOOKUP($C127,'1 预算编制表单'!$C:$BJ,54,FALSE)</f>
        <v>4433.96226415094</v>
      </c>
      <c r="CJ127" s="120">
        <f>CI127-CK127</f>
        <v>4433.96226415094</v>
      </c>
      <c r="CK127" s="120">
        <f>SUM(CK128:CK132)</f>
        <v>0</v>
      </c>
      <c r="CL127" s="120">
        <f>VLOOKUP($C127,'1 预算编制表单'!$C:$BJ,57,FALSE)</f>
        <v>4433.96226415094</v>
      </c>
      <c r="CM127" s="120">
        <f>CL127-CN127</f>
        <v>4433.96226415094</v>
      </c>
      <c r="CN127" s="120">
        <f>SUM(CN128:CN132)</f>
        <v>0</v>
      </c>
      <c r="CO127" s="120">
        <f>VLOOKUP($C127,'1 预算编制表单'!$C:$BJ,60,FALSE)</f>
        <v>4433.96226415094</v>
      </c>
      <c r="CP127" s="120">
        <f>CO127-CQ127</f>
        <v>4433.96226415094</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2823</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22971.2401538743</v>
      </c>
      <c r="I177" s="113">
        <f t="shared" si="2110"/>
        <v>8986.54015387436</v>
      </c>
      <c r="J177" s="113">
        <f t="shared" si="1570"/>
        <v>13984.7</v>
      </c>
      <c r="K177" s="113"/>
      <c r="L177" s="146"/>
      <c r="M177" s="146"/>
      <c r="N177" s="113"/>
      <c r="O177" s="146"/>
      <c r="P177" s="113"/>
      <c r="Q177" s="113"/>
      <c r="R177" s="113"/>
      <c r="S177" s="113"/>
      <c r="T177" s="113"/>
      <c r="U177" s="113"/>
      <c r="V177" s="113"/>
      <c r="W177" s="113"/>
      <c r="X177" s="113">
        <f>VLOOKUP($C177,'1 预算编制表单'!$C:$BJ,27,FALSE)</f>
        <v>12291.6285033889</v>
      </c>
      <c r="Y177" s="113">
        <f>X177-Z177</f>
        <v>12291.6285033889</v>
      </c>
      <c r="Z177" s="113">
        <f>Z178+Z203+Z209+Z252+Z265+Z278+Z339+Z397+Z403+Z422</f>
        <v>0</v>
      </c>
      <c r="AA177" s="113">
        <f>VLOOKUP($C177,'1 预算编制表单'!$C:$BJ,30,FALSE)</f>
        <v>970.873786407767</v>
      </c>
      <c r="AB177" s="113">
        <f>AA177-AC177</f>
        <v>970.873786407767</v>
      </c>
      <c r="AC177" s="113">
        <f>AC178+AC203+AC209+AC252+AC265+AC278+AC339+AC397+AC403+AC422</f>
        <v>0</v>
      </c>
      <c r="AD177" s="113">
        <f>VLOOKUP($C177,'1 预算编制表单'!$C:$BJ,33,FALSE)</f>
        <v>970.873786407767</v>
      </c>
      <c r="AE177" s="113">
        <f>AD177-AF177</f>
        <v>-206.528378094393</v>
      </c>
      <c r="AF177" s="113">
        <f>AF178+AF203+AF209+AF252+AF265+AF278+AF339+AF397+AF403+AF422</f>
        <v>1177.40216450216</v>
      </c>
      <c r="AG177" s="113">
        <f>VLOOKUP($C177,'1 预算编制表单'!$C:$BJ,36,FALSE)</f>
        <v>970.873786407767</v>
      </c>
      <c r="AH177" s="113">
        <f>AG177-AI177</f>
        <v>-824.541798007813</v>
      </c>
      <c r="AI177" s="113">
        <f>AI178+AI203+AI209+AI252+AI265+AI278+AI339+AI397+AI403+AI422</f>
        <v>1795.41558441558</v>
      </c>
      <c r="AJ177" s="113">
        <f>VLOOKUP($C177,'1 预算编制表单'!$C:$BJ,39,FALSE)</f>
        <v>970.873786407767</v>
      </c>
      <c r="AK177" s="113">
        <f>AJ177-AL177</f>
        <v>-884.388984155003</v>
      </c>
      <c r="AL177" s="113">
        <f>AL178+AL203+AL209+AL252+AL265+AL278+AL339+AL397+AL403+AL422</f>
        <v>1855.26277056277</v>
      </c>
      <c r="AM177" s="113">
        <f>VLOOKUP($C177,'1 预算编制表单'!$C:$BJ,42,FALSE)</f>
        <v>970.873786407767</v>
      </c>
      <c r="AN177" s="113">
        <f>AM177-AO177</f>
        <v>-824.541798007813</v>
      </c>
      <c r="AO177" s="113">
        <f>AO178+AO203+AO209+AO252+AO265+AO278+AO339+AO397+AO403+AO422</f>
        <v>1795.41558441558</v>
      </c>
      <c r="AP177" s="113">
        <f>VLOOKUP($C177,'1 预算编制表单'!$C:$BJ,45,FALSE)</f>
        <v>970.873786407767</v>
      </c>
      <c r="AQ177" s="113">
        <f>AP177-AR177</f>
        <v>-884.388984155003</v>
      </c>
      <c r="AR177" s="113">
        <f>AR178+AR203+AR209+AR252+AR265+AR278+AR339+AR397+AR403+AR422</f>
        <v>1855.26277056277</v>
      </c>
      <c r="AS177" s="113">
        <f>VLOOKUP($C177,'1 预算编制表单'!$C:$BJ,48,FALSE)</f>
        <v>970.873786407767</v>
      </c>
      <c r="AT177" s="113">
        <f>AS177-AU177</f>
        <v>-884.388984155003</v>
      </c>
      <c r="AU177" s="113">
        <f>AU178+AU203+AU209+AU252+AU265+AU278+AU339+AU397+AU403+AU422</f>
        <v>1855.26277056277</v>
      </c>
      <c r="AV177" s="113">
        <f>VLOOKUP($C177,'1 预算编制表单'!$C:$BJ,51,FALSE)</f>
        <v>970.873786407767</v>
      </c>
      <c r="AW177" s="113">
        <f>AV177-AX177</f>
        <v>-824.541798007813</v>
      </c>
      <c r="AX177" s="113">
        <f>AX178+AX203+AX209+AX252+AX265+AX278+AX339+AX397+AX403+AX422</f>
        <v>1795.41558441558</v>
      </c>
      <c r="AY177" s="113">
        <f>VLOOKUP($C177,'1 预算编制表单'!$C:$BJ,54,FALSE)</f>
        <v>970.873786407767</v>
      </c>
      <c r="AZ177" s="113">
        <f>AY177-BA177</f>
        <v>-884.388984155003</v>
      </c>
      <c r="BA177" s="113">
        <f>BA178+BA203+BA209+BA252+BA265+BA278+BA339+BA397+BA403+BA422</f>
        <v>1855.26277056277</v>
      </c>
      <c r="BB177" s="113">
        <f>VLOOKUP($C177,'1 预算编制表单'!$C:$BJ,57,FALSE)</f>
        <v>970.873786407767</v>
      </c>
      <c r="BC177" s="113">
        <f>BB177-BD177</f>
        <v>970.873786407767</v>
      </c>
      <c r="BD177" s="113">
        <f>BD178+BD203+BD209+BD252+BD265+BD278+BD339+BD397+BD403+BD422</f>
        <v>0</v>
      </c>
      <c r="BE177" s="113">
        <f>VLOOKUP($C177,'1 预算编制表单'!$C:$BJ,60,FALSE)</f>
        <v>970.873786407767</v>
      </c>
      <c r="BF177" s="113">
        <f>BE177-BG177</f>
        <v>970.873786407767</v>
      </c>
      <c r="BG177" s="113">
        <f>BG178+BG203+BG209+BG252+BG265+BG278+BG339+BG397+BG403+BG422</f>
        <v>0</v>
      </c>
      <c r="BH177" s="113">
        <f>VLOOKUP($C177,'1 预算编制表单'!$C:$BJ,27,FALSE)</f>
        <v>12291.6285033889</v>
      </c>
      <c r="BI177" s="113">
        <f t="shared" ref="BI177:BI179" si="2111">BH177-BJ177</f>
        <v>12291.6285033889</v>
      </c>
      <c r="BJ177" s="113">
        <f>BJ178+BJ203+BJ209+BJ252+BJ265+BJ278+BJ339+BJ397+BJ403+BJ422</f>
        <v>0</v>
      </c>
      <c r="BK177" s="113">
        <f>VLOOKUP($C177,'1 预算编制表单'!$C:$BJ,30,FALSE)</f>
        <v>970.873786407767</v>
      </c>
      <c r="BL177" s="113">
        <f t="shared" ref="BL177:BL179" si="2112">BK177-BM177</f>
        <v>970.873786407767</v>
      </c>
      <c r="BM177" s="113">
        <f>BM178+BM203+BM209+BM252+BM265+BM278+BM339+BM397+BM403+BM422</f>
        <v>0</v>
      </c>
      <c r="BN177" s="113">
        <f>VLOOKUP($C177,'1 预算编制表单'!$C:$BJ,33,FALSE)</f>
        <v>970.873786407767</v>
      </c>
      <c r="BO177" s="113">
        <f t="shared" ref="BO177:BO179" si="2113">BN177-BP177</f>
        <v>970.873786407767</v>
      </c>
      <c r="BP177" s="113">
        <f>BP178+BP203+BP209+BP252+BP265+BP278+BP339+BP397+BP403+BP422</f>
        <v>0</v>
      </c>
      <c r="BQ177" s="113">
        <f>VLOOKUP($C177,'1 预算编制表单'!$C:$BJ,36,FALSE)</f>
        <v>970.873786407767</v>
      </c>
      <c r="BR177" s="113">
        <f t="shared" ref="BR177:BR179" si="2114">BQ177-BS177</f>
        <v>970.873786407767</v>
      </c>
      <c r="BS177" s="113">
        <f>BS178+BS203+BS209+BS252+BS265+BS278+BS339+BS397+BS403+BS422</f>
        <v>0</v>
      </c>
      <c r="BT177" s="113">
        <f>VLOOKUP($C177,'1 预算编制表单'!$C:$BJ,39,FALSE)</f>
        <v>970.873786407767</v>
      </c>
      <c r="BU177" s="113">
        <f t="shared" ref="BU177:BU179" si="2115">BT177-BV177</f>
        <v>970.873786407767</v>
      </c>
      <c r="BV177" s="113">
        <f>BV178+BV203+BV209+BV252+BV265+BV278+BV339+BV397+BV403+BV422</f>
        <v>0</v>
      </c>
      <c r="BW177" s="113">
        <f>VLOOKUP($C177,'1 预算编制表单'!$C:$BJ,42,FALSE)</f>
        <v>970.873786407767</v>
      </c>
      <c r="BX177" s="113">
        <f t="shared" ref="BX177:BX179" si="2116">BW177-BY177</f>
        <v>970.873786407767</v>
      </c>
      <c r="BY177" s="113">
        <f>BY178+BY203+BY209+BY252+BY265+BY278+BY339+BY397+BY403+BY422</f>
        <v>0</v>
      </c>
      <c r="BZ177" s="113">
        <f>VLOOKUP($C177,'1 预算编制表单'!$C:$BJ,45,FALSE)</f>
        <v>970.873786407767</v>
      </c>
      <c r="CA177" s="113">
        <f t="shared" ref="CA177:CA179" si="2117">BZ177-CB177</f>
        <v>970.873786407767</v>
      </c>
      <c r="CB177" s="113">
        <f>CB178+CB203+CB209+CB252+CB265+CB278+CB339+CB397+CB403+CB422</f>
        <v>0</v>
      </c>
      <c r="CC177" s="113">
        <f>VLOOKUP($C177,'1 预算编制表单'!$C:$BJ,48,FALSE)</f>
        <v>970.873786407767</v>
      </c>
      <c r="CD177" s="113">
        <f t="shared" ref="CD177:CD179" si="2118">CC177-CE177</f>
        <v>970.873786407767</v>
      </c>
      <c r="CE177" s="113">
        <f>CE178+CE203+CE209+CE252+CE265+CE278+CE339+CE397+CE403+CE422</f>
        <v>0</v>
      </c>
      <c r="CF177" s="113">
        <f>VLOOKUP($C177,'1 预算编制表单'!$C:$BJ,51,FALSE)</f>
        <v>970.873786407767</v>
      </c>
      <c r="CG177" s="113">
        <f t="shared" ref="CG177:CG179" si="2119">CF177-CH177</f>
        <v>970.873786407767</v>
      </c>
      <c r="CH177" s="113">
        <f>CH178+CH203+CH209+CH252+CH265+CH278+CH339+CH397+CH403+CH422</f>
        <v>0</v>
      </c>
      <c r="CI177" s="113">
        <f>VLOOKUP($C177,'1 预算编制表单'!$C:$BJ,54,FALSE)</f>
        <v>970.873786407767</v>
      </c>
      <c r="CJ177" s="113">
        <f t="shared" ref="CJ177:CJ179" si="2120">CI177-CK177</f>
        <v>970.873786407767</v>
      </c>
      <c r="CK177" s="113">
        <f>CK178+CK203+CK209+CK252+CK265+CK278+CK339+CK397+CK403+CK422</f>
        <v>0</v>
      </c>
      <c r="CL177" s="113">
        <f>VLOOKUP($C177,'1 预算编制表单'!$C:$BJ,57,FALSE)</f>
        <v>970.873786407767</v>
      </c>
      <c r="CM177" s="113">
        <f t="shared" ref="CM177:CM179" si="2121">CL177-CN177</f>
        <v>970.873786407767</v>
      </c>
      <c r="CN177" s="113">
        <f>CN178+CN203+CN209+CN252+CN265+CN278+CN339+CN397+CN403+CN422</f>
        <v>0</v>
      </c>
      <c r="CO177" s="113">
        <f>VLOOKUP($C177,'1 预算编制表单'!$C:$BJ,60,FALSE)</f>
        <v>970.873786407767</v>
      </c>
      <c r="CP177" s="113">
        <f t="shared" ref="CP177:CP179" si="2122">CO177-CQ177</f>
        <v>970.873786407767</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0</v>
      </c>
      <c r="I178" s="116">
        <f t="shared" si="2110"/>
        <v>-2800</v>
      </c>
      <c r="J178" s="116">
        <f t="shared" si="1570"/>
        <v>2800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-354.285714285714</v>
      </c>
      <c r="AF178" s="116">
        <f>AF179+AF185+AF191+AF197</f>
        <v>354.285714285714</v>
      </c>
      <c r="AG178" s="116">
        <f>VLOOKUP($C178,'1 预算编制表单'!$C:$BJ,36,FALSE)</f>
        <v>0</v>
      </c>
      <c r="AH178" s="116">
        <f>AG178-AI178</f>
        <v>-342.857142857143</v>
      </c>
      <c r="AI178" s="116">
        <f>AI179+AI185+AI191+AI197</f>
        <v>342.857142857143</v>
      </c>
      <c r="AJ178" s="116">
        <f>VLOOKUP($C178,'1 预算编制表单'!$C:$BJ,39,FALSE)</f>
        <v>0</v>
      </c>
      <c r="AK178" s="116">
        <f>AJ178-AL178</f>
        <v>-354.285714285714</v>
      </c>
      <c r="AL178" s="116">
        <f>AL179+AL185+AL191+AL197</f>
        <v>354.285714285714</v>
      </c>
      <c r="AM178" s="116">
        <f>VLOOKUP($C178,'1 预算编制表单'!$C:$BJ,42,FALSE)</f>
        <v>0</v>
      </c>
      <c r="AN178" s="116">
        <f>AM178-AO178</f>
        <v>-342.857142857143</v>
      </c>
      <c r="AO178" s="116">
        <f>AO179+AO185+AO191+AO197</f>
        <v>342.857142857143</v>
      </c>
      <c r="AP178" s="116">
        <f>VLOOKUP($C178,'1 预算编制表单'!$C:$BJ,45,FALSE)</f>
        <v>0</v>
      </c>
      <c r="AQ178" s="116">
        <f>AP178-AR178</f>
        <v>-354.285714285714</v>
      </c>
      <c r="AR178" s="116">
        <f>AR179+AR185+AR191+AR197</f>
        <v>354.285714285714</v>
      </c>
      <c r="AS178" s="116">
        <f>VLOOKUP($C178,'1 预算编制表单'!$C:$BJ,48,FALSE)</f>
        <v>0</v>
      </c>
      <c r="AT178" s="116">
        <f>AS178-AU178</f>
        <v>-354.285714285714</v>
      </c>
      <c r="AU178" s="116">
        <f>AU179+AU185+AU191+AU197</f>
        <v>354.285714285714</v>
      </c>
      <c r="AV178" s="116">
        <f>VLOOKUP($C178,'1 预算编制表单'!$C:$BJ,51,FALSE)</f>
        <v>0</v>
      </c>
      <c r="AW178" s="116">
        <f>AV178-AX178</f>
        <v>-342.857142857143</v>
      </c>
      <c r="AX178" s="116">
        <f>AX179+AX185+AX191+AX197</f>
        <v>342.857142857143</v>
      </c>
      <c r="AY178" s="116">
        <f>VLOOKUP($C178,'1 预算编制表单'!$C:$BJ,54,FALSE)</f>
        <v>0</v>
      </c>
      <c r="AZ178" s="116">
        <f>AY178-BA178</f>
        <v>-354.285714285714</v>
      </c>
      <c r="BA178" s="116">
        <f>BA179+BA185+BA191+BA197</f>
        <v>354.285714285714</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customHeight="1" outlineLevel="3" spans="1:95">
      <c r="A179" s="117"/>
      <c r="B179" s="118" t="s">
        <v>799</v>
      </c>
      <c r="C179" s="119" t="s">
        <v>1147</v>
      </c>
      <c r="D179" s="117" t="s">
        <v>2824</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2825</v>
      </c>
      <c r="E185" s="118"/>
      <c r="F185" s="118"/>
      <c r="G185" s="118"/>
      <c r="H185" s="120">
        <f>X185+AA185+AD185+AG185+AJ185+AM185+AP185+AS185+AV185+AY185+BB185+BE185</f>
        <v>0</v>
      </c>
      <c r="I185" s="120">
        <f>Y185+AB185+AE185+AH185+AK185+AN185+AQ185+AT185+AW185+AZ185+BC185+BF185</f>
        <v>-2800</v>
      </c>
      <c r="J185" s="120">
        <f t="shared" si="1570"/>
        <v>2800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-354.285714285714</v>
      </c>
      <c r="AF185" s="120">
        <f>SUM(AF186:AF190)</f>
        <v>354.285714285714</v>
      </c>
      <c r="AG185" s="120">
        <f>VLOOKUP($C185,'1 预算编制表单'!$C:$BJ,36,FALSE)</f>
        <v>0</v>
      </c>
      <c r="AH185" s="120">
        <f>AG185-AI185</f>
        <v>-342.857142857143</v>
      </c>
      <c r="AI185" s="120">
        <f>SUM(AI186:AI190)</f>
        <v>342.857142857143</v>
      </c>
      <c r="AJ185" s="120">
        <f>VLOOKUP($C185,'1 预算编制表单'!$C:$BJ,39,FALSE)</f>
        <v>0</v>
      </c>
      <c r="AK185" s="120">
        <f>AJ185-AL185</f>
        <v>-354.285714285714</v>
      </c>
      <c r="AL185" s="120">
        <f>SUM(AL186:AL190)</f>
        <v>354.285714285714</v>
      </c>
      <c r="AM185" s="120">
        <f>VLOOKUP($C185,'1 预算编制表单'!$C:$BJ,42,FALSE)</f>
        <v>0</v>
      </c>
      <c r="AN185" s="120">
        <f>AM185-AO185</f>
        <v>-342.857142857143</v>
      </c>
      <c r="AO185" s="120">
        <f>SUM(AO186:AO190)</f>
        <v>342.857142857143</v>
      </c>
      <c r="AP185" s="120">
        <f>VLOOKUP($C185,'1 预算编制表单'!$C:$BJ,45,FALSE)</f>
        <v>0</v>
      </c>
      <c r="AQ185" s="120">
        <f>AP185-AR185</f>
        <v>-354.285714285714</v>
      </c>
      <c r="AR185" s="120">
        <f>SUM(AR186:AR190)</f>
        <v>354.285714285714</v>
      </c>
      <c r="AS185" s="120">
        <f>VLOOKUP($C185,'1 预算编制表单'!$C:$BJ,48,FALSE)</f>
        <v>0</v>
      </c>
      <c r="AT185" s="120">
        <f>AS185-AU185</f>
        <v>-354.285714285714</v>
      </c>
      <c r="AU185" s="120">
        <f>SUM(AU186:AU190)</f>
        <v>354.285714285714</v>
      </c>
      <c r="AV185" s="120">
        <f>VLOOKUP($C185,'1 预算编制表单'!$C:$BJ,51,FALSE)</f>
        <v>0</v>
      </c>
      <c r="AW185" s="120">
        <f>AV185-AX185</f>
        <v>-342.857142857143</v>
      </c>
      <c r="AX185" s="120">
        <f>SUM(AX186:AX190)</f>
        <v>342.857142857143</v>
      </c>
      <c r="AY185" s="120">
        <f>VLOOKUP($C185,'1 预算编制表单'!$C:$BJ,54,FALSE)</f>
        <v>0</v>
      </c>
      <c r="AZ185" s="120">
        <f>AY185-BA185</f>
        <v>-354.285714285714</v>
      </c>
      <c r="BA185" s="120">
        <f>SUM(BA186:BA190)</f>
        <v>354.285714285714</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2800</v>
      </c>
      <c r="K186" s="124">
        <v>1</v>
      </c>
      <c r="L186" s="149" t="s">
        <v>2826</v>
      </c>
      <c r="M186" s="150" t="str">
        <f>IFERROR(VLOOKUP($L186,'2-2 引出数据_合同数据仓库'!$B$2:$BP$10000,3,FALSE),0)</f>
        <v>文天祥小学（岗厦）电梯维保服务合同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2025-03-01</v>
      </c>
      <c r="R186" s="124" t="str">
        <f>IFERROR(VLOOKUP($L186,'2-2 引出数据_合同数据仓库'!$B$2:$BP$10000,29,FALSE),0)</f>
        <v>2025-03-01</v>
      </c>
      <c r="S186" s="124" t="str">
        <f>IFERROR(VLOOKUP($L186,'2-2 引出数据_合同数据仓库'!$B$2:$BP$10000,4,FALSE),0)</f>
        <v>2025-10-31</v>
      </c>
      <c r="T186" s="124"/>
      <c r="U186" s="124">
        <f>IFERROR(VLOOKUP($L186,'2-2 引出数据_合同数据仓库'!$B$2:$BP$10000,15,FALSE),0)</f>
        <v>2800</v>
      </c>
      <c r="V186" s="124">
        <f t="shared" ref="V186:V189" si="2195">U186/(S186-R186+1)*365</f>
        <v>4171.42857142857</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354.285714285714</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342.857142857143</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354.285714285714</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342.857142857143</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354.285714285714</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354.285714285714</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342.857142857143</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354.285714285714</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2431</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-11184.7</v>
      </c>
      <c r="J203" s="116">
        <f t="shared" si="2339"/>
        <v>11184.7</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-823.11645021645</v>
      </c>
      <c r="AF203" s="116">
        <f>SUM(AF204:AF208)</f>
        <v>823.11645021645</v>
      </c>
      <c r="AG203" s="116">
        <f>VLOOKUP($C203,'1 预算编制表单'!$C:$BJ,36,FALSE)</f>
        <v>0</v>
      </c>
      <c r="AH203" s="116">
        <f>AG203-AI203</f>
        <v>-1452.55844155844</v>
      </c>
      <c r="AI203" s="116">
        <f>SUM(AI204:AI208)</f>
        <v>1452.55844155844</v>
      </c>
      <c r="AJ203" s="116">
        <f>VLOOKUP($C203,'1 预算编制表单'!$C:$BJ,39,FALSE)</f>
        <v>0</v>
      </c>
      <c r="AK203" s="116">
        <f>AJ203-AL203</f>
        <v>-1500.97705627706</v>
      </c>
      <c r="AL203" s="116">
        <f>SUM(AL204:AL208)</f>
        <v>1500.97705627706</v>
      </c>
      <c r="AM203" s="116">
        <f>VLOOKUP($C203,'1 预算编制表单'!$C:$BJ,42,FALSE)</f>
        <v>0</v>
      </c>
      <c r="AN203" s="116">
        <f>AM203-AO203</f>
        <v>-1452.55844155844</v>
      </c>
      <c r="AO203" s="116">
        <f>SUM(AO204:AO208)</f>
        <v>1452.55844155844</v>
      </c>
      <c r="AP203" s="116">
        <f>VLOOKUP($C203,'1 预算编制表单'!$C:$BJ,45,FALSE)</f>
        <v>0</v>
      </c>
      <c r="AQ203" s="116">
        <f>AP203-AR203</f>
        <v>-1500.97705627706</v>
      </c>
      <c r="AR203" s="116">
        <f>SUM(AR204:AR208)</f>
        <v>1500.97705627706</v>
      </c>
      <c r="AS203" s="116">
        <f>VLOOKUP($C203,'1 预算编制表单'!$C:$BJ,48,FALSE)</f>
        <v>0</v>
      </c>
      <c r="AT203" s="116">
        <f>AS203-AU203</f>
        <v>-1500.97705627706</v>
      </c>
      <c r="AU203" s="116">
        <f>SUM(AU204:AU208)</f>
        <v>1500.97705627706</v>
      </c>
      <c r="AV203" s="116">
        <f>VLOOKUP($C203,'1 预算编制表单'!$C:$BJ,51,FALSE)</f>
        <v>0</v>
      </c>
      <c r="AW203" s="116">
        <f>AV203-AX203</f>
        <v>-1452.55844155844</v>
      </c>
      <c r="AX203" s="116">
        <f>SUM(AX204:AX208)</f>
        <v>1452.55844155844</v>
      </c>
      <c r="AY203" s="116">
        <f>VLOOKUP($C203,'1 预算编制表单'!$C:$BJ,54,FALSE)</f>
        <v>0</v>
      </c>
      <c r="AZ203" s="116">
        <f>AY203-BA203</f>
        <v>-1500.97705627706</v>
      </c>
      <c r="BA203" s="116">
        <f>SUM(BA204:BA208)</f>
        <v>1500.97705627706</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11184.7</v>
      </c>
      <c r="K204" s="124">
        <v>1</v>
      </c>
      <c r="L204" s="149" t="s">
        <v>2827</v>
      </c>
      <c r="M204" s="150" t="str">
        <f>IFERROR(VLOOKUP($L204,'2-2 引出数据_合同数据仓库'!$B$2:$BP$10000,3,FALSE),0)</f>
        <v>深圳区域公司非住学校项目组文天祥小学（岗厦）消防维保合同</v>
      </c>
      <c r="N204" s="124"/>
      <c r="O204" s="150">
        <f>IFERROR(VLOOKUP((LEFT(VLOOKUP($L204,'2-2 引出数据_合同数据仓库'!$B$2:$BP$10000,64,FALSE),15)&amp;(RIGHT(VLOOKUP($L204,'2-2 引出数据_合同数据仓库'!$B$2:$BP$10000,64,FALSE),4)+1)),'2-2 引出数据_合同数据仓库'!$B$2:$BP$10000,3,FALSE),0)</f>
        <v>0</v>
      </c>
      <c r="P204" s="124"/>
      <c r="Q204" s="124" t="str">
        <f>IFERROR(VLOOKUP($L204,'2-2 引出数据_合同数据仓库'!$B$2:$BP$10000,28,FALSE),0)</f>
        <v>2025-03-15</v>
      </c>
      <c r="R204" s="124" t="str">
        <f>IFERROR(VLOOKUP($L204,'2-2 引出数据_合同数据仓库'!$B$2:$BP$10000,29,FALSE),0)</f>
        <v>2025-03-15</v>
      </c>
      <c r="S204" s="124" t="str">
        <f>IFERROR(VLOOKUP($L204,'2-2 引出数据_合同数据仓库'!$B$2:$BP$10000,4,FALSE),0)</f>
        <v>2025-10-31</v>
      </c>
      <c r="T204" s="124"/>
      <c r="U204" s="124">
        <f>IFERROR(VLOOKUP($L204,'2-2 引出数据_合同数据仓库'!$B$2:$BP$10000,15,FALSE),0)</f>
        <v>11184.7</v>
      </c>
      <c r="V204" s="124">
        <f t="shared" ref="V204:V207" si="2412">U204/(S204-R204+1)*365</f>
        <v>17672.7943722944</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823.11645021645</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1452.55844155844</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1500.97705627706</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1452.55844155844</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1500.97705627706</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1500.97705627706</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1452.55844155844</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1500.97705627706</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引出数据_合同数据仓库'!$B$2:$BP$10000,3,FALSE),0)</f>
        <v>0</v>
      </c>
      <c r="N273" s="124"/>
      <c r="O273" s="150">
        <f>IFERROR(VLOOKUP((LEFT(VLOOKUP($L273,'2-2 引出数据_合同数据仓库'!$B$2:$BP$10000,64,FALSE),15)&amp;(RIGHT(VLOOKUP($L273,'2-2 引出数据_合同数据仓库'!$B$2:$BP$10000,64,FALSE),4)+1)),'2-2 引出数据_合同数据仓库'!$B$2:$BP$10000,3,FALSE),0)</f>
        <v>0</v>
      </c>
      <c r="P273" s="124"/>
      <c r="Q273" s="124">
        <f>IFERROR(VLOOKUP($L273,'2-2 引出数据_合同数据仓库'!$B$2:$BP$10000,28,FALSE),0)</f>
        <v>0</v>
      </c>
      <c r="R273" s="124">
        <f>IFERROR(VLOOKUP($L273,'2-2 引出数据_合同数据仓库'!$B$2:$BP$10000,29,FALSE),0)</f>
        <v>0</v>
      </c>
      <c r="S273" s="124">
        <f>IFERROR(VLOOKUP($L273,'2-2 引出数据_合同数据仓库'!$B$2:$BP$10000,4,FALSE),0)</f>
        <v>0</v>
      </c>
      <c r="T273" s="124"/>
      <c r="U273" s="124">
        <f>IFERROR(VLOOKUP($L273,'2-2 引出数据_合同数据仓库'!$B$2:$BP$10000,15,FALSE),0)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22971.2401538743</v>
      </c>
      <c r="I339" s="116">
        <f>Y339+AB339+AE339+AH339+AK339+AN339+AQ339+AT339+AW339+AZ339+BC339+BF339</f>
        <v>22971.2401538743</v>
      </c>
      <c r="J339" s="116">
        <f t="shared" si="3853"/>
        <v>0</v>
      </c>
      <c r="K339" s="116"/>
      <c r="L339" s="147"/>
      <c r="M339" s="147"/>
      <c r="N339" s="116"/>
      <c r="O339" s="116"/>
      <c r="P339" s="116"/>
      <c r="Q339" s="116"/>
      <c r="R339" s="116"/>
      <c r="S339" s="116"/>
      <c r="T339" s="116"/>
      <c r="U339" s="116"/>
      <c r="V339" s="116"/>
      <c r="W339" s="116"/>
      <c r="X339" s="116">
        <f>VLOOKUP($C339,'1 预算编制表单'!$C:$BJ,27,FALSE)</f>
        <v>12291.6285033889</v>
      </c>
      <c r="Y339" s="116">
        <f>X339-Z339</f>
        <v>12291.6285033889</v>
      </c>
      <c r="Z339" s="116">
        <f>Z340+Z346+Z355+Z361+Z367+Z373+Z379+Z385+Z391</f>
        <v>0</v>
      </c>
      <c r="AA339" s="116">
        <f>VLOOKUP($C339,'1 预算编制表单'!$C:$BJ,30,FALSE)</f>
        <v>970.873786407767</v>
      </c>
      <c r="AB339" s="116">
        <f>AA339-AC339</f>
        <v>970.873786407767</v>
      </c>
      <c r="AC339" s="116">
        <f>AC340+AC346+AC355+AC361+AC367+AC373+AC379+AC385+AC391</f>
        <v>0</v>
      </c>
      <c r="AD339" s="116">
        <f>VLOOKUP($C339,'1 预算编制表单'!$C:$BJ,33,FALSE)</f>
        <v>970.873786407767</v>
      </c>
      <c r="AE339" s="116">
        <f>AD339-AF339</f>
        <v>970.873786407767</v>
      </c>
      <c r="AF339" s="116">
        <f>AF340+AF346+AF355+AF361+AF367+AF373+AF379+AF385+AF391</f>
        <v>0</v>
      </c>
      <c r="AG339" s="116">
        <f>VLOOKUP($C339,'1 预算编制表单'!$C:$BJ,36,FALSE)</f>
        <v>970.873786407767</v>
      </c>
      <c r="AH339" s="116">
        <f>AG339-AI339</f>
        <v>970.873786407767</v>
      </c>
      <c r="AI339" s="116">
        <f>AI340+AI346+AI355+AI361+AI367+AI373+AI379+AI385+AI391</f>
        <v>0</v>
      </c>
      <c r="AJ339" s="116">
        <f>VLOOKUP($C339,'1 预算编制表单'!$C:$BJ,39,FALSE)</f>
        <v>970.873786407767</v>
      </c>
      <c r="AK339" s="116">
        <f>AJ339-AL339</f>
        <v>970.873786407767</v>
      </c>
      <c r="AL339" s="116">
        <f>AL340+AL346+AL355+AL361+AL367+AL373+AL379+AL385+AL391</f>
        <v>0</v>
      </c>
      <c r="AM339" s="116">
        <f>VLOOKUP($C339,'1 预算编制表单'!$C:$BJ,42,FALSE)</f>
        <v>970.873786407767</v>
      </c>
      <c r="AN339" s="116">
        <f>AM339-AO339</f>
        <v>970.873786407767</v>
      </c>
      <c r="AO339" s="116">
        <f>AO340+AO346+AO355+AO361+AO367+AO373+AO379+AO385+AO391</f>
        <v>0</v>
      </c>
      <c r="AP339" s="116">
        <f>VLOOKUP($C339,'1 预算编制表单'!$C:$BJ,45,FALSE)</f>
        <v>970.873786407767</v>
      </c>
      <c r="AQ339" s="116">
        <f>AP339-AR339</f>
        <v>970.873786407767</v>
      </c>
      <c r="AR339" s="116">
        <f>AR340+AR346+AR355+AR361+AR367+AR373+AR379+AR385+AR391</f>
        <v>0</v>
      </c>
      <c r="AS339" s="116">
        <f>VLOOKUP($C339,'1 预算编制表单'!$C:$BJ,48,FALSE)</f>
        <v>970.873786407767</v>
      </c>
      <c r="AT339" s="116">
        <f>AS339-AU339</f>
        <v>970.873786407767</v>
      </c>
      <c r="AU339" s="116">
        <f>AU340+AU346+AU355+AU361+AU367+AU373+AU379+AU385+AU391</f>
        <v>0</v>
      </c>
      <c r="AV339" s="116">
        <f>VLOOKUP($C339,'1 预算编制表单'!$C:$BJ,51,FALSE)</f>
        <v>970.873786407767</v>
      </c>
      <c r="AW339" s="116">
        <f>AV339-AX339</f>
        <v>970.873786407767</v>
      </c>
      <c r="AX339" s="116">
        <f>AX340+AX346+AX355+AX361+AX367+AX373+AX379+AX385+AX391</f>
        <v>0</v>
      </c>
      <c r="AY339" s="116">
        <f>VLOOKUP($C339,'1 预算编制表单'!$C:$BJ,54,FALSE)</f>
        <v>970.873786407767</v>
      </c>
      <c r="AZ339" s="116">
        <f>AY339-BA339</f>
        <v>970.873786407767</v>
      </c>
      <c r="BA339" s="116">
        <f>BA340+BA346+BA355+BA361+BA367+BA373+BA379+BA385+BA391</f>
        <v>0</v>
      </c>
      <c r="BB339" s="116">
        <f>VLOOKUP($C339,'1 预算编制表单'!$C:$BJ,57,FALSE)</f>
        <v>970.873786407767</v>
      </c>
      <c r="BC339" s="116">
        <f>BB339-BD339</f>
        <v>970.873786407767</v>
      </c>
      <c r="BD339" s="116">
        <f>BD340+BD346+BD355+BD361+BD367+BD373+BD379+BD385+BD391</f>
        <v>0</v>
      </c>
      <c r="BE339" s="116">
        <f>VLOOKUP($C339,'1 预算编制表单'!$C:$BJ,60,FALSE)</f>
        <v>970.873786407767</v>
      </c>
      <c r="BF339" s="116">
        <f>BE339-BG339</f>
        <v>970.873786407767</v>
      </c>
      <c r="BG339" s="116">
        <f>BG340+BG346+BG355+BG361+BG367+BG373+BG379+BG385+BG391</f>
        <v>0</v>
      </c>
      <c r="BH339" s="116">
        <f>VLOOKUP($C339,'1 预算编制表单'!$C:$BJ,27,FALSE)</f>
        <v>12291.6285033889</v>
      </c>
      <c r="BI339" s="116">
        <f>BH339-BJ339</f>
        <v>12291.6285033889</v>
      </c>
      <c r="BJ339" s="116">
        <f>BJ340+BJ346+BJ355+BJ361+BJ367+BJ373+BJ379+BJ385+BJ391</f>
        <v>0</v>
      </c>
      <c r="BK339" s="116">
        <f>VLOOKUP($C339,'1 预算编制表单'!$C:$BJ,30,FALSE)</f>
        <v>970.873786407767</v>
      </c>
      <c r="BL339" s="116">
        <f>BK339-BM339</f>
        <v>970.873786407767</v>
      </c>
      <c r="BM339" s="116">
        <f>BM340+BM346+BM355+BM361+BM367+BM373+BM379+BM385+BM391</f>
        <v>0</v>
      </c>
      <c r="BN339" s="116">
        <f>VLOOKUP($C339,'1 预算编制表单'!$C:$BJ,33,FALSE)</f>
        <v>970.873786407767</v>
      </c>
      <c r="BO339" s="116">
        <f>BN339-BP339</f>
        <v>970.873786407767</v>
      </c>
      <c r="BP339" s="116">
        <f>BP340+BP346+BP355+BP361+BP367+BP373+BP379+BP385+BP391</f>
        <v>0</v>
      </c>
      <c r="BQ339" s="116">
        <f>VLOOKUP($C339,'1 预算编制表单'!$C:$BJ,36,FALSE)</f>
        <v>970.873786407767</v>
      </c>
      <c r="BR339" s="116">
        <f>BQ339-BS339</f>
        <v>970.873786407767</v>
      </c>
      <c r="BS339" s="116">
        <f>BS340+BS346+BS355+BS361+BS367+BS373+BS379+BS385+BS391</f>
        <v>0</v>
      </c>
      <c r="BT339" s="116">
        <f>VLOOKUP($C339,'1 预算编制表单'!$C:$BJ,39,FALSE)</f>
        <v>970.873786407767</v>
      </c>
      <c r="BU339" s="116">
        <f>BT339-BV339</f>
        <v>970.873786407767</v>
      </c>
      <c r="BV339" s="116">
        <f>BV340+BV346+BV355+BV361+BV367+BV373+BV379+BV385+BV391</f>
        <v>0</v>
      </c>
      <c r="BW339" s="116">
        <f>VLOOKUP($C339,'1 预算编制表单'!$C:$BJ,42,FALSE)</f>
        <v>970.873786407767</v>
      </c>
      <c r="BX339" s="116">
        <f>BW339-BY339</f>
        <v>970.873786407767</v>
      </c>
      <c r="BY339" s="116">
        <f>BY340+BY346+BY355+BY361+BY367+BY373+BY379+BY385+BY391</f>
        <v>0</v>
      </c>
      <c r="BZ339" s="116">
        <f>VLOOKUP($C339,'1 预算编制表单'!$C:$BJ,45,FALSE)</f>
        <v>970.873786407767</v>
      </c>
      <c r="CA339" s="116">
        <f>BZ339-CB339</f>
        <v>970.873786407767</v>
      </c>
      <c r="CB339" s="116">
        <f>CB340+CB346+CB355+CB361+CB367+CB373+CB379+CB385+CB391</f>
        <v>0</v>
      </c>
      <c r="CC339" s="116">
        <f>VLOOKUP($C339,'1 预算编制表单'!$C:$BJ,48,FALSE)</f>
        <v>970.873786407767</v>
      </c>
      <c r="CD339" s="116">
        <f>CC339-CE339</f>
        <v>970.873786407767</v>
      </c>
      <c r="CE339" s="116">
        <f>CE340+CE346+CE355+CE361+CE367+CE373+CE379+CE385+CE391</f>
        <v>0</v>
      </c>
      <c r="CF339" s="116">
        <f>VLOOKUP($C339,'1 预算编制表单'!$C:$BJ,51,FALSE)</f>
        <v>970.873786407767</v>
      </c>
      <c r="CG339" s="116">
        <f>CF339-CH339</f>
        <v>970.873786407767</v>
      </c>
      <c r="CH339" s="116">
        <f>CH340+CH346+CH355+CH361+CH367+CH373+CH379+CH385+CH391</f>
        <v>0</v>
      </c>
      <c r="CI339" s="116">
        <f>VLOOKUP($C339,'1 预算编制表单'!$C:$BJ,54,FALSE)</f>
        <v>970.873786407767</v>
      </c>
      <c r="CJ339" s="116">
        <f>CI339-CK339</f>
        <v>970.873786407767</v>
      </c>
      <c r="CK339" s="116">
        <f>CK340+CK346+CK355+CK361+CK367+CK373+CK379+CK385+CK391</f>
        <v>0</v>
      </c>
      <c r="CL339" s="116">
        <f>VLOOKUP($C339,'1 预算编制表单'!$C:$BJ,57,FALSE)</f>
        <v>970.873786407767</v>
      </c>
      <c r="CM339" s="116">
        <f>CL339-CN339</f>
        <v>970.873786407767</v>
      </c>
      <c r="CN339" s="116">
        <f>CN340+CN346+CN355+CN361+CN367+CN373+CN379+CN385+CN391</f>
        <v>0</v>
      </c>
      <c r="CO339" s="116">
        <f>VLOOKUP($C339,'1 预算编制表单'!$C:$BJ,60,FALSE)</f>
        <v>970.873786407767</v>
      </c>
      <c r="CP339" s="116">
        <f>CO339-CQ339</f>
        <v>970.873786407767</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11650.4854368932</v>
      </c>
      <c r="I340" s="120">
        <f>Y340+AB340+AE340+AH340+AK340+AN340+AQ340+AT340+AW340+AZ340+BC340+BF340</f>
        <v>11650.4854368932</v>
      </c>
      <c r="J340" s="120">
        <f t="shared" si="3853"/>
        <v>0</v>
      </c>
      <c r="K340" s="120"/>
      <c r="L340" s="148"/>
      <c r="M340" s="148"/>
      <c r="N340" s="120"/>
      <c r="O340" s="120"/>
      <c r="P340" s="120"/>
      <c r="Q340" s="120"/>
      <c r="R340" s="120"/>
      <c r="S340" s="120"/>
      <c r="T340" s="120"/>
      <c r="U340" s="120"/>
      <c r="V340" s="120"/>
      <c r="W340" s="120"/>
      <c r="X340" s="120">
        <f>VLOOKUP($C340,'1 预算编制表单'!$C:$BJ,27,FALSE)</f>
        <v>970.873786407767</v>
      </c>
      <c r="Y340" s="120">
        <f>X340-Z340</f>
        <v>970.873786407767</v>
      </c>
      <c r="Z340" s="120">
        <f>SUM(Z341:Z345)</f>
        <v>0</v>
      </c>
      <c r="AA340" s="120">
        <f>VLOOKUP($C340,'1 预算编制表单'!$C:$BJ,30,FALSE)</f>
        <v>970.873786407767</v>
      </c>
      <c r="AB340" s="120">
        <f>AA340-AC340</f>
        <v>970.873786407767</v>
      </c>
      <c r="AC340" s="120">
        <f>SUM(AC341:AC345)</f>
        <v>0</v>
      </c>
      <c r="AD340" s="120">
        <f>VLOOKUP($C340,'1 预算编制表单'!$C:$BJ,33,FALSE)</f>
        <v>970.873786407767</v>
      </c>
      <c r="AE340" s="120">
        <f>AD340-AF340</f>
        <v>970.873786407767</v>
      </c>
      <c r="AF340" s="120">
        <f>SUM(AF341:AF345)</f>
        <v>0</v>
      </c>
      <c r="AG340" s="120">
        <f>VLOOKUP($C340,'1 预算编制表单'!$C:$BJ,36,FALSE)</f>
        <v>970.873786407767</v>
      </c>
      <c r="AH340" s="120">
        <f>AG340-AI340</f>
        <v>970.873786407767</v>
      </c>
      <c r="AI340" s="120">
        <f>SUM(AI341:AI345)</f>
        <v>0</v>
      </c>
      <c r="AJ340" s="120">
        <f>VLOOKUP($C340,'1 预算编制表单'!$C:$BJ,39,FALSE)</f>
        <v>970.873786407767</v>
      </c>
      <c r="AK340" s="120">
        <f>AJ340-AL340</f>
        <v>970.873786407767</v>
      </c>
      <c r="AL340" s="120">
        <f>SUM(AL341:AL345)</f>
        <v>0</v>
      </c>
      <c r="AM340" s="120">
        <f>VLOOKUP($C340,'1 预算编制表单'!$C:$BJ,42,FALSE)</f>
        <v>970.873786407767</v>
      </c>
      <c r="AN340" s="120">
        <f>AM340-AO340</f>
        <v>970.873786407767</v>
      </c>
      <c r="AO340" s="120">
        <f>SUM(AO341:AO345)</f>
        <v>0</v>
      </c>
      <c r="AP340" s="120">
        <f>VLOOKUP($C340,'1 预算编制表单'!$C:$BJ,45,FALSE)</f>
        <v>970.873786407767</v>
      </c>
      <c r="AQ340" s="120">
        <f>AP340-AR340</f>
        <v>970.873786407767</v>
      </c>
      <c r="AR340" s="120">
        <f>SUM(AR341:AR345)</f>
        <v>0</v>
      </c>
      <c r="AS340" s="120">
        <f>VLOOKUP($C340,'1 预算编制表单'!$C:$BJ,48,FALSE)</f>
        <v>970.873786407767</v>
      </c>
      <c r="AT340" s="120">
        <f>AS340-AU340</f>
        <v>970.873786407767</v>
      </c>
      <c r="AU340" s="120">
        <f>SUM(AU341:AU345)</f>
        <v>0</v>
      </c>
      <c r="AV340" s="120">
        <f>VLOOKUP($C340,'1 预算编制表单'!$C:$BJ,51,FALSE)</f>
        <v>970.873786407767</v>
      </c>
      <c r="AW340" s="120">
        <f>AV340-AX340</f>
        <v>970.873786407767</v>
      </c>
      <c r="AX340" s="120">
        <f>SUM(AX341:AX345)</f>
        <v>0</v>
      </c>
      <c r="AY340" s="120">
        <f>VLOOKUP($C340,'1 预算编制表单'!$C:$BJ,54,FALSE)</f>
        <v>970.873786407767</v>
      </c>
      <c r="AZ340" s="120">
        <f>AY340-BA340</f>
        <v>970.873786407767</v>
      </c>
      <c r="BA340" s="120">
        <f>SUM(BA341:BA345)</f>
        <v>0</v>
      </c>
      <c r="BB340" s="120">
        <f>VLOOKUP($C340,'1 预算编制表单'!$C:$BJ,57,FALSE)</f>
        <v>970.873786407767</v>
      </c>
      <c r="BC340" s="120">
        <f>BB340-BD340</f>
        <v>970.873786407767</v>
      </c>
      <c r="BD340" s="120">
        <f>SUM(BD341:BD345)</f>
        <v>0</v>
      </c>
      <c r="BE340" s="120">
        <f>VLOOKUP($C340,'1 预算编制表单'!$C:$BJ,60,FALSE)</f>
        <v>970.873786407767</v>
      </c>
      <c r="BF340" s="120">
        <f>BE340-BG340</f>
        <v>970.873786407767</v>
      </c>
      <c r="BG340" s="120">
        <f>SUM(BG341:BG345)</f>
        <v>0</v>
      </c>
      <c r="BH340" s="120">
        <f>VLOOKUP($C340,'1 预算编制表单'!$C:$BJ,27,FALSE)</f>
        <v>970.873786407767</v>
      </c>
      <c r="BI340" s="120">
        <f>BH340-BJ340</f>
        <v>970.873786407767</v>
      </c>
      <c r="BJ340" s="120">
        <f>SUM(BJ341:BJ345)</f>
        <v>0</v>
      </c>
      <c r="BK340" s="120">
        <f>VLOOKUP($C340,'1 预算编制表单'!$C:$BJ,30,FALSE)</f>
        <v>970.873786407767</v>
      </c>
      <c r="BL340" s="120">
        <f>BK340-BM340</f>
        <v>970.873786407767</v>
      </c>
      <c r="BM340" s="120">
        <f>SUM(BM341:BM345)</f>
        <v>0</v>
      </c>
      <c r="BN340" s="120">
        <f>VLOOKUP($C340,'1 预算编制表单'!$C:$BJ,33,FALSE)</f>
        <v>970.873786407767</v>
      </c>
      <c r="BO340" s="120">
        <f>BN340-BP340</f>
        <v>970.873786407767</v>
      </c>
      <c r="BP340" s="120">
        <f>SUM(BP341:BP345)</f>
        <v>0</v>
      </c>
      <c r="BQ340" s="120">
        <f>VLOOKUP($C340,'1 预算编制表单'!$C:$BJ,36,FALSE)</f>
        <v>970.873786407767</v>
      </c>
      <c r="BR340" s="120">
        <f>BQ340-BS340</f>
        <v>970.873786407767</v>
      </c>
      <c r="BS340" s="120">
        <f>SUM(BS341:BS345)</f>
        <v>0</v>
      </c>
      <c r="BT340" s="120">
        <f>VLOOKUP($C340,'1 预算编制表单'!$C:$BJ,39,FALSE)</f>
        <v>970.873786407767</v>
      </c>
      <c r="BU340" s="120">
        <f>BT340-BV340</f>
        <v>970.873786407767</v>
      </c>
      <c r="BV340" s="120">
        <f>SUM(BV341:BV345)</f>
        <v>0</v>
      </c>
      <c r="BW340" s="120">
        <f>VLOOKUP($C340,'1 预算编制表单'!$C:$BJ,42,FALSE)</f>
        <v>970.873786407767</v>
      </c>
      <c r="BX340" s="120">
        <f>BW340-BY340</f>
        <v>970.873786407767</v>
      </c>
      <c r="BY340" s="120">
        <f>SUM(BY341:BY345)</f>
        <v>0</v>
      </c>
      <c r="BZ340" s="120">
        <f>VLOOKUP($C340,'1 预算编制表单'!$C:$BJ,45,FALSE)</f>
        <v>970.873786407767</v>
      </c>
      <c r="CA340" s="120">
        <f>BZ340-CB340</f>
        <v>970.873786407767</v>
      </c>
      <c r="CB340" s="120">
        <f>SUM(CB341:CB345)</f>
        <v>0</v>
      </c>
      <c r="CC340" s="120">
        <f>VLOOKUP($C340,'1 预算编制表单'!$C:$BJ,48,FALSE)</f>
        <v>970.873786407767</v>
      </c>
      <c r="CD340" s="120">
        <f>CC340-CE340</f>
        <v>970.873786407767</v>
      </c>
      <c r="CE340" s="120">
        <f>SUM(CE341:CE345)</f>
        <v>0</v>
      </c>
      <c r="CF340" s="120">
        <f>VLOOKUP($C340,'1 预算编制表单'!$C:$BJ,51,FALSE)</f>
        <v>970.873786407767</v>
      </c>
      <c r="CG340" s="120">
        <f>CF340-CH340</f>
        <v>970.873786407767</v>
      </c>
      <c r="CH340" s="120">
        <f>SUM(CH341:CH345)</f>
        <v>0</v>
      </c>
      <c r="CI340" s="120">
        <f>VLOOKUP($C340,'1 预算编制表单'!$C:$BJ,54,FALSE)</f>
        <v>970.873786407767</v>
      </c>
      <c r="CJ340" s="120">
        <f>CI340-CK340</f>
        <v>970.873786407767</v>
      </c>
      <c r="CK340" s="120">
        <f>SUM(CK341:CK345)</f>
        <v>0</v>
      </c>
      <c r="CL340" s="120">
        <f>VLOOKUP($C340,'1 预算编制表单'!$C:$BJ,57,FALSE)</f>
        <v>970.873786407767</v>
      </c>
      <c r="CM340" s="120">
        <f>CL340-CN340</f>
        <v>970.873786407767</v>
      </c>
      <c r="CN340" s="120">
        <f>SUM(CN341:CN345)</f>
        <v>0</v>
      </c>
      <c r="CO340" s="120">
        <f>VLOOKUP($C340,'1 预算编制表单'!$C:$BJ,60,FALSE)</f>
        <v>970.873786407767</v>
      </c>
      <c r="CP340" s="120">
        <f>CO340-CQ340</f>
        <v>970.873786407767</v>
      </c>
      <c r="CQ340" s="120">
        <f>SUM(CQ341:CQ345)</f>
        <v>0</v>
      </c>
    </row>
    <row r="341" s="82" customFormat="1" ht="24" customHeight="1" outlineLevel="4" spans="1:95">
      <c r="A341" s="121"/>
      <c r="B341" s="122"/>
      <c r="C341" s="123"/>
      <c r="D341" s="121"/>
      <c r="E341" s="122"/>
      <c r="F341" s="122"/>
      <c r="G341" s="122"/>
      <c r="H341" s="124"/>
      <c r="I341" s="124"/>
      <c r="J341" s="124">
        <f t="shared" si="3853"/>
        <v>0</v>
      </c>
      <c r="K341" s="124">
        <v>1</v>
      </c>
      <c r="L341" s="149"/>
      <c r="M341" s="150">
        <f>IFERROR(VLOOKUP($L341,'2-2 引出数据_合同数据仓库'!$B$2:$BP$10000,3,FALSE),0)</f>
        <v>0</v>
      </c>
      <c r="N341" s="124"/>
      <c r="O341" s="150">
        <f>IFERROR(VLOOKUP((LEFT(VLOOKUP($L341,'2-2 引出数据_合同数据仓库'!$B$2:$BP$10000,64,FALSE),15)&amp;(RIGHT(VLOOKUP($L341,'2-2 引出数据_合同数据仓库'!$B$2:$BP$10000,64,FALSE),4)+1)),'2-2 引出数据_合同数据仓库'!$B$2:$BP$10000,3,FALSE),0)</f>
        <v>0</v>
      </c>
      <c r="P341" s="124"/>
      <c r="Q341" s="124">
        <f>IFERROR(VLOOKUP($L341,'2-2 引出数据_合同数据仓库'!$B$2:$BP$10000,28,FALSE),0)</f>
        <v>0</v>
      </c>
      <c r="R341" s="124">
        <f>IFERROR(VLOOKUP($L341,'2-2 引出数据_合同数据仓库'!$B$2:$BP$10000,29,FALSE),0)</f>
        <v>0</v>
      </c>
      <c r="S341" s="124">
        <f>IFERROR(VLOOKUP($L341,'2-2 引出数据_合同数据仓库'!$B$2:$BP$10000,4,FALSE),0)</f>
        <v>0</v>
      </c>
      <c r="T341" s="124"/>
      <c r="U341" s="124">
        <f>IFERROR(VLOOKUP($L341,'2-2 引出数据_合同数据仓库'!$B$2:$BP$10000,15,FALSE),0)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11320.7547169811</v>
      </c>
      <c r="I346" s="120">
        <f>Y346+AB346+AE346+AH346+AK346+AN346+AQ346+AT346+AW346+AZ346+BC346+BF346</f>
        <v>11320.7547169811</v>
      </c>
      <c r="J346" s="120">
        <f t="shared" si="3853"/>
        <v>0</v>
      </c>
      <c r="K346" s="120"/>
      <c r="L346" s="148"/>
      <c r="M346" s="148"/>
      <c r="N346" s="120"/>
      <c r="O346" s="120"/>
      <c r="P346" s="120"/>
      <c r="Q346" s="120"/>
      <c r="R346" s="120"/>
      <c r="S346" s="120"/>
      <c r="T346" s="120"/>
      <c r="U346" s="120"/>
      <c r="V346" s="120"/>
      <c r="W346" s="120"/>
      <c r="X346" s="120">
        <f>VLOOKUP($C346,'1 预算编制表单'!$C:$BJ,27,FALSE)</f>
        <v>11320.7547169811</v>
      </c>
      <c r="Y346" s="120">
        <f>X346-Z346</f>
        <v>11320.7547169811</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11320.7547169811</v>
      </c>
      <c r="BI346" s="120">
        <f>BH346-BJ346</f>
        <v>11320.7547169811</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2828</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引出数据_合同数据仓库'!$B$2:$BP$10000,3,FALSE),0)</f>
        <v>0</v>
      </c>
      <c r="N348" s="124"/>
      <c r="O348" s="150">
        <f>IFERROR(VLOOKUP((LEFT(VLOOKUP($L348,'2-2 引出数据_合同数据仓库'!$B$2:$BP$10000,64,FALSE),15)&amp;(RIGHT(VLOOKUP($L348,'2-2 引出数据_合同数据仓库'!$B$2:$BP$10000,64,FALSE),4)+1)),'2-2 引出数据_合同数据仓库'!$B$2:$BP$10000,3,FALSE),0)</f>
        <v>0</v>
      </c>
      <c r="P348" s="124"/>
      <c r="Q348" s="124">
        <f>IFERROR(VLOOKUP($L348,'2-2 引出数据_合同数据仓库'!$B$2:$BP$10000,28,FALSE),0)</f>
        <v>0</v>
      </c>
      <c r="R348" s="124">
        <f>IFERROR(VLOOKUP($L348,'2-2 引出数据_合同数据仓库'!$B$2:$BP$10000,29,FALSE),0)</f>
        <v>0</v>
      </c>
      <c r="S348" s="124">
        <f>IFERROR(VLOOKUP($L348,'2-2 引出数据_合同数据仓库'!$B$2:$BP$10000,4,FALSE),0)</f>
        <v>0</v>
      </c>
      <c r="T348" s="124"/>
      <c r="U348" s="124">
        <f>IFERROR(VLOOKUP($L348,'2-2 引出数据_合同数据仓库'!$B$2:$BP$10000,15,FALSE),0)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2829</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2830</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2831</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2832</v>
      </c>
      <c r="D411" s="121" t="s">
        <v>2833</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2834</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2835</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2836</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2837</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2838</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2839</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2840</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1200</v>
      </c>
      <c r="I508" s="166">
        <f t="shared" ref="I508:I537" si="5980">Y508+AB508+AE508+AH508+AK508+AN508+AQ508+AT508+AW508+AZ508+BC508+BF508</f>
        <v>1200</v>
      </c>
      <c r="J508" s="166">
        <f t="shared" si="5367"/>
        <v>0</v>
      </c>
      <c r="K508" s="166"/>
      <c r="L508" s="167"/>
      <c r="M508" s="167"/>
      <c r="N508" s="166"/>
      <c r="O508" s="167"/>
      <c r="P508" s="166"/>
      <c r="Q508" s="166"/>
      <c r="R508" s="166"/>
      <c r="S508" s="166"/>
      <c r="T508" s="166"/>
      <c r="U508" s="166"/>
      <c r="V508" s="166"/>
      <c r="W508" s="166"/>
      <c r="X508" s="166">
        <f>VLOOKUP($C508,'1 预算编制表单'!$C:$BJ,27,FALSE)</f>
        <v>1200</v>
      </c>
      <c r="Y508" s="166">
        <f>Y509+Y516+Y520+Y524+Y527+Y531</f>
        <v>1200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1200</v>
      </c>
      <c r="BI508" s="166">
        <f>BI509+BI516+BI520+BI524+BI527+BI531</f>
        <v>1200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1200</v>
      </c>
      <c r="I509" s="113">
        <f t="shared" si="5980"/>
        <v>1200</v>
      </c>
      <c r="J509" s="113">
        <f t="shared" si="5367"/>
        <v>0</v>
      </c>
      <c r="K509" s="113"/>
      <c r="L509" s="146"/>
      <c r="M509" s="146"/>
      <c r="N509" s="113"/>
      <c r="O509" s="146"/>
      <c r="P509" s="113"/>
      <c r="Q509" s="113"/>
      <c r="R509" s="113"/>
      <c r="S509" s="113"/>
      <c r="T509" s="113"/>
      <c r="U509" s="113"/>
      <c r="V509" s="113"/>
      <c r="W509" s="113"/>
      <c r="X509" s="113">
        <f>VLOOKUP($C509,'1 预算编制表单'!$C:$BJ,27,FALSE)</f>
        <v>1200</v>
      </c>
      <c r="Y509" s="113">
        <f t="shared" ref="Y509:Y513" si="5981">X509-Z509</f>
        <v>1200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1200</v>
      </c>
      <c r="BI509" s="113">
        <f t="shared" ref="BI509:BI535" si="5993">BH509-BJ509</f>
        <v>1200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1200</v>
      </c>
      <c r="I510" s="116">
        <f t="shared" si="5980"/>
        <v>1200</v>
      </c>
      <c r="J510" s="116">
        <f t="shared" si="5367"/>
        <v>0</v>
      </c>
      <c r="K510" s="116"/>
      <c r="L510" s="147"/>
      <c r="M510" s="147"/>
      <c r="N510" s="116"/>
      <c r="O510" s="147"/>
      <c r="P510" s="116"/>
      <c r="Q510" s="116"/>
      <c r="R510" s="116"/>
      <c r="S510" s="116"/>
      <c r="T510" s="116"/>
      <c r="U510" s="116"/>
      <c r="V510" s="116"/>
      <c r="W510" s="116"/>
      <c r="X510" s="116">
        <f>VLOOKUP($C510,'1 预算编制表单'!$C:$BJ,27,FALSE)</f>
        <v>1200</v>
      </c>
      <c r="Y510" s="116">
        <f t="shared" si="5981"/>
        <v>1200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1200</v>
      </c>
      <c r="BI510" s="116">
        <f t="shared" si="5993"/>
        <v>1200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2841</v>
      </c>
      <c r="E513" s="114"/>
      <c r="F513" s="114"/>
      <c r="G513" s="114" t="s">
        <v>943</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2842</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4000</v>
      </c>
      <c r="I536" s="166">
        <f t="shared" si="5980"/>
        <v>4000</v>
      </c>
      <c r="J536" s="166">
        <f t="shared" si="6007"/>
        <v>0</v>
      </c>
      <c r="K536" s="166"/>
      <c r="L536" s="167"/>
      <c r="M536" s="167"/>
      <c r="N536" s="166"/>
      <c r="O536" s="167"/>
      <c r="P536" s="166"/>
      <c r="Q536" s="166"/>
      <c r="R536" s="166"/>
      <c r="S536" s="166"/>
      <c r="T536" s="166"/>
      <c r="U536" s="166"/>
      <c r="V536" s="166"/>
      <c r="W536" s="166"/>
      <c r="X536" s="166">
        <f>VLOOKUP($C536,'1 预算编制表单'!$C:$BJ,27,FALSE)</f>
        <v>4000</v>
      </c>
      <c r="Y536" s="166">
        <f t="shared" ref="Y536:BG536" si="6010">Y537+Y543+Y549+Y555+Y561+Y567+Y573+Y579+Y585+Y591</f>
        <v>4000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4000</v>
      </c>
      <c r="BI536" s="166">
        <f t="shared" ref="BI536:BM536" si="6011">BI537+BI543+BI549+BI555+BI561+BI567+BI573+BI579+BI585+BI591</f>
        <v>4000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9"/>
      <c r="B537" s="111" t="s">
        <v>799</v>
      </c>
      <c r="C537" s="112" t="s">
        <v>2161</v>
      </c>
      <c r="D537" s="29" t="s">
        <v>2162</v>
      </c>
      <c r="E537" s="111"/>
      <c r="F537" s="111"/>
      <c r="G537" s="111"/>
      <c r="H537" s="113">
        <f t="shared" si="5979"/>
        <v>4000</v>
      </c>
      <c r="I537" s="113">
        <f t="shared" si="5980"/>
        <v>4000</v>
      </c>
      <c r="J537" s="113">
        <f t="shared" si="6007"/>
        <v>0</v>
      </c>
      <c r="K537" s="113"/>
      <c r="L537" s="146"/>
      <c r="M537" s="146"/>
      <c r="N537" s="113"/>
      <c r="O537" s="146"/>
      <c r="P537" s="113"/>
      <c r="Q537" s="113"/>
      <c r="R537" s="113"/>
      <c r="S537" s="113"/>
      <c r="T537" s="113"/>
      <c r="U537" s="113"/>
      <c r="V537" s="113"/>
      <c r="W537" s="113"/>
      <c r="X537" s="113">
        <f>VLOOKUP($C537,'1 预算编制表单'!$C:$BJ,27,FALSE)</f>
        <v>4000</v>
      </c>
      <c r="Y537" s="113">
        <f>X537-Z537</f>
        <v>4000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4000</v>
      </c>
      <c r="BI537" s="113">
        <f>BH537-BJ537</f>
        <v>4000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2000</v>
      </c>
      <c r="I603" s="166">
        <f t="shared" si="6667"/>
        <v>2000</v>
      </c>
      <c r="J603" s="166">
        <f t="shared" si="6664"/>
        <v>0</v>
      </c>
      <c r="K603" s="166"/>
      <c r="L603" s="167"/>
      <c r="M603" s="167"/>
      <c r="N603" s="166"/>
      <c r="O603" s="167"/>
      <c r="P603" s="166"/>
      <c r="Q603" s="166"/>
      <c r="R603" s="166"/>
      <c r="S603" s="166"/>
      <c r="T603" s="166"/>
      <c r="U603" s="166"/>
      <c r="V603" s="166"/>
      <c r="W603" s="166"/>
      <c r="X603" s="166">
        <f>VLOOKUP($C603,'1 预算编制表单'!$C:$BJ,27,FALSE)</f>
        <v>166.666666666667</v>
      </c>
      <c r="Y603" s="166">
        <f t="shared" ref="Y603:BG603" si="6771">Y604+Y605+Y608+Y609+Y611+Y612+Y613+Y614+Y615</f>
        <v>166.666666666667</v>
      </c>
      <c r="Z603" s="166">
        <f t="shared" si="6771"/>
        <v>0</v>
      </c>
      <c r="AA603" s="166">
        <f>VLOOKUP($C603,'1 预算编制表单'!$C:$BJ,30,FALSE)</f>
        <v>166.666666666667</v>
      </c>
      <c r="AB603" s="166">
        <f t="shared" si="6771"/>
        <v>166.666666666667</v>
      </c>
      <c r="AC603" s="166">
        <f t="shared" si="6771"/>
        <v>0</v>
      </c>
      <c r="AD603" s="166">
        <f>VLOOKUP($C603,'1 预算编制表单'!$C:$BJ,33,FALSE)</f>
        <v>166.666666666667</v>
      </c>
      <c r="AE603" s="166">
        <f t="shared" si="6771"/>
        <v>166.666666666667</v>
      </c>
      <c r="AF603" s="166">
        <f t="shared" si="6771"/>
        <v>0</v>
      </c>
      <c r="AG603" s="166">
        <f>VLOOKUP($C603,'1 预算编制表单'!$C:$BJ,36,FALSE)</f>
        <v>166.666666666667</v>
      </c>
      <c r="AH603" s="166">
        <f t="shared" si="6771"/>
        <v>166.666666666667</v>
      </c>
      <c r="AI603" s="166">
        <f t="shared" si="6771"/>
        <v>0</v>
      </c>
      <c r="AJ603" s="166">
        <f>VLOOKUP($C603,'1 预算编制表单'!$C:$BJ,39,FALSE)</f>
        <v>166.666666666667</v>
      </c>
      <c r="AK603" s="166">
        <f t="shared" si="6771"/>
        <v>166.666666666667</v>
      </c>
      <c r="AL603" s="166">
        <f t="shared" si="6771"/>
        <v>0</v>
      </c>
      <c r="AM603" s="166">
        <f>VLOOKUP($C603,'1 预算编制表单'!$C:$BJ,42,FALSE)</f>
        <v>166.666666666667</v>
      </c>
      <c r="AN603" s="166">
        <f t="shared" si="6771"/>
        <v>166.666666666667</v>
      </c>
      <c r="AO603" s="166">
        <f t="shared" si="6771"/>
        <v>0</v>
      </c>
      <c r="AP603" s="166">
        <f>VLOOKUP($C603,'1 预算编制表单'!$C:$BJ,45,FALSE)</f>
        <v>166.666666666667</v>
      </c>
      <c r="AQ603" s="166">
        <f t="shared" si="6771"/>
        <v>166.666666666667</v>
      </c>
      <c r="AR603" s="166">
        <f t="shared" si="6771"/>
        <v>0</v>
      </c>
      <c r="AS603" s="166">
        <f>VLOOKUP($C603,'1 预算编制表单'!$C:$BJ,48,FALSE)</f>
        <v>166.666666666667</v>
      </c>
      <c r="AT603" s="166">
        <f t="shared" si="6771"/>
        <v>166.666666666667</v>
      </c>
      <c r="AU603" s="166">
        <f t="shared" si="6771"/>
        <v>0</v>
      </c>
      <c r="AV603" s="166">
        <f>VLOOKUP($C603,'1 预算编制表单'!$C:$BJ,51,FALSE)</f>
        <v>166.666666666667</v>
      </c>
      <c r="AW603" s="166">
        <f t="shared" si="6771"/>
        <v>166.666666666667</v>
      </c>
      <c r="AX603" s="166">
        <f t="shared" si="6771"/>
        <v>0</v>
      </c>
      <c r="AY603" s="166">
        <f>VLOOKUP($C603,'1 预算编制表单'!$C:$BJ,54,FALSE)</f>
        <v>166.666666666667</v>
      </c>
      <c r="AZ603" s="166">
        <f t="shared" si="6771"/>
        <v>166.666666666667</v>
      </c>
      <c r="BA603" s="166">
        <f t="shared" si="6771"/>
        <v>0</v>
      </c>
      <c r="BB603" s="166">
        <f>VLOOKUP($C603,'1 预算编制表单'!$C:$BJ,57,FALSE)</f>
        <v>166.666666666667</v>
      </c>
      <c r="BC603" s="166">
        <f t="shared" si="6771"/>
        <v>166.666666666667</v>
      </c>
      <c r="BD603" s="166">
        <f t="shared" si="6771"/>
        <v>0</v>
      </c>
      <c r="BE603" s="166">
        <f>VLOOKUP($C603,'1 预算编制表单'!$C:$BJ,60,FALSE)</f>
        <v>166.666666666667</v>
      </c>
      <c r="BF603" s="166">
        <f t="shared" si="6771"/>
        <v>166.666666666667</v>
      </c>
      <c r="BG603" s="166">
        <f t="shared" si="6771"/>
        <v>0</v>
      </c>
      <c r="BH603" s="166">
        <f>VLOOKUP($C603,'1 预算编制表单'!$C:$BJ,27,FALSE)</f>
        <v>166.666666666667</v>
      </c>
      <c r="BI603" s="166">
        <f t="shared" ref="BI603:BM603" si="6772">BI604+BI605+BI608+BI609+BI611+BI612+BI613+BI614+BI615</f>
        <v>166.666666666667</v>
      </c>
      <c r="BJ603" s="166">
        <f t="shared" si="6772"/>
        <v>0</v>
      </c>
      <c r="BK603" s="166">
        <f>VLOOKUP($C603,'1 预算编制表单'!$C:$BJ,30,FALSE)</f>
        <v>166.666666666667</v>
      </c>
      <c r="BL603" s="166">
        <f t="shared" si="6772"/>
        <v>166.666666666667</v>
      </c>
      <c r="BM603" s="166">
        <f t="shared" si="6772"/>
        <v>0</v>
      </c>
      <c r="BN603" s="166">
        <f>VLOOKUP($C603,'1 预算编制表单'!$C:$BJ,33,FALSE)</f>
        <v>166.666666666667</v>
      </c>
      <c r="BO603" s="166">
        <f t="shared" ref="BO603:BS603" si="6773">BO604+BO605+BO608+BO609+BO611+BO612+BO613+BO614+BO615</f>
        <v>166.666666666667</v>
      </c>
      <c r="BP603" s="166">
        <f t="shared" si="6773"/>
        <v>0</v>
      </c>
      <c r="BQ603" s="166">
        <f>VLOOKUP($C603,'1 预算编制表单'!$C:$BJ,36,FALSE)</f>
        <v>166.666666666667</v>
      </c>
      <c r="BR603" s="166">
        <f t="shared" si="6773"/>
        <v>166.666666666667</v>
      </c>
      <c r="BS603" s="166">
        <f t="shared" si="6773"/>
        <v>0</v>
      </c>
      <c r="BT603" s="166">
        <f>VLOOKUP($C603,'1 预算编制表单'!$C:$BJ,39,FALSE)</f>
        <v>166.666666666667</v>
      </c>
      <c r="BU603" s="166">
        <f t="shared" ref="BU603:BY603" si="6774">BU604+BU605+BU608+BU609+BU611+BU612+BU613+BU614+BU615</f>
        <v>166.666666666667</v>
      </c>
      <c r="BV603" s="166">
        <f t="shared" si="6774"/>
        <v>0</v>
      </c>
      <c r="BW603" s="166">
        <f>VLOOKUP($C603,'1 预算编制表单'!$C:$BJ,42,FALSE)</f>
        <v>166.666666666667</v>
      </c>
      <c r="BX603" s="166">
        <f t="shared" si="6774"/>
        <v>166.666666666667</v>
      </c>
      <c r="BY603" s="166">
        <f t="shared" si="6774"/>
        <v>0</v>
      </c>
      <c r="BZ603" s="166">
        <f>VLOOKUP($C603,'1 预算编制表单'!$C:$BJ,45,FALSE)</f>
        <v>166.666666666667</v>
      </c>
      <c r="CA603" s="166">
        <f t="shared" ref="CA603:CE603" si="6775">CA604+CA605+CA608+CA609+CA611+CA612+CA613+CA614+CA615</f>
        <v>166.666666666667</v>
      </c>
      <c r="CB603" s="166">
        <f t="shared" si="6775"/>
        <v>0</v>
      </c>
      <c r="CC603" s="166">
        <f>VLOOKUP($C603,'1 预算编制表单'!$C:$BJ,48,FALSE)</f>
        <v>166.666666666667</v>
      </c>
      <c r="CD603" s="166">
        <f t="shared" si="6775"/>
        <v>166.666666666667</v>
      </c>
      <c r="CE603" s="166">
        <f t="shared" si="6775"/>
        <v>0</v>
      </c>
      <c r="CF603" s="166">
        <f>VLOOKUP($C603,'1 预算编制表单'!$C:$BJ,51,FALSE)</f>
        <v>166.666666666667</v>
      </c>
      <c r="CG603" s="166">
        <f t="shared" ref="CG603:CK603" si="6776">CG604+CG605+CG608+CG609+CG611+CG612+CG613+CG614+CG615</f>
        <v>166.666666666667</v>
      </c>
      <c r="CH603" s="166">
        <f t="shared" si="6776"/>
        <v>0</v>
      </c>
      <c r="CI603" s="166">
        <f>VLOOKUP($C603,'1 预算编制表单'!$C:$BJ,54,FALSE)</f>
        <v>166.666666666667</v>
      </c>
      <c r="CJ603" s="166">
        <f t="shared" si="6776"/>
        <v>166.666666666667</v>
      </c>
      <c r="CK603" s="166">
        <f t="shared" si="6776"/>
        <v>0</v>
      </c>
      <c r="CL603" s="166">
        <f>VLOOKUP($C603,'1 预算编制表单'!$C:$BJ,57,FALSE)</f>
        <v>166.666666666667</v>
      </c>
      <c r="CM603" s="166">
        <f t="shared" ref="CM603:CQ603" si="6777">CM604+CM605+CM608+CM609+CM611+CM612+CM613+CM614+CM615</f>
        <v>166.666666666667</v>
      </c>
      <c r="CN603" s="166">
        <f t="shared" si="6777"/>
        <v>0</v>
      </c>
      <c r="CO603" s="166">
        <f>VLOOKUP($C603,'1 预算编制表单'!$C:$BJ,60,FALSE)</f>
        <v>166.666666666667</v>
      </c>
      <c r="CP603" s="166">
        <f t="shared" si="6777"/>
        <v>166.666666666667</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2843</v>
      </c>
      <c r="E605" s="111" t="s">
        <v>2317</v>
      </c>
      <c r="F605" s="111"/>
      <c r="G605" s="111" t="s">
        <v>1851</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2844</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2845</v>
      </c>
      <c r="D607" s="130" t="s">
        <v>2846</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2847</v>
      </c>
      <c r="D610" s="130" t="s">
        <v>2848</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2000</v>
      </c>
      <c r="I614" s="113">
        <f t="shared" si="6780"/>
        <v>2000</v>
      </c>
      <c r="J614" s="113">
        <f t="shared" si="6781"/>
        <v>0</v>
      </c>
      <c r="K614" s="113"/>
      <c r="L614" s="146"/>
      <c r="M614" s="146"/>
      <c r="N614" s="113"/>
      <c r="O614" s="146"/>
      <c r="P614" s="113"/>
      <c r="Q614" s="113"/>
      <c r="R614" s="113"/>
      <c r="S614" s="113"/>
      <c r="T614" s="113"/>
      <c r="U614" s="113"/>
      <c r="V614" s="113"/>
      <c r="W614" s="113"/>
      <c r="X614" s="113">
        <f>VLOOKUP($C614,'1 预算编制表单'!$C:$BJ,27,FALSE)</f>
        <v>166.666666666667</v>
      </c>
      <c r="Y614" s="113">
        <f>X614-Z614</f>
        <v>166.666666666667</v>
      </c>
      <c r="Z614" s="113"/>
      <c r="AA614" s="113">
        <f>VLOOKUP($C614,'1 预算编制表单'!$C:$BJ,30,FALSE)</f>
        <v>166.666666666667</v>
      </c>
      <c r="AB614" s="113">
        <f>AA614-AC614</f>
        <v>166.666666666667</v>
      </c>
      <c r="AC614" s="113"/>
      <c r="AD614" s="113">
        <f>VLOOKUP($C614,'1 预算编制表单'!$C:$BJ,33,FALSE)</f>
        <v>166.666666666667</v>
      </c>
      <c r="AE614" s="113">
        <f>AD614-AF614</f>
        <v>166.666666666667</v>
      </c>
      <c r="AF614" s="113"/>
      <c r="AG614" s="113">
        <f>VLOOKUP($C614,'1 预算编制表单'!$C:$BJ,36,FALSE)</f>
        <v>166.666666666667</v>
      </c>
      <c r="AH614" s="113">
        <f>AG614-AI614</f>
        <v>166.666666666667</v>
      </c>
      <c r="AI614" s="113"/>
      <c r="AJ614" s="113">
        <f>VLOOKUP($C614,'1 预算编制表单'!$C:$BJ,39,FALSE)</f>
        <v>166.666666666667</v>
      </c>
      <c r="AK614" s="113">
        <f>AJ614-AL614</f>
        <v>166.666666666667</v>
      </c>
      <c r="AL614" s="113"/>
      <c r="AM614" s="113">
        <f>VLOOKUP($C614,'1 预算编制表单'!$C:$BJ,42,FALSE)</f>
        <v>166.666666666667</v>
      </c>
      <c r="AN614" s="113">
        <f>AM614-AO614</f>
        <v>166.666666666667</v>
      </c>
      <c r="AO614" s="113"/>
      <c r="AP614" s="113">
        <f>VLOOKUP($C614,'1 预算编制表单'!$C:$BJ,45,FALSE)</f>
        <v>166.666666666667</v>
      </c>
      <c r="AQ614" s="113">
        <f>AP614-AR614</f>
        <v>166.666666666667</v>
      </c>
      <c r="AR614" s="113"/>
      <c r="AS614" s="113">
        <f>VLOOKUP($C614,'1 预算编制表单'!$C:$BJ,48,FALSE)</f>
        <v>166.666666666667</v>
      </c>
      <c r="AT614" s="113">
        <f>AS614-AU614</f>
        <v>166.666666666667</v>
      </c>
      <c r="AU614" s="113"/>
      <c r="AV614" s="113">
        <f>VLOOKUP($C614,'1 预算编制表单'!$C:$BJ,51,FALSE)</f>
        <v>166.666666666667</v>
      </c>
      <c r="AW614" s="113">
        <f>AV614-AX614</f>
        <v>166.666666666667</v>
      </c>
      <c r="AX614" s="113"/>
      <c r="AY614" s="113">
        <f>VLOOKUP($C614,'1 预算编制表单'!$C:$BJ,54,FALSE)</f>
        <v>166.666666666667</v>
      </c>
      <c r="AZ614" s="113">
        <f>AY614-BA614</f>
        <v>166.666666666667</v>
      </c>
      <c r="BA614" s="113"/>
      <c r="BB614" s="113">
        <f>VLOOKUP($C614,'1 预算编制表单'!$C:$BJ,57,FALSE)</f>
        <v>166.666666666667</v>
      </c>
      <c r="BC614" s="113">
        <f>BB614-BD614</f>
        <v>166.666666666667</v>
      </c>
      <c r="BD614" s="113"/>
      <c r="BE614" s="113">
        <f>VLOOKUP($C614,'1 预算编制表单'!$C:$BJ,60,FALSE)</f>
        <v>166.666666666667</v>
      </c>
      <c r="BF614" s="113">
        <f>BE614-BG614</f>
        <v>166.666666666667</v>
      </c>
      <c r="BG614" s="113"/>
      <c r="BH614" s="113">
        <f>VLOOKUP($C614,'1 预算编制表单'!$C:$BJ,27,FALSE)</f>
        <v>166.666666666667</v>
      </c>
      <c r="BI614" s="113">
        <f>BH614-BJ614</f>
        <v>166.666666666667</v>
      </c>
      <c r="BJ614" s="113"/>
      <c r="BK614" s="113">
        <f>VLOOKUP($C614,'1 预算编制表单'!$C:$BJ,30,FALSE)</f>
        <v>166.666666666667</v>
      </c>
      <c r="BL614" s="113">
        <f>BK614-BM614</f>
        <v>166.666666666667</v>
      </c>
      <c r="BM614" s="113"/>
      <c r="BN614" s="113">
        <f>VLOOKUP($C614,'1 预算编制表单'!$C:$BJ,33,FALSE)</f>
        <v>166.666666666667</v>
      </c>
      <c r="BO614" s="113">
        <f>BN614-BP614</f>
        <v>166.666666666667</v>
      </c>
      <c r="BP614" s="113"/>
      <c r="BQ614" s="113">
        <f>VLOOKUP($C614,'1 预算编制表单'!$C:$BJ,36,FALSE)</f>
        <v>166.666666666667</v>
      </c>
      <c r="BR614" s="113">
        <f>BQ614-BS614</f>
        <v>166.666666666667</v>
      </c>
      <c r="BS614" s="113"/>
      <c r="BT614" s="113">
        <f>VLOOKUP($C614,'1 预算编制表单'!$C:$BJ,39,FALSE)</f>
        <v>166.666666666667</v>
      </c>
      <c r="BU614" s="113">
        <f>BT614-BV614</f>
        <v>166.666666666667</v>
      </c>
      <c r="BV614" s="113"/>
      <c r="BW614" s="113">
        <f>VLOOKUP($C614,'1 预算编制表单'!$C:$BJ,42,FALSE)</f>
        <v>166.666666666667</v>
      </c>
      <c r="BX614" s="113">
        <f>BW614-BY614</f>
        <v>166.666666666667</v>
      </c>
      <c r="BY614" s="113"/>
      <c r="BZ614" s="113">
        <f>VLOOKUP($C614,'1 预算编制表单'!$C:$BJ,45,FALSE)</f>
        <v>166.666666666667</v>
      </c>
      <c r="CA614" s="113">
        <f>BZ614-CB614</f>
        <v>166.666666666667</v>
      </c>
      <c r="CB614" s="113"/>
      <c r="CC614" s="113">
        <f>VLOOKUP($C614,'1 预算编制表单'!$C:$BJ,48,FALSE)</f>
        <v>166.666666666667</v>
      </c>
      <c r="CD614" s="113">
        <f>CC614-CE614</f>
        <v>166.666666666667</v>
      </c>
      <c r="CE614" s="113"/>
      <c r="CF614" s="113">
        <f>VLOOKUP($C614,'1 预算编制表单'!$C:$BJ,51,FALSE)</f>
        <v>166.666666666667</v>
      </c>
      <c r="CG614" s="113">
        <f>CF614-CH614</f>
        <v>166.666666666667</v>
      </c>
      <c r="CH614" s="113"/>
      <c r="CI614" s="113">
        <f>VLOOKUP($C614,'1 预算编制表单'!$C:$BJ,54,FALSE)</f>
        <v>166.666666666667</v>
      </c>
      <c r="CJ614" s="113">
        <f>CI614-CK614</f>
        <v>166.666666666667</v>
      </c>
      <c r="CK614" s="113"/>
      <c r="CL614" s="113">
        <f>VLOOKUP($C614,'1 预算编制表单'!$C:$BJ,57,FALSE)</f>
        <v>166.666666666667</v>
      </c>
      <c r="CM614" s="113">
        <f>CL614-CN614</f>
        <v>166.666666666667</v>
      </c>
      <c r="CN614" s="113"/>
      <c r="CO614" s="113">
        <f>VLOOKUP($C614,'1 预算编制表单'!$C:$BJ,60,FALSE)</f>
        <v>166.666666666667</v>
      </c>
      <c r="CP614" s="113">
        <f>CO614-CQ614</f>
        <v>166.666666666667</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900</v>
      </c>
      <c r="I616" s="166">
        <f t="shared" si="6780"/>
        <v>900</v>
      </c>
      <c r="J616" s="166">
        <f t="shared" si="6781"/>
        <v>0</v>
      </c>
      <c r="K616" s="166"/>
      <c r="L616" s="167"/>
      <c r="M616" s="167"/>
      <c r="N616" s="166"/>
      <c r="O616" s="167"/>
      <c r="P616" s="166"/>
      <c r="Q616" s="166"/>
      <c r="R616" s="166"/>
      <c r="S616" s="166"/>
      <c r="T616" s="166"/>
      <c r="U616" s="166"/>
      <c r="V616" s="166"/>
      <c r="W616" s="166"/>
      <c r="X616" s="166">
        <f>VLOOKUP($C616,'1 预算编制表单'!$C:$BJ,27,FALSE)</f>
        <v>900</v>
      </c>
      <c r="Y616" s="166">
        <f t="shared" ref="Y616:AC616" si="6782">Y617+Y618+Y619+Y620+Y621</f>
        <v>900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900</v>
      </c>
      <c r="BI616" s="166">
        <f t="shared" ref="BI616:BM616" si="6788">BI617+BI618+BI619+BI620+BI621</f>
        <v>900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900</v>
      </c>
      <c r="I618" s="113">
        <f t="shared" si="6780"/>
        <v>900</v>
      </c>
      <c r="J618" s="113">
        <f t="shared" si="6781"/>
        <v>0</v>
      </c>
      <c r="K618" s="113"/>
      <c r="L618" s="146"/>
      <c r="M618" s="146"/>
      <c r="N618" s="113"/>
      <c r="O618" s="146"/>
      <c r="P618" s="113"/>
      <c r="Q618" s="113"/>
      <c r="R618" s="113"/>
      <c r="S618" s="113"/>
      <c r="T618" s="113"/>
      <c r="U618" s="113"/>
      <c r="V618" s="113"/>
      <c r="W618" s="113"/>
      <c r="X618" s="113">
        <f>VLOOKUP($C618,'1 预算编制表单'!$C:$BJ,27,FALSE)</f>
        <v>900</v>
      </c>
      <c r="Y618" s="113">
        <f t="shared" ref="Y618:Y621" si="6806">X618-Z618</f>
        <v>900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900</v>
      </c>
      <c r="BI618" s="113">
        <f t="shared" si="6794"/>
        <v>900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
  <sheetViews>
    <sheetView zoomScale="70" zoomScaleNormal="70" workbookViewId="0">
      <selection activeCell="A2" sqref="A2:M2"/>
    </sheetView>
  </sheetViews>
  <sheetFormatPr defaultColWidth="9" defaultRowHeight="13.5" outlineLevelRow="5"/>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3">
      <c r="A1" s="76" t="s">
        <v>2849</v>
      </c>
      <c r="B1" s="76"/>
      <c r="C1" s="76"/>
      <c r="D1" s="76"/>
      <c r="E1" s="76"/>
      <c r="F1" s="76"/>
      <c r="G1" s="76"/>
      <c r="H1" s="76"/>
      <c r="I1" s="76"/>
      <c r="J1" s="76"/>
      <c r="K1" s="76"/>
      <c r="L1" s="76"/>
      <c r="M1" s="76"/>
    </row>
    <row r="2" s="65" customFormat="1" ht="20" customHeight="1" spans="1:13">
      <c r="A2" s="76" t="s">
        <v>2850</v>
      </c>
      <c r="B2" s="76"/>
      <c r="C2" s="76"/>
      <c r="D2" s="76"/>
      <c r="E2" s="76"/>
      <c r="F2" s="76"/>
      <c r="G2" s="76"/>
      <c r="H2" s="76"/>
      <c r="I2" s="76"/>
      <c r="J2" s="76"/>
      <c r="K2" s="76"/>
      <c r="L2" s="76"/>
      <c r="M2" s="76"/>
    </row>
    <row r="3" s="65" customFormat="1" ht="20" customHeight="1" spans="1:13">
      <c r="A3" s="76" t="s">
        <v>2851</v>
      </c>
      <c r="B3" s="76"/>
      <c r="C3" s="76"/>
      <c r="D3" s="76"/>
      <c r="E3" s="76"/>
      <c r="F3" s="76"/>
      <c r="G3" s="76"/>
      <c r="H3" s="76"/>
      <c r="I3" s="76"/>
      <c r="J3" s="76"/>
      <c r="K3" s="76"/>
      <c r="L3" s="76"/>
      <c r="M3" s="76"/>
    </row>
    <row r="4" s="65" customFormat="1" ht="32.45" customHeight="1" spans="1:13">
      <c r="A4" s="77" t="s">
        <v>2852</v>
      </c>
      <c r="B4" s="77" t="s">
        <v>2853</v>
      </c>
      <c r="C4" s="77" t="s">
        <v>2854</v>
      </c>
      <c r="D4" s="77" t="s">
        <v>2855</v>
      </c>
      <c r="E4" s="77" t="s">
        <v>2856</v>
      </c>
      <c r="F4" s="77" t="s">
        <v>2857</v>
      </c>
      <c r="G4" s="77" t="s">
        <v>1242</v>
      </c>
      <c r="H4" s="77" t="s">
        <v>2858</v>
      </c>
      <c r="I4" s="77" t="s">
        <v>2859</v>
      </c>
      <c r="J4" s="77" t="s">
        <v>2860</v>
      </c>
      <c r="K4" s="77" t="s">
        <v>2861</v>
      </c>
      <c r="L4" s="77" t="s">
        <v>2862</v>
      </c>
      <c r="M4" s="77" t="s">
        <v>2863</v>
      </c>
    </row>
    <row r="5" s="65" customFormat="1" ht="199.5" spans="1:13">
      <c r="A5" s="78" t="s">
        <v>2864</v>
      </c>
      <c r="B5" s="78" t="s">
        <v>2865</v>
      </c>
      <c r="C5" s="78" t="s">
        <v>2866</v>
      </c>
      <c r="D5" s="78" t="s">
        <v>2867</v>
      </c>
      <c r="E5" s="78" t="s">
        <v>2866</v>
      </c>
      <c r="F5" s="79">
        <v>11184.7</v>
      </c>
      <c r="G5" s="79">
        <v>1</v>
      </c>
      <c r="H5" s="79">
        <v>11184.7</v>
      </c>
      <c r="I5" s="79">
        <v>11184.7</v>
      </c>
      <c r="J5" s="78" t="s">
        <v>2868</v>
      </c>
      <c r="K5" s="78" t="s">
        <v>2869</v>
      </c>
      <c r="L5" s="78" t="s">
        <v>2870</v>
      </c>
      <c r="M5" s="78" t="s">
        <v>2871</v>
      </c>
    </row>
    <row r="6" s="65" customFormat="1" ht="199.5" spans="1:13">
      <c r="A6" s="78" t="s">
        <v>2872</v>
      </c>
      <c r="B6" s="78" t="s">
        <v>2873</v>
      </c>
      <c r="C6" s="78" t="s">
        <v>2874</v>
      </c>
      <c r="D6" s="78" t="s">
        <v>2875</v>
      </c>
      <c r="E6" s="78" t="s">
        <v>33</v>
      </c>
      <c r="F6" s="79">
        <v>2800</v>
      </c>
      <c r="G6" s="79">
        <v>1</v>
      </c>
      <c r="H6" s="79">
        <v>2800</v>
      </c>
      <c r="I6" s="79">
        <v>2800</v>
      </c>
      <c r="J6" s="78" t="s">
        <v>2876</v>
      </c>
      <c r="K6" s="78" t="s">
        <v>2877</v>
      </c>
      <c r="L6" s="78" t="s">
        <v>2870</v>
      </c>
      <c r="M6" s="78" t="s">
        <v>2878</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8"/>
  <sheetViews>
    <sheetView zoomScale="70" zoomScaleNormal="70" workbookViewId="0">
      <selection activeCell="B13" sqref="B13"/>
    </sheetView>
  </sheetViews>
  <sheetFormatPr defaultColWidth="9" defaultRowHeight="13.5"/>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2879</v>
      </c>
      <c r="E1" s="66"/>
      <c r="N1" s="67"/>
      <c r="O1" s="68"/>
      <c r="P1" s="68"/>
      <c r="R1" s="68"/>
      <c r="S1" s="69"/>
      <c r="U1" s="70"/>
      <c r="AC1" s="66"/>
      <c r="AD1" s="66"/>
      <c r="AJ1" s="67"/>
      <c r="BF1" s="71"/>
      <c r="BG1" s="71"/>
      <c r="BH1" s="71"/>
      <c r="BM1" s="65" t="s">
        <v>2880</v>
      </c>
    </row>
    <row r="2" s="65" customFormat="1" ht="45" hidden="1" customHeight="1" spans="1:60">
      <c r="A2" s="72" t="s">
        <v>2881</v>
      </c>
      <c r="E2" s="66"/>
      <c r="N2" s="67"/>
      <c r="O2" s="68"/>
      <c r="P2" s="68"/>
      <c r="R2" s="68"/>
      <c r="S2" s="69"/>
      <c r="U2" s="70"/>
      <c r="AC2" s="66"/>
      <c r="AD2" s="66"/>
      <c r="AJ2" s="67"/>
      <c r="BF2" s="71"/>
      <c r="BG2" s="71"/>
      <c r="BH2" s="71"/>
    </row>
    <row r="3" s="65" customFormat="1" hidden="1" spans="1:68">
      <c r="A3" s="65" t="s">
        <v>2882</v>
      </c>
      <c r="B3" s="65" t="s">
        <v>2883</v>
      </c>
      <c r="C3" s="65" t="s">
        <v>2884</v>
      </c>
      <c r="D3" s="65" t="s">
        <v>2885</v>
      </c>
      <c r="E3" s="65" t="s">
        <v>2886</v>
      </c>
      <c r="F3" s="65" t="s">
        <v>2887</v>
      </c>
      <c r="G3" s="65" t="s">
        <v>2888</v>
      </c>
      <c r="H3" s="65" t="s">
        <v>2889</v>
      </c>
      <c r="I3" s="65" t="s">
        <v>2890</v>
      </c>
      <c r="J3" s="65" t="s">
        <v>2891</v>
      </c>
      <c r="K3" s="65" t="s">
        <v>2892</v>
      </c>
      <c r="L3" s="65" t="s">
        <v>2893</v>
      </c>
      <c r="M3" s="65" t="s">
        <v>2894</v>
      </c>
      <c r="N3" s="65" t="s">
        <v>2895</v>
      </c>
      <c r="O3" s="65" t="s">
        <v>2896</v>
      </c>
      <c r="P3" s="65" t="s">
        <v>2897</v>
      </c>
      <c r="Q3" s="65" t="s">
        <v>2898</v>
      </c>
      <c r="R3" s="65" t="s">
        <v>2899</v>
      </c>
      <c r="S3" s="65" t="s">
        <v>2900</v>
      </c>
      <c r="T3" s="65" t="s">
        <v>2901</v>
      </c>
      <c r="U3" s="65" t="s">
        <v>2902</v>
      </c>
      <c r="V3" s="65" t="s">
        <v>2903</v>
      </c>
      <c r="W3" s="65" t="s">
        <v>2904</v>
      </c>
      <c r="X3" s="65" t="s">
        <v>2905</v>
      </c>
      <c r="Y3" s="65" t="s">
        <v>2906</v>
      </c>
      <c r="Z3" s="65" t="s">
        <v>2907</v>
      </c>
      <c r="AA3" s="65" t="s">
        <v>2908</v>
      </c>
      <c r="AB3" s="65" t="s">
        <v>2909</v>
      </c>
      <c r="AC3" s="65" t="s">
        <v>2910</v>
      </c>
      <c r="AD3" s="65" t="s">
        <v>2911</v>
      </c>
      <c r="AE3" s="65" t="s">
        <v>2912</v>
      </c>
      <c r="AF3" s="65" t="s">
        <v>2913</v>
      </c>
      <c r="AG3" s="65" t="s">
        <v>2914</v>
      </c>
      <c r="AH3" s="65" t="s">
        <v>2915</v>
      </c>
      <c r="AI3" s="65" t="s">
        <v>2916</v>
      </c>
      <c r="AJ3" s="65" t="s">
        <v>2917</v>
      </c>
      <c r="AK3" s="65" t="s">
        <v>2918</v>
      </c>
      <c r="AL3" s="65" t="s">
        <v>2919</v>
      </c>
      <c r="AM3" s="65" t="s">
        <v>2920</v>
      </c>
      <c r="AN3" s="65" t="s">
        <v>2921</v>
      </c>
      <c r="AO3" s="65" t="s">
        <v>2922</v>
      </c>
      <c r="AP3" s="65" t="s">
        <v>2923</v>
      </c>
      <c r="AQ3" s="65" t="s">
        <v>2924</v>
      </c>
      <c r="AR3" s="65" t="s">
        <v>2925</v>
      </c>
      <c r="AS3" s="65" t="s">
        <v>2926</v>
      </c>
      <c r="AT3" s="65" t="s">
        <v>2927</v>
      </c>
      <c r="AU3" s="65" t="s">
        <v>2928</v>
      </c>
      <c r="AV3" s="65" t="s">
        <v>2929</v>
      </c>
      <c r="AW3" s="65" t="s">
        <v>2930</v>
      </c>
      <c r="AX3" s="65" t="s">
        <v>2931</v>
      </c>
      <c r="AY3" s="65" t="s">
        <v>2932</v>
      </c>
      <c r="AZ3" s="65" t="s">
        <v>2933</v>
      </c>
      <c r="BA3" s="65" t="s">
        <v>2934</v>
      </c>
      <c r="BB3" s="65" t="s">
        <v>2935</v>
      </c>
      <c r="BC3" s="65" t="s">
        <v>2936</v>
      </c>
      <c r="BD3" s="65" t="s">
        <v>2937</v>
      </c>
      <c r="BE3" s="65" t="s">
        <v>2938</v>
      </c>
      <c r="BF3" s="65" t="s">
        <v>2939</v>
      </c>
      <c r="BG3" s="65" t="s">
        <v>2940</v>
      </c>
      <c r="BH3" s="65" t="s">
        <v>2941</v>
      </c>
      <c r="BI3" s="65" t="s">
        <v>2942</v>
      </c>
      <c r="BJ3" s="65" t="s">
        <v>2943</v>
      </c>
      <c r="BK3" s="65" t="s">
        <v>2944</v>
      </c>
      <c r="BL3" s="65" t="s">
        <v>2945</v>
      </c>
      <c r="BM3" s="65" t="s">
        <v>2946</v>
      </c>
      <c r="BN3" s="65" t="s">
        <v>2947</v>
      </c>
      <c r="BO3" s="65" t="s">
        <v>2948</v>
      </c>
      <c r="BP3" s="65" t="s">
        <v>2949</v>
      </c>
    </row>
    <row r="4" s="65" customFormat="1" ht="15" hidden="1" spans="1:68">
      <c r="A4" s="73" t="s">
        <v>2950</v>
      </c>
      <c r="B4" s="74" t="s">
        <v>2951</v>
      </c>
      <c r="C4" s="74" t="s">
        <v>2952</v>
      </c>
      <c r="D4" s="74" t="s">
        <v>2953</v>
      </c>
      <c r="E4" s="74" t="s">
        <v>2954</v>
      </c>
      <c r="F4" s="74" t="s">
        <v>2955</v>
      </c>
      <c r="G4" s="74" t="s">
        <v>2956</v>
      </c>
      <c r="H4" s="73" t="s">
        <v>2957</v>
      </c>
      <c r="I4" s="73" t="s">
        <v>2958</v>
      </c>
      <c r="J4" s="73" t="s">
        <v>2959</v>
      </c>
      <c r="K4" s="73" t="s">
        <v>2960</v>
      </c>
      <c r="L4" s="73" t="s">
        <v>2961</v>
      </c>
      <c r="M4" s="73" t="s">
        <v>2962</v>
      </c>
      <c r="N4" s="73" t="s">
        <v>2963</v>
      </c>
      <c r="O4" s="73" t="s">
        <v>2964</v>
      </c>
      <c r="P4" s="73" t="s">
        <v>2965</v>
      </c>
      <c r="Q4" s="73" t="s">
        <v>2966</v>
      </c>
      <c r="R4" s="73" t="s">
        <v>2967</v>
      </c>
      <c r="S4" s="73" t="s">
        <v>2968</v>
      </c>
      <c r="T4" s="73" t="s">
        <v>2969</v>
      </c>
      <c r="U4" s="73" t="s">
        <v>2970</v>
      </c>
      <c r="V4" s="73" t="s">
        <v>2971</v>
      </c>
      <c r="W4" s="73" t="s">
        <v>2972</v>
      </c>
      <c r="X4" s="73" t="s">
        <v>2973</v>
      </c>
      <c r="Y4" s="73" t="s">
        <v>2974</v>
      </c>
      <c r="Z4" s="73" t="s">
        <v>2975</v>
      </c>
      <c r="AA4" s="73" t="s">
        <v>2976</v>
      </c>
      <c r="AB4" s="73" t="s">
        <v>2977</v>
      </c>
      <c r="AC4" s="73" t="s">
        <v>2811</v>
      </c>
      <c r="AD4" s="73" t="s">
        <v>2978</v>
      </c>
      <c r="AE4" s="73" t="s">
        <v>2979</v>
      </c>
      <c r="AF4" s="73" t="s">
        <v>2980</v>
      </c>
      <c r="AG4" s="73" t="s">
        <v>715</v>
      </c>
      <c r="AH4" s="73" t="s">
        <v>2981</v>
      </c>
      <c r="AI4" s="73" t="s">
        <v>2982</v>
      </c>
      <c r="AJ4" s="73" t="s">
        <v>2983</v>
      </c>
      <c r="AK4" s="73" t="s">
        <v>2984</v>
      </c>
      <c r="AL4" s="73" t="s">
        <v>2985</v>
      </c>
      <c r="AM4" s="73" t="s">
        <v>2986</v>
      </c>
      <c r="AN4" s="73" t="s">
        <v>2987</v>
      </c>
      <c r="AO4" s="73" t="s">
        <v>2988</v>
      </c>
      <c r="AP4" s="73" t="s">
        <v>2989</v>
      </c>
      <c r="AQ4" s="73" t="s">
        <v>2990</v>
      </c>
      <c r="AR4" s="73" t="s">
        <v>2991</v>
      </c>
      <c r="AS4" s="74" t="s">
        <v>2992</v>
      </c>
      <c r="AT4" s="73" t="s">
        <v>2993</v>
      </c>
      <c r="AU4" s="73" t="s">
        <v>2994</v>
      </c>
      <c r="AV4" s="73" t="s">
        <v>2995</v>
      </c>
      <c r="AW4" s="73" t="s">
        <v>2996</v>
      </c>
      <c r="AX4" s="73" t="s">
        <v>2997</v>
      </c>
      <c r="AY4" s="73" t="s">
        <v>2998</v>
      </c>
      <c r="AZ4" s="73" t="s">
        <v>2999</v>
      </c>
      <c r="BA4" s="73" t="s">
        <v>3000</v>
      </c>
      <c r="BB4" s="73" t="s">
        <v>3001</v>
      </c>
      <c r="BC4" s="73" t="s">
        <v>3002</v>
      </c>
      <c r="BD4" s="73" t="s">
        <v>3003</v>
      </c>
      <c r="BE4" s="73" t="s">
        <v>3004</v>
      </c>
      <c r="BF4" s="73" t="s">
        <v>3005</v>
      </c>
      <c r="BG4" s="73" t="s">
        <v>3006</v>
      </c>
      <c r="BH4" s="73" t="s">
        <v>3007</v>
      </c>
      <c r="BI4" s="73" t="s">
        <v>3008</v>
      </c>
      <c r="BJ4" s="73" t="s">
        <v>3009</v>
      </c>
      <c r="BK4" s="73" t="s">
        <v>3010</v>
      </c>
      <c r="BL4" s="73" t="s">
        <v>3011</v>
      </c>
      <c r="BM4" s="73" t="s">
        <v>2950</v>
      </c>
      <c r="BN4" s="73" t="s">
        <v>3012</v>
      </c>
      <c r="BO4" s="73" t="s">
        <v>3013</v>
      </c>
      <c r="BP4" s="73" t="s">
        <v>3014</v>
      </c>
    </row>
    <row r="5" s="65" customFormat="1" ht="391.5" spans="1:68">
      <c r="A5" s="75" t="s">
        <v>3015</v>
      </c>
      <c r="B5" s="75" t="s">
        <v>2827</v>
      </c>
      <c r="C5" s="75" t="s">
        <v>3016</v>
      </c>
      <c r="D5" s="75" t="s">
        <v>3017</v>
      </c>
      <c r="E5" s="66" t="s">
        <v>3018</v>
      </c>
      <c r="F5" s="75" t="s">
        <v>3019</v>
      </c>
      <c r="G5" s="75" t="s">
        <v>3020</v>
      </c>
      <c r="J5" s="75" t="s">
        <v>3021</v>
      </c>
      <c r="K5" s="75" t="s">
        <v>3022</v>
      </c>
      <c r="L5" s="75" t="s">
        <v>3023</v>
      </c>
      <c r="M5" s="75" t="s">
        <v>3024</v>
      </c>
      <c r="N5" s="67"/>
      <c r="O5" s="68"/>
      <c r="P5" s="69">
        <v>11184.7</v>
      </c>
      <c r="Q5" s="75" t="s">
        <v>3025</v>
      </c>
      <c r="R5" s="68"/>
      <c r="S5" s="69"/>
      <c r="T5" s="75" t="s">
        <v>3026</v>
      </c>
      <c r="U5" s="70"/>
      <c r="V5" s="75" t="s">
        <v>3027</v>
      </c>
      <c r="W5" s="75" t="s">
        <v>3028</v>
      </c>
      <c r="X5" s="75" t="s">
        <v>2402</v>
      </c>
      <c r="Y5" s="75" t="s">
        <v>2404</v>
      </c>
      <c r="Z5" s="75" t="s">
        <v>2827</v>
      </c>
      <c r="AA5" s="75" t="s">
        <v>3025</v>
      </c>
      <c r="AB5" s="75" t="s">
        <v>3025</v>
      </c>
      <c r="AC5" s="66" t="s">
        <v>3029</v>
      </c>
      <c r="AD5" s="66" t="s">
        <v>3029</v>
      </c>
      <c r="AE5" s="75" t="s">
        <v>3030</v>
      </c>
      <c r="AF5" s="75" t="s">
        <v>3031</v>
      </c>
      <c r="AG5" s="75" t="s">
        <v>3032</v>
      </c>
      <c r="AJ5" s="67"/>
      <c r="AM5" s="75" t="s">
        <v>3033</v>
      </c>
      <c r="AN5" s="75" t="s">
        <v>3034</v>
      </c>
      <c r="AO5" s="75" t="s">
        <v>3035</v>
      </c>
      <c r="AP5" s="75" t="s">
        <v>3036</v>
      </c>
      <c r="AQ5" s="75" t="s">
        <v>3037</v>
      </c>
      <c r="AR5" s="75" t="s">
        <v>3038</v>
      </c>
      <c r="AS5" s="75" t="s">
        <v>3039</v>
      </c>
      <c r="AT5" s="75" t="s">
        <v>47</v>
      </c>
      <c r="AU5" s="75" t="s">
        <v>3040</v>
      </c>
      <c r="AV5" s="75" t="s">
        <v>794</v>
      </c>
      <c r="AW5" s="75" t="s">
        <v>794</v>
      </c>
      <c r="AX5" s="75" t="s">
        <v>3041</v>
      </c>
      <c r="AY5" s="75" t="s">
        <v>3042</v>
      </c>
      <c r="AZ5" s="75" t="s">
        <v>3043</v>
      </c>
      <c r="BA5" s="75" t="s">
        <v>3040</v>
      </c>
      <c r="BC5" s="75" t="s">
        <v>3044</v>
      </c>
      <c r="BD5" s="75" t="s">
        <v>3033</v>
      </c>
      <c r="BE5" s="75" t="s">
        <v>3034</v>
      </c>
      <c r="BF5" s="71" t="s">
        <v>3045</v>
      </c>
      <c r="BG5" s="71" t="s">
        <v>3046</v>
      </c>
      <c r="BH5" s="71" t="s">
        <v>3047</v>
      </c>
      <c r="BI5" s="75" t="s">
        <v>3048</v>
      </c>
      <c r="BJ5" s="75" t="s">
        <v>3049</v>
      </c>
      <c r="BK5" s="75" t="s">
        <v>3050</v>
      </c>
      <c r="BL5" s="75" t="s">
        <v>3051</v>
      </c>
      <c r="BM5" s="75" t="s">
        <v>3052</v>
      </c>
      <c r="BN5" s="75" t="s">
        <v>3053</v>
      </c>
      <c r="BO5" s="75" t="s">
        <v>3054</v>
      </c>
      <c r="BP5" s="75" t="s">
        <v>3054</v>
      </c>
    </row>
    <row r="6" s="65" customFormat="1" ht="27" hidden="1" spans="5:68">
      <c r="E6" s="66"/>
      <c r="N6" s="67"/>
      <c r="O6" s="68"/>
      <c r="P6" s="68"/>
      <c r="R6" s="68"/>
      <c r="S6" s="69"/>
      <c r="U6" s="70"/>
      <c r="AC6" s="66"/>
      <c r="AD6" s="66"/>
      <c r="AJ6" s="67"/>
      <c r="BF6" s="71"/>
      <c r="BG6" s="71"/>
      <c r="BH6" s="71"/>
      <c r="BM6" s="75" t="s">
        <v>3055</v>
      </c>
      <c r="BN6" s="75" t="s">
        <v>3056</v>
      </c>
      <c r="BO6" s="75" t="s">
        <v>2868</v>
      </c>
      <c r="BP6" s="75" t="s">
        <v>2868</v>
      </c>
    </row>
    <row r="7" s="65" customFormat="1" ht="391.5" hidden="1" spans="1:68">
      <c r="A7" s="75" t="s">
        <v>3057</v>
      </c>
      <c r="B7" s="75" t="s">
        <v>3058</v>
      </c>
      <c r="C7" s="75" t="s">
        <v>3059</v>
      </c>
      <c r="D7" s="75" t="s">
        <v>3017</v>
      </c>
      <c r="E7" s="66" t="s">
        <v>3018</v>
      </c>
      <c r="F7" s="75" t="s">
        <v>3019</v>
      </c>
      <c r="G7" s="75" t="s">
        <v>3020</v>
      </c>
      <c r="J7" s="75" t="s">
        <v>3021</v>
      </c>
      <c r="K7" s="75" t="s">
        <v>3022</v>
      </c>
      <c r="L7" s="75" t="s">
        <v>3023</v>
      </c>
      <c r="M7" s="75" t="s">
        <v>3024</v>
      </c>
      <c r="N7" s="67"/>
      <c r="O7" s="68"/>
      <c r="P7" s="69">
        <v>11184.7</v>
      </c>
      <c r="Q7" s="75" t="s">
        <v>3025</v>
      </c>
      <c r="R7" s="68"/>
      <c r="S7" s="69"/>
      <c r="T7" s="75" t="s">
        <v>3026</v>
      </c>
      <c r="U7" s="70"/>
      <c r="V7" s="75" t="s">
        <v>3027</v>
      </c>
      <c r="W7" s="75" t="s">
        <v>3028</v>
      </c>
      <c r="X7" s="75" t="s">
        <v>2402</v>
      </c>
      <c r="Y7" s="75" t="s">
        <v>2404</v>
      </c>
      <c r="Z7" s="75" t="s">
        <v>3058</v>
      </c>
      <c r="AA7" s="75" t="s">
        <v>3025</v>
      </c>
      <c r="AB7" s="75" t="s">
        <v>3025</v>
      </c>
      <c r="AC7" s="66" t="s">
        <v>3029</v>
      </c>
      <c r="AD7" s="66" t="s">
        <v>3029</v>
      </c>
      <c r="AE7" s="75" t="s">
        <v>3030</v>
      </c>
      <c r="AF7" s="75" t="s">
        <v>3031</v>
      </c>
      <c r="AG7" s="75" t="s">
        <v>3032</v>
      </c>
      <c r="AJ7" s="67"/>
      <c r="AM7" s="75" t="s">
        <v>3033</v>
      </c>
      <c r="AN7" s="75" t="s">
        <v>3034</v>
      </c>
      <c r="AO7" s="75" t="s">
        <v>3060</v>
      </c>
      <c r="AP7" s="75" t="s">
        <v>3036</v>
      </c>
      <c r="AQ7" s="75" t="s">
        <v>3061</v>
      </c>
      <c r="AR7" s="75" t="s">
        <v>3062</v>
      </c>
      <c r="AS7" s="75" t="s">
        <v>3039</v>
      </c>
      <c r="AT7" s="75" t="s">
        <v>47</v>
      </c>
      <c r="AU7" s="75" t="s">
        <v>3040</v>
      </c>
      <c r="AV7" s="75" t="s">
        <v>794</v>
      </c>
      <c r="AW7" s="75" t="s">
        <v>794</v>
      </c>
      <c r="AX7" s="75" t="s">
        <v>3063</v>
      </c>
      <c r="AY7" s="75" t="s">
        <v>3064</v>
      </c>
      <c r="AZ7" s="75" t="s">
        <v>3043</v>
      </c>
      <c r="BA7" s="75" t="s">
        <v>3040</v>
      </c>
      <c r="BC7" s="75" t="s">
        <v>3044</v>
      </c>
      <c r="BD7" s="75" t="s">
        <v>3048</v>
      </c>
      <c r="BE7" s="75" t="s">
        <v>3049</v>
      </c>
      <c r="BF7" s="71"/>
      <c r="BG7" s="71" t="s">
        <v>3065</v>
      </c>
      <c r="BH7" s="71" t="s">
        <v>3066</v>
      </c>
      <c r="BK7" s="75" t="s">
        <v>3067</v>
      </c>
      <c r="BL7" s="75" t="s">
        <v>3051</v>
      </c>
      <c r="BM7" s="75" t="s">
        <v>3068</v>
      </c>
      <c r="BN7" s="75" t="s">
        <v>3053</v>
      </c>
      <c r="BO7" s="75" t="s">
        <v>3054</v>
      </c>
      <c r="BP7" s="75" t="s">
        <v>3054</v>
      </c>
    </row>
    <row r="8" s="65" customFormat="1" ht="27" hidden="1" spans="5:68">
      <c r="E8" s="66"/>
      <c r="N8" s="67"/>
      <c r="O8" s="68"/>
      <c r="P8" s="68"/>
      <c r="R8" s="68"/>
      <c r="S8" s="69"/>
      <c r="U8" s="70"/>
      <c r="AC8" s="66"/>
      <c r="AD8" s="66"/>
      <c r="AJ8" s="67"/>
      <c r="BF8" s="71"/>
      <c r="BG8" s="71"/>
      <c r="BH8" s="71"/>
      <c r="BM8" s="75" t="s">
        <v>3069</v>
      </c>
      <c r="BN8" s="75" t="s">
        <v>3056</v>
      </c>
      <c r="BO8" s="75" t="s">
        <v>2868</v>
      </c>
      <c r="BP8" s="75" t="s">
        <v>2868</v>
      </c>
    </row>
    <row r="9" s="65" customFormat="1" ht="391.5" hidden="1" spans="1:68">
      <c r="A9" s="75" t="s">
        <v>3070</v>
      </c>
      <c r="B9" s="75" t="s">
        <v>3071</v>
      </c>
      <c r="C9" s="75" t="s">
        <v>3072</v>
      </c>
      <c r="D9" s="75" t="s">
        <v>3017</v>
      </c>
      <c r="E9" s="66" t="s">
        <v>3018</v>
      </c>
      <c r="F9" s="75" t="s">
        <v>3019</v>
      </c>
      <c r="G9" s="75" t="s">
        <v>3020</v>
      </c>
      <c r="J9" s="75" t="s">
        <v>3021</v>
      </c>
      <c r="K9" s="75" t="s">
        <v>3022</v>
      </c>
      <c r="L9" s="75" t="s">
        <v>3023</v>
      </c>
      <c r="M9" s="75" t="s">
        <v>3024</v>
      </c>
      <c r="N9" s="67"/>
      <c r="O9" s="68"/>
      <c r="P9" s="69">
        <v>11184.7</v>
      </c>
      <c r="Q9" s="75" t="s">
        <v>3025</v>
      </c>
      <c r="R9" s="68"/>
      <c r="S9" s="69"/>
      <c r="T9" s="75" t="s">
        <v>3026</v>
      </c>
      <c r="U9" s="70"/>
      <c r="V9" s="75" t="s">
        <v>3027</v>
      </c>
      <c r="W9" s="75" t="s">
        <v>3028</v>
      </c>
      <c r="X9" s="75" t="s">
        <v>2402</v>
      </c>
      <c r="Y9" s="75" t="s">
        <v>2404</v>
      </c>
      <c r="Z9" s="75" t="s">
        <v>3071</v>
      </c>
      <c r="AA9" s="75" t="s">
        <v>3025</v>
      </c>
      <c r="AB9" s="75" t="s">
        <v>3025</v>
      </c>
      <c r="AC9" s="66" t="s">
        <v>3029</v>
      </c>
      <c r="AD9" s="66" t="s">
        <v>3029</v>
      </c>
      <c r="AE9" s="75" t="s">
        <v>3030</v>
      </c>
      <c r="AF9" s="75" t="s">
        <v>3031</v>
      </c>
      <c r="AG9" s="75" t="s">
        <v>3032</v>
      </c>
      <c r="AJ9" s="67"/>
      <c r="AM9" s="75" t="s">
        <v>3033</v>
      </c>
      <c r="AN9" s="75" t="s">
        <v>3034</v>
      </c>
      <c r="AO9" s="75" t="s">
        <v>3060</v>
      </c>
      <c r="AP9" s="75" t="s">
        <v>3036</v>
      </c>
      <c r="AQ9" s="75" t="s">
        <v>3061</v>
      </c>
      <c r="AR9" s="75" t="s">
        <v>3062</v>
      </c>
      <c r="AS9" s="75" t="s">
        <v>3039</v>
      </c>
      <c r="AT9" s="75" t="s">
        <v>47</v>
      </c>
      <c r="AU9" s="75" t="s">
        <v>3040</v>
      </c>
      <c r="AV9" s="75" t="s">
        <v>794</v>
      </c>
      <c r="AW9" s="75" t="s">
        <v>794</v>
      </c>
      <c r="AX9" s="75" t="s">
        <v>3073</v>
      </c>
      <c r="AY9" s="75" t="s">
        <v>3074</v>
      </c>
      <c r="AZ9" s="75" t="s">
        <v>3043</v>
      </c>
      <c r="BA9" s="75" t="s">
        <v>3040</v>
      </c>
      <c r="BC9" s="75" t="s">
        <v>3044</v>
      </c>
      <c r="BD9" s="75" t="s">
        <v>3033</v>
      </c>
      <c r="BE9" s="75" t="s">
        <v>3034</v>
      </c>
      <c r="BF9" s="71"/>
      <c r="BG9" s="71" t="s">
        <v>3075</v>
      </c>
      <c r="BH9" s="71" t="s">
        <v>3076</v>
      </c>
      <c r="BK9" s="75" t="s">
        <v>3077</v>
      </c>
      <c r="BL9" s="75" t="s">
        <v>3051</v>
      </c>
      <c r="BM9" s="75" t="s">
        <v>3078</v>
      </c>
      <c r="BN9" s="75" t="s">
        <v>3053</v>
      </c>
      <c r="BO9" s="75" t="s">
        <v>3054</v>
      </c>
      <c r="BP9" s="75" t="s">
        <v>3054</v>
      </c>
    </row>
    <row r="10" s="65" customFormat="1" ht="27" hidden="1" spans="5:68">
      <c r="E10" s="66"/>
      <c r="N10" s="67"/>
      <c r="O10" s="68"/>
      <c r="P10" s="68"/>
      <c r="R10" s="68"/>
      <c r="S10" s="69"/>
      <c r="U10" s="70"/>
      <c r="AC10" s="66"/>
      <c r="AD10" s="66"/>
      <c r="AJ10" s="67"/>
      <c r="BF10" s="71"/>
      <c r="BG10" s="71"/>
      <c r="BH10" s="71"/>
      <c r="BM10" s="75" t="s">
        <v>3079</v>
      </c>
      <c r="BN10" s="75" t="s">
        <v>3056</v>
      </c>
      <c r="BO10" s="75" t="s">
        <v>2868</v>
      </c>
      <c r="BP10" s="75" t="s">
        <v>2868</v>
      </c>
    </row>
    <row r="11" s="65" customFormat="1" ht="391.5" hidden="1" spans="1:68">
      <c r="A11" s="75" t="s">
        <v>3080</v>
      </c>
      <c r="B11" s="75" t="s">
        <v>3081</v>
      </c>
      <c r="C11" s="75" t="s">
        <v>3072</v>
      </c>
      <c r="D11" s="75" t="s">
        <v>3082</v>
      </c>
      <c r="E11" s="66" t="s">
        <v>3018</v>
      </c>
      <c r="F11" s="75" t="s">
        <v>3019</v>
      </c>
      <c r="G11" s="75" t="s">
        <v>3020</v>
      </c>
      <c r="J11" s="75" t="s">
        <v>3021</v>
      </c>
      <c r="K11" s="75" t="s">
        <v>3022</v>
      </c>
      <c r="L11" s="75" t="s">
        <v>3023</v>
      </c>
      <c r="M11" s="75" t="s">
        <v>3024</v>
      </c>
      <c r="N11" s="67"/>
      <c r="O11" s="68"/>
      <c r="P11" s="69">
        <v>11184.7</v>
      </c>
      <c r="Q11" s="75" t="s">
        <v>3025</v>
      </c>
      <c r="R11" s="68"/>
      <c r="S11" s="69"/>
      <c r="T11" s="75" t="s">
        <v>3026</v>
      </c>
      <c r="U11" s="70"/>
      <c r="V11" s="75" t="s">
        <v>3027</v>
      </c>
      <c r="W11" s="75" t="s">
        <v>3028</v>
      </c>
      <c r="X11" s="75" t="s">
        <v>2402</v>
      </c>
      <c r="Y11" s="75" t="s">
        <v>2404</v>
      </c>
      <c r="Z11" s="75" t="s">
        <v>3081</v>
      </c>
      <c r="AA11" s="75" t="s">
        <v>3025</v>
      </c>
      <c r="AB11" s="75" t="s">
        <v>3025</v>
      </c>
      <c r="AC11" s="66" t="s">
        <v>3029</v>
      </c>
      <c r="AD11" s="66" t="s">
        <v>3029</v>
      </c>
      <c r="AE11" s="75" t="s">
        <v>3030</v>
      </c>
      <c r="AF11" s="75" t="s">
        <v>3031</v>
      </c>
      <c r="AG11" s="75" t="s">
        <v>3032</v>
      </c>
      <c r="AJ11" s="67"/>
      <c r="AM11" s="75" t="s">
        <v>3033</v>
      </c>
      <c r="AN11" s="75" t="s">
        <v>3034</v>
      </c>
      <c r="AO11" s="75" t="s">
        <v>3035</v>
      </c>
      <c r="AP11" s="75" t="s">
        <v>3036</v>
      </c>
      <c r="AQ11" s="75" t="s">
        <v>3061</v>
      </c>
      <c r="AR11" s="75" t="s">
        <v>3062</v>
      </c>
      <c r="AS11" s="75" t="s">
        <v>3039</v>
      </c>
      <c r="AT11" s="75" t="s">
        <v>47</v>
      </c>
      <c r="AU11" s="75" t="s">
        <v>3040</v>
      </c>
      <c r="AV11" s="75" t="s">
        <v>794</v>
      </c>
      <c r="AW11" s="75" t="s">
        <v>794</v>
      </c>
      <c r="AX11" s="75" t="s">
        <v>3083</v>
      </c>
      <c r="AY11" s="75" t="s">
        <v>3084</v>
      </c>
      <c r="AZ11" s="75" t="s">
        <v>3043</v>
      </c>
      <c r="BA11" s="75" t="s">
        <v>3040</v>
      </c>
      <c r="BC11" s="75" t="s">
        <v>3044</v>
      </c>
      <c r="BD11" s="75" t="s">
        <v>3033</v>
      </c>
      <c r="BE11" s="75" t="s">
        <v>3034</v>
      </c>
      <c r="BF11" s="71"/>
      <c r="BG11" s="71" t="s">
        <v>3085</v>
      </c>
      <c r="BH11" s="71" t="s">
        <v>3086</v>
      </c>
      <c r="BK11" s="75" t="s">
        <v>3087</v>
      </c>
      <c r="BL11" s="75" t="s">
        <v>3051</v>
      </c>
      <c r="BM11" s="75" t="s">
        <v>3088</v>
      </c>
      <c r="BN11" s="75" t="s">
        <v>3053</v>
      </c>
      <c r="BO11" s="75" t="s">
        <v>3054</v>
      </c>
      <c r="BP11" s="75" t="s">
        <v>3054</v>
      </c>
    </row>
    <row r="12" s="65" customFormat="1" ht="27" hidden="1" spans="5:68">
      <c r="E12" s="66"/>
      <c r="N12" s="67"/>
      <c r="O12" s="68"/>
      <c r="P12" s="68"/>
      <c r="R12" s="68"/>
      <c r="S12" s="69"/>
      <c r="U12" s="70"/>
      <c r="AC12" s="66"/>
      <c r="AD12" s="66"/>
      <c r="AJ12" s="67"/>
      <c r="BF12" s="71"/>
      <c r="BG12" s="71"/>
      <c r="BH12" s="71"/>
      <c r="BM12" s="75" t="s">
        <v>3089</v>
      </c>
      <c r="BN12" s="75" t="s">
        <v>3056</v>
      </c>
      <c r="BO12" s="75" t="s">
        <v>2868</v>
      </c>
      <c r="BP12" s="75" t="s">
        <v>2868</v>
      </c>
    </row>
    <row r="13" s="65" customFormat="1" ht="148.5" spans="1:68">
      <c r="A13" s="75" t="s">
        <v>3090</v>
      </c>
      <c r="B13" s="75" t="s">
        <v>2826</v>
      </c>
      <c r="C13" s="75" t="s">
        <v>3016</v>
      </c>
      <c r="D13" s="75" t="s">
        <v>3091</v>
      </c>
      <c r="E13" s="66" t="s">
        <v>3018</v>
      </c>
      <c r="F13" s="75" t="s">
        <v>3019</v>
      </c>
      <c r="G13" s="75" t="s">
        <v>3020</v>
      </c>
      <c r="J13" s="75" t="s">
        <v>3021</v>
      </c>
      <c r="K13" s="75" t="s">
        <v>3022</v>
      </c>
      <c r="L13" s="75" t="s">
        <v>3023</v>
      </c>
      <c r="M13" s="75" t="s">
        <v>3024</v>
      </c>
      <c r="N13" s="67"/>
      <c r="O13" s="68"/>
      <c r="P13" s="69">
        <v>2800</v>
      </c>
      <c r="Q13" s="75" t="s">
        <v>3025</v>
      </c>
      <c r="R13" s="68"/>
      <c r="S13" s="69"/>
      <c r="T13" s="75" t="s">
        <v>3026</v>
      </c>
      <c r="U13" s="70"/>
      <c r="V13" s="75" t="s">
        <v>3027</v>
      </c>
      <c r="W13" s="75" t="s">
        <v>3028</v>
      </c>
      <c r="X13" s="75" t="s">
        <v>2402</v>
      </c>
      <c r="Y13" s="75" t="s">
        <v>2404</v>
      </c>
      <c r="Z13" s="75" t="s">
        <v>2826</v>
      </c>
      <c r="AA13" s="75" t="s">
        <v>3025</v>
      </c>
      <c r="AB13" s="75" t="s">
        <v>3025</v>
      </c>
      <c r="AC13" s="66" t="s">
        <v>3092</v>
      </c>
      <c r="AD13" s="66" t="s">
        <v>3092</v>
      </c>
      <c r="AE13" s="75" t="s">
        <v>3093</v>
      </c>
      <c r="AF13" s="75" t="s">
        <v>3094</v>
      </c>
      <c r="AG13" s="75" t="s">
        <v>3025</v>
      </c>
      <c r="AJ13" s="67"/>
      <c r="AM13" s="75" t="s">
        <v>3033</v>
      </c>
      <c r="AN13" s="75" t="s">
        <v>3034</v>
      </c>
      <c r="AO13" s="75" t="s">
        <v>3035</v>
      </c>
      <c r="AP13" s="75" t="s">
        <v>3095</v>
      </c>
      <c r="AQ13" s="75" t="s">
        <v>3037</v>
      </c>
      <c r="AR13" s="75" t="s">
        <v>3038</v>
      </c>
      <c r="AS13" s="75" t="s">
        <v>3096</v>
      </c>
      <c r="AT13" s="75" t="s">
        <v>3097</v>
      </c>
      <c r="AU13" s="75" t="s">
        <v>3040</v>
      </c>
      <c r="AV13" s="75" t="s">
        <v>794</v>
      </c>
      <c r="AW13" s="75" t="s">
        <v>794</v>
      </c>
      <c r="AX13" s="75" t="s">
        <v>3098</v>
      </c>
      <c r="AY13" s="75" t="s">
        <v>3099</v>
      </c>
      <c r="AZ13" s="75" t="s">
        <v>3043</v>
      </c>
      <c r="BA13" s="75" t="s">
        <v>3040</v>
      </c>
      <c r="BC13" s="75" t="s">
        <v>3100</v>
      </c>
      <c r="BD13" s="75" t="s">
        <v>3101</v>
      </c>
      <c r="BE13" s="75" t="s">
        <v>3102</v>
      </c>
      <c r="BF13" s="71" t="s">
        <v>3103</v>
      </c>
      <c r="BG13" s="71" t="s">
        <v>3104</v>
      </c>
      <c r="BH13" s="71" t="s">
        <v>3105</v>
      </c>
      <c r="BI13" s="75" t="s">
        <v>3048</v>
      </c>
      <c r="BJ13" s="75" t="s">
        <v>3049</v>
      </c>
      <c r="BK13" s="75" t="s">
        <v>3106</v>
      </c>
      <c r="BL13" s="75" t="s">
        <v>3051</v>
      </c>
      <c r="BM13" s="75" t="s">
        <v>3107</v>
      </c>
      <c r="BN13" s="75" t="s">
        <v>3053</v>
      </c>
      <c r="BO13" s="75" t="s">
        <v>3054</v>
      </c>
      <c r="BP13" s="75" t="s">
        <v>3054</v>
      </c>
    </row>
    <row r="14" s="65" customFormat="1" ht="27" hidden="1" spans="5:68">
      <c r="E14" s="66"/>
      <c r="N14" s="67"/>
      <c r="O14" s="68"/>
      <c r="P14" s="68"/>
      <c r="R14" s="68"/>
      <c r="S14" s="69"/>
      <c r="U14" s="70"/>
      <c r="AC14" s="66"/>
      <c r="AD14" s="66"/>
      <c r="AJ14" s="67"/>
      <c r="BF14" s="71"/>
      <c r="BG14" s="71"/>
      <c r="BH14" s="71"/>
      <c r="BM14" s="75" t="s">
        <v>3108</v>
      </c>
      <c r="BN14" s="75" t="s">
        <v>3109</v>
      </c>
      <c r="BO14" s="75" t="s">
        <v>2876</v>
      </c>
      <c r="BP14" s="75" t="s">
        <v>2876</v>
      </c>
    </row>
    <row r="15" s="65" customFormat="1" ht="148.5" hidden="1" spans="1:68">
      <c r="A15" s="75" t="s">
        <v>3110</v>
      </c>
      <c r="B15" s="75" t="s">
        <v>3111</v>
      </c>
      <c r="C15" s="75" t="s">
        <v>3072</v>
      </c>
      <c r="D15" s="75" t="s">
        <v>3091</v>
      </c>
      <c r="E15" s="66" t="s">
        <v>3018</v>
      </c>
      <c r="F15" s="75" t="s">
        <v>3019</v>
      </c>
      <c r="G15" s="75" t="s">
        <v>3020</v>
      </c>
      <c r="J15" s="75" t="s">
        <v>3021</v>
      </c>
      <c r="K15" s="75" t="s">
        <v>3022</v>
      </c>
      <c r="L15" s="75" t="s">
        <v>3023</v>
      </c>
      <c r="M15" s="75" t="s">
        <v>3024</v>
      </c>
      <c r="N15" s="67"/>
      <c r="O15" s="68"/>
      <c r="P15" s="69">
        <v>2800</v>
      </c>
      <c r="Q15" s="75" t="s">
        <v>3025</v>
      </c>
      <c r="R15" s="68"/>
      <c r="S15" s="69"/>
      <c r="T15" s="75" t="s">
        <v>3026</v>
      </c>
      <c r="U15" s="70"/>
      <c r="V15" s="75" t="s">
        <v>3027</v>
      </c>
      <c r="W15" s="75" t="s">
        <v>3028</v>
      </c>
      <c r="X15" s="75" t="s">
        <v>2402</v>
      </c>
      <c r="Y15" s="75" t="s">
        <v>2404</v>
      </c>
      <c r="Z15" s="75" t="s">
        <v>3111</v>
      </c>
      <c r="AA15" s="75" t="s">
        <v>3025</v>
      </c>
      <c r="AB15" s="75" t="s">
        <v>3025</v>
      </c>
      <c r="AC15" s="66" t="s">
        <v>3092</v>
      </c>
      <c r="AD15" s="66" t="s">
        <v>3092</v>
      </c>
      <c r="AE15" s="75" t="s">
        <v>3093</v>
      </c>
      <c r="AF15" s="75" t="s">
        <v>3094</v>
      </c>
      <c r="AG15" s="75" t="s">
        <v>3025</v>
      </c>
      <c r="AJ15" s="67"/>
      <c r="AM15" s="75" t="s">
        <v>3033</v>
      </c>
      <c r="AN15" s="75" t="s">
        <v>3034</v>
      </c>
      <c r="AO15" s="75" t="s">
        <v>3060</v>
      </c>
      <c r="AP15" s="75" t="s">
        <v>3036</v>
      </c>
      <c r="AQ15" s="75" t="s">
        <v>3061</v>
      </c>
      <c r="AR15" s="75" t="s">
        <v>3062</v>
      </c>
      <c r="AS15" s="75" t="s">
        <v>3096</v>
      </c>
      <c r="AT15" s="75" t="s">
        <v>3097</v>
      </c>
      <c r="AU15" s="75" t="s">
        <v>3040</v>
      </c>
      <c r="AV15" s="75" t="s">
        <v>794</v>
      </c>
      <c r="AW15" s="75" t="s">
        <v>794</v>
      </c>
      <c r="AX15" s="75" t="s">
        <v>3098</v>
      </c>
      <c r="AY15" s="75" t="s">
        <v>3099</v>
      </c>
      <c r="AZ15" s="75" t="s">
        <v>3043</v>
      </c>
      <c r="BA15" s="75" t="s">
        <v>3040</v>
      </c>
      <c r="BC15" s="75" t="s">
        <v>3100</v>
      </c>
      <c r="BD15" s="75" t="s">
        <v>3101</v>
      </c>
      <c r="BE15" s="75" t="s">
        <v>3102</v>
      </c>
      <c r="BF15" s="71"/>
      <c r="BG15" s="71" t="s">
        <v>3112</v>
      </c>
      <c r="BH15" s="71" t="s">
        <v>3113</v>
      </c>
      <c r="BK15" s="75" t="s">
        <v>3114</v>
      </c>
      <c r="BL15" s="75" t="s">
        <v>3051</v>
      </c>
      <c r="BM15" s="75" t="s">
        <v>3115</v>
      </c>
      <c r="BN15" s="75" t="s">
        <v>3053</v>
      </c>
      <c r="BO15" s="75" t="s">
        <v>3054</v>
      </c>
      <c r="BP15" s="75" t="s">
        <v>3054</v>
      </c>
    </row>
    <row r="16" s="65" customFormat="1" ht="27" hidden="1" spans="5:68">
      <c r="E16" s="66"/>
      <c r="N16" s="67"/>
      <c r="O16" s="68"/>
      <c r="P16" s="68"/>
      <c r="R16" s="68"/>
      <c r="S16" s="69"/>
      <c r="U16" s="70"/>
      <c r="AC16" s="66"/>
      <c r="AD16" s="66"/>
      <c r="AJ16" s="67"/>
      <c r="BF16" s="71"/>
      <c r="BG16" s="71"/>
      <c r="BH16" s="71"/>
      <c r="BM16" s="75" t="s">
        <v>3116</v>
      </c>
      <c r="BN16" s="75" t="s">
        <v>3109</v>
      </c>
      <c r="BO16" s="75" t="s">
        <v>2876</v>
      </c>
      <c r="BP16" s="75" t="s">
        <v>2876</v>
      </c>
    </row>
    <row r="17" s="65" customFormat="1" ht="148.5" hidden="1" spans="1:68">
      <c r="A17" s="75" t="s">
        <v>3117</v>
      </c>
      <c r="B17" s="75" t="s">
        <v>3118</v>
      </c>
      <c r="C17" s="75" t="s">
        <v>3072</v>
      </c>
      <c r="D17" s="75" t="s">
        <v>3091</v>
      </c>
      <c r="E17" s="66" t="s">
        <v>3018</v>
      </c>
      <c r="F17" s="75" t="s">
        <v>3019</v>
      </c>
      <c r="G17" s="75" t="s">
        <v>3020</v>
      </c>
      <c r="J17" s="75" t="s">
        <v>3021</v>
      </c>
      <c r="K17" s="75" t="s">
        <v>3022</v>
      </c>
      <c r="L17" s="75" t="s">
        <v>3023</v>
      </c>
      <c r="M17" s="75" t="s">
        <v>3024</v>
      </c>
      <c r="N17" s="67"/>
      <c r="O17" s="68"/>
      <c r="P17" s="69">
        <v>2800</v>
      </c>
      <c r="Q17" s="75" t="s">
        <v>3025</v>
      </c>
      <c r="R17" s="68"/>
      <c r="S17" s="69"/>
      <c r="T17" s="75" t="s">
        <v>3026</v>
      </c>
      <c r="U17" s="70"/>
      <c r="V17" s="75" t="s">
        <v>3027</v>
      </c>
      <c r="W17" s="75" t="s">
        <v>3028</v>
      </c>
      <c r="X17" s="75" t="s">
        <v>2402</v>
      </c>
      <c r="Y17" s="75" t="s">
        <v>2404</v>
      </c>
      <c r="Z17" s="75" t="s">
        <v>3118</v>
      </c>
      <c r="AA17" s="75" t="s">
        <v>3025</v>
      </c>
      <c r="AB17" s="75" t="s">
        <v>3025</v>
      </c>
      <c r="AC17" s="66" t="s">
        <v>3092</v>
      </c>
      <c r="AD17" s="66" t="s">
        <v>3092</v>
      </c>
      <c r="AE17" s="75" t="s">
        <v>3093</v>
      </c>
      <c r="AF17" s="75" t="s">
        <v>3094</v>
      </c>
      <c r="AG17" s="75" t="s">
        <v>3032</v>
      </c>
      <c r="AJ17" s="67"/>
      <c r="AM17" s="75" t="s">
        <v>3033</v>
      </c>
      <c r="AN17" s="75" t="s">
        <v>3034</v>
      </c>
      <c r="AO17" s="75" t="s">
        <v>3060</v>
      </c>
      <c r="AP17" s="75" t="s">
        <v>3036</v>
      </c>
      <c r="AQ17" s="75" t="s">
        <v>3061</v>
      </c>
      <c r="AR17" s="75" t="s">
        <v>3062</v>
      </c>
      <c r="AS17" s="75" t="s">
        <v>3096</v>
      </c>
      <c r="AT17" s="75" t="s">
        <v>3097</v>
      </c>
      <c r="AU17" s="75" t="s">
        <v>3040</v>
      </c>
      <c r="AV17" s="75" t="s">
        <v>794</v>
      </c>
      <c r="AW17" s="75" t="s">
        <v>794</v>
      </c>
      <c r="AX17" s="75" t="s">
        <v>3119</v>
      </c>
      <c r="AY17" s="75" t="s">
        <v>3120</v>
      </c>
      <c r="AZ17" s="75" t="s">
        <v>3043</v>
      </c>
      <c r="BA17" s="75" t="s">
        <v>3040</v>
      </c>
      <c r="BC17" s="75" t="s">
        <v>3100</v>
      </c>
      <c r="BD17" s="75" t="s">
        <v>3101</v>
      </c>
      <c r="BE17" s="75" t="s">
        <v>3102</v>
      </c>
      <c r="BF17" s="71"/>
      <c r="BG17" s="71" t="s">
        <v>3121</v>
      </c>
      <c r="BH17" s="71" t="s">
        <v>3122</v>
      </c>
      <c r="BK17" s="75" t="s">
        <v>3123</v>
      </c>
      <c r="BL17" s="75" t="s">
        <v>3051</v>
      </c>
      <c r="BM17" s="75" t="s">
        <v>3124</v>
      </c>
      <c r="BN17" s="75" t="s">
        <v>3053</v>
      </c>
      <c r="BO17" s="75" t="s">
        <v>3054</v>
      </c>
      <c r="BP17" s="75" t="s">
        <v>3054</v>
      </c>
    </row>
    <row r="18" s="65" customFormat="1" ht="27" hidden="1" spans="5:68">
      <c r="E18" s="66"/>
      <c r="N18" s="67"/>
      <c r="O18" s="68"/>
      <c r="P18" s="68"/>
      <c r="R18" s="68"/>
      <c r="S18" s="69"/>
      <c r="U18" s="70"/>
      <c r="AC18" s="66"/>
      <c r="AD18" s="66"/>
      <c r="AJ18" s="67"/>
      <c r="BF18" s="71"/>
      <c r="BG18" s="71"/>
      <c r="BH18" s="71"/>
      <c r="BM18" s="75" t="s">
        <v>3125</v>
      </c>
      <c r="BN18" s="75" t="s">
        <v>3109</v>
      </c>
      <c r="BO18" s="75" t="s">
        <v>2876</v>
      </c>
      <c r="BP18" s="75" t="s">
        <v>2876</v>
      </c>
    </row>
  </sheetData>
  <autoFilter xmlns:etc="http://www.wps.cn/officeDocument/2017/etCustomData" ref="A1:BP18"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3126</v>
      </c>
      <c r="B1" s="60" t="s">
        <v>3127</v>
      </c>
      <c r="C1" s="60" t="s">
        <v>3128</v>
      </c>
      <c r="D1" s="60" t="s">
        <v>3129</v>
      </c>
      <c r="E1" s="60" t="s">
        <v>3130</v>
      </c>
      <c r="F1" s="61" t="s">
        <v>3131</v>
      </c>
      <c r="G1" s="62" t="s">
        <v>3132</v>
      </c>
      <c r="H1" s="63" t="s">
        <v>2975</v>
      </c>
      <c r="I1" s="1" t="s">
        <v>3133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3134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3135</v>
      </c>
      <c r="C1" s="27" t="s">
        <v>3136</v>
      </c>
      <c r="D1" s="27" t="s">
        <v>3137</v>
      </c>
      <c r="E1" s="27" t="s">
        <v>3138</v>
      </c>
      <c r="F1" s="27" t="s">
        <v>3139</v>
      </c>
      <c r="G1" s="27" t="s">
        <v>3140</v>
      </c>
      <c r="H1" s="27" t="s">
        <v>3141</v>
      </c>
      <c r="I1" s="27" t="s">
        <v>3142</v>
      </c>
      <c r="J1" s="27" t="s">
        <v>3143</v>
      </c>
      <c r="K1" s="27" t="s">
        <v>3144</v>
      </c>
      <c r="L1" s="27" t="s">
        <v>3145</v>
      </c>
      <c r="M1" s="27" t="s">
        <v>3146</v>
      </c>
    </row>
    <row r="2" s="53" customFormat="1" spans="1:13">
      <c r="A2" s="56" t="s">
        <v>3147</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3148</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3149</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3150</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3151</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3152</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3153</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3154</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3155</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3156</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3157</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3158</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3159</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3160</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3161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3162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3163</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3164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3165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3166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3167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3168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3169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3170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3171</v>
      </c>
      <c r="C1" s="26" t="s">
        <v>3172</v>
      </c>
      <c r="D1" s="27" t="s">
        <v>3135</v>
      </c>
      <c r="E1" s="27" t="s">
        <v>3136</v>
      </c>
      <c r="F1" s="27" t="s">
        <v>3137</v>
      </c>
      <c r="G1" s="27" t="s">
        <v>3138</v>
      </c>
      <c r="H1" s="27" t="s">
        <v>3139</v>
      </c>
      <c r="I1" s="27" t="s">
        <v>3140</v>
      </c>
      <c r="J1" s="27" t="s">
        <v>3141</v>
      </c>
      <c r="K1" s="27" t="s">
        <v>3142</v>
      </c>
      <c r="L1" s="27" t="s">
        <v>3143</v>
      </c>
      <c r="M1" s="27" t="s">
        <v>3144</v>
      </c>
      <c r="N1" s="27" t="s">
        <v>3145</v>
      </c>
      <c r="O1" s="27" t="s">
        <v>3146</v>
      </c>
    </row>
    <row r="2" ht="16.5" spans="1:15">
      <c r="A2" s="17" t="s">
        <v>3173</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3174</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3175</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3176</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3177</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3178</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3179</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3180</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3181</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3182</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3183</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3184</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3185</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3186</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3187</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3188</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3189</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3190</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3191</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3192</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3193</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3194</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3195</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3196</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3197</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3198</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3199</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3200</v>
      </c>
      <c r="B29" s="31"/>
      <c r="C29" s="31" t="s">
        <v>3201</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3202</v>
      </c>
      <c r="B30" s="31"/>
      <c r="C30" s="31" t="s">
        <v>3201</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3203</v>
      </c>
      <c r="B31" s="31"/>
      <c r="C31" s="31" t="s">
        <v>3201</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3204</v>
      </c>
      <c r="B32" s="31"/>
      <c r="C32" s="31" t="s">
        <v>3201</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3205</v>
      </c>
      <c r="B33" s="31"/>
      <c r="C33" s="31" t="s">
        <v>3201</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3206</v>
      </c>
      <c r="B34" s="31"/>
      <c r="C34" s="31" t="s">
        <v>3201</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3207</v>
      </c>
      <c r="B35" s="31"/>
      <c r="C35" s="31" t="s">
        <v>3201</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2875</v>
      </c>
      <c r="B36" s="31"/>
      <c r="C36" s="31" t="s">
        <v>3201</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3208</v>
      </c>
      <c r="B37" s="31"/>
      <c r="C37" s="31" t="s">
        <v>3201</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3209</v>
      </c>
      <c r="B38" s="31"/>
      <c r="C38" s="31" t="s">
        <v>3201</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3210</v>
      </c>
      <c r="B39" s="31"/>
      <c r="C39" s="31" t="s">
        <v>3201</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3211</v>
      </c>
      <c r="B40" s="31"/>
      <c r="C40" s="31" t="s">
        <v>3201</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3212</v>
      </c>
      <c r="B41" s="31"/>
      <c r="C41" s="31" t="s">
        <v>3201</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3213</v>
      </c>
      <c r="B42" s="31"/>
      <c r="C42" s="31" t="s">
        <v>3201</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3214</v>
      </c>
      <c r="B43" s="31"/>
      <c r="C43" s="31" t="s">
        <v>3201</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3215</v>
      </c>
      <c r="B44" s="31"/>
      <c r="C44" s="31" t="s">
        <v>3201</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3216</v>
      </c>
      <c r="B45" s="31"/>
      <c r="C45" s="31" t="s">
        <v>3201</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3217</v>
      </c>
      <c r="B46" s="31"/>
      <c r="C46" s="31" t="s">
        <v>3201</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3218</v>
      </c>
      <c r="B47" s="31"/>
      <c r="C47" s="31" t="s">
        <v>3201</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3219</v>
      </c>
      <c r="B48" s="31"/>
      <c r="C48" s="31" t="s">
        <v>3201</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3220</v>
      </c>
      <c r="B49" s="31"/>
      <c r="C49" s="31" t="s">
        <v>3201</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2867</v>
      </c>
      <c r="B50" s="31"/>
      <c r="C50" s="31" t="s">
        <v>3201</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3221</v>
      </c>
      <c r="B51" s="31"/>
      <c r="C51" s="31" t="s">
        <v>3201</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3222</v>
      </c>
      <c r="B52" s="31"/>
      <c r="C52" s="31" t="s">
        <v>3201</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3223</v>
      </c>
      <c r="B53" s="31"/>
      <c r="C53" s="31" t="s">
        <v>3201</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3224</v>
      </c>
      <c r="B54" s="31"/>
      <c r="C54" s="31" t="s">
        <v>3201</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3225</v>
      </c>
      <c r="B55" s="31"/>
      <c r="C55" s="31" t="s">
        <v>3201</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3226</v>
      </c>
      <c r="B56" s="31"/>
      <c r="C56" s="31" t="s">
        <v>3201</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3227</v>
      </c>
      <c r="B57" s="31"/>
      <c r="C57" s="31" t="s">
        <v>3201</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3228</v>
      </c>
      <c r="B58" s="31"/>
      <c r="C58" s="31" t="s">
        <v>3201</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3229</v>
      </c>
      <c r="B59" s="31"/>
      <c r="C59" s="31" t="s">
        <v>3201</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3230</v>
      </c>
      <c r="B60" s="31"/>
      <c r="C60" s="31" t="s">
        <v>3201</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3231</v>
      </c>
      <c r="B61" s="31"/>
      <c r="C61" s="31" t="s">
        <v>3201</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3232</v>
      </c>
      <c r="B62" s="31"/>
      <c r="C62" s="31" t="s">
        <v>3201</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3233</v>
      </c>
      <c r="B63" s="31"/>
      <c r="C63" s="31" t="s">
        <v>3201</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3234</v>
      </c>
      <c r="B64" s="31"/>
      <c r="C64" s="31" t="s">
        <v>3201</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3235</v>
      </c>
      <c r="B65" s="31"/>
      <c r="C65" s="31" t="s">
        <v>3201</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3236</v>
      </c>
      <c r="B66" s="31"/>
      <c r="C66" s="31" t="s">
        <v>3201</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3237</v>
      </c>
      <c r="B67" s="31"/>
      <c r="C67" s="31" t="s">
        <v>3201</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3238</v>
      </c>
      <c r="B68" s="31"/>
      <c r="C68" s="31" t="s">
        <v>3201</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3239</v>
      </c>
      <c r="B69" s="31"/>
      <c r="C69" s="31" t="s">
        <v>3201</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3240</v>
      </c>
      <c r="B70" s="31"/>
      <c r="C70" s="31" t="s">
        <v>3201</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3241</v>
      </c>
      <c r="B71" s="31"/>
      <c r="C71" s="31" t="s">
        <v>3201</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3242</v>
      </c>
      <c r="B72" s="31"/>
      <c r="C72" s="31" t="s">
        <v>3201</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3243</v>
      </c>
      <c r="B73" s="31"/>
      <c r="C73" s="31" t="s">
        <v>3201</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3244</v>
      </c>
      <c r="B74" s="31"/>
      <c r="C74" s="31" t="s">
        <v>3201</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3245</v>
      </c>
      <c r="B75" s="31"/>
      <c r="C75" s="31" t="s">
        <v>3201</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3246</v>
      </c>
      <c r="B76" s="31"/>
      <c r="C76" s="31" t="s">
        <v>3201</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3247</v>
      </c>
      <c r="B77" s="31"/>
      <c r="C77" s="31" t="s">
        <v>3201</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3248</v>
      </c>
      <c r="B78" s="31"/>
      <c r="C78" s="31" t="s">
        <v>3201</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3249</v>
      </c>
      <c r="B79" s="31"/>
      <c r="C79" s="31" t="s">
        <v>3201</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3250</v>
      </c>
      <c r="B80" s="31"/>
      <c r="C80" s="31" t="s">
        <v>3201</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3251</v>
      </c>
      <c r="B81" s="31"/>
      <c r="C81" s="31" t="s">
        <v>3201</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3252</v>
      </c>
      <c r="B82" s="31"/>
      <c r="C82" s="31" t="s">
        <v>3201</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3253</v>
      </c>
      <c r="B83" s="31"/>
      <c r="C83" s="31" t="s">
        <v>3201</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3254</v>
      </c>
      <c r="B84" s="31"/>
      <c r="C84" s="31" t="s">
        <v>3201</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3255</v>
      </c>
      <c r="B85" s="31"/>
      <c r="C85" s="31" t="s">
        <v>3201</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3256</v>
      </c>
      <c r="B86" s="31"/>
      <c r="C86" s="31" t="s">
        <v>3201</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3257</v>
      </c>
      <c r="B87" s="31"/>
      <c r="C87" s="31" t="s">
        <v>3201</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3258</v>
      </c>
      <c r="B88" s="31"/>
      <c r="C88" s="31" t="s">
        <v>3201</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3259</v>
      </c>
      <c r="B89" s="31"/>
      <c r="C89" s="31" t="s">
        <v>3201</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3260</v>
      </c>
      <c r="B90" s="31"/>
      <c r="C90" s="31" t="s">
        <v>3201</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3261</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3262</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3263</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3264</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3265</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3266</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3267</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3268</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3269</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3270</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3271</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3272</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3273</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3274</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3275</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3276</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3277</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3278</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3279</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3280</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3281</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3282</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3283</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3284</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3285</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3286</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3287</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3288</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3289</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3290</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3291</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3292</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3293</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3294</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3295</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3296</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3297</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3298</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3299</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3300</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3301</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3302</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3303</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3304</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3305</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3306</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3307</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3308</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3309</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3310</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3311</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3312</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3313</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3314</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3315</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3316</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3317</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3318</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3319</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3320</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3321</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3322</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3323</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3324</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3325</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3326</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3327</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3328</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3329</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3330</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3331</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3332</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3333</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3334</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3335</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3336</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3337</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3338</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3339</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3340</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3341</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3342</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3343</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3344</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3345</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3346</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3347</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3348</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3349</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3350</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3351</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3352</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3353</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3354</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3355</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3356</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3357</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3358</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3359</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3360</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3361</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3362</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3363</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3364</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3365</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3366</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3367</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3368</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3369</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3370</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3371</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3372</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3373</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3374</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3375</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3376</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3377</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3378</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3379</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3380</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3381</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3382</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3383</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3384</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3385</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3386</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3387</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3388</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3389</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3390</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3391</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3392</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3393</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3394</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3395</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3396</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3397</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3398</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3399</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3400</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3401</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3402</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3403</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3404</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3405</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3406</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3407</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3408</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3409</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3410</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3411</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3412</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3413</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3414</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3415</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3416</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3417</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3418</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3419</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3420</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3421</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3422</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3423</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3424</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3425</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3426</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3427</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3428</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3429</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3430</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3431</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3432</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3433</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3434</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3435</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3436</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3437</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3438</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3439</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3440</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3441</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3442</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3443</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3444</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3445</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3446</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3447</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3448</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3449</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3450</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3451</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3452</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3453</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3454</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3455</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3456</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3457</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3458</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3459</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3460</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3461</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3462</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3463</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3464</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3465</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3466</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3467</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3468</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3469</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3470</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3471</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3472</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3473</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3474</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3475</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3476</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3477</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3478</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3479</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3480</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3481</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3482</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3483</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3484</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3485</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3486</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3487</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3488</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3489</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3490</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3491</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3492</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3493</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3494</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3495</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3496</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3497</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3498</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3499</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3500</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3501</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3502</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3503</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3504</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3505</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3506</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3507</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3508</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3509</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3510</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3511</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3512</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3513</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3514</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3515</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3516</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3517</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3518</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3519</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3520</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3521</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3522</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3523</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3524</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3525</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3526</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3527</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3528</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3529</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3530</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3531</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3532</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3533</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3534</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3535</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3536</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3537</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3538</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3539</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3540</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3541</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3542</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3543</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3544</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3545</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3546</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3547</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3548</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3549</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3550</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3551</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3552</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3553</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3554</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3555</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3556</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3557</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3558</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3559</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3560</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3561</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3562</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3563</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3564</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3565</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3566</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3567</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3568</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3569</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3570</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3571</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3572</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3573</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3574</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3575</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3576</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3577</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3578</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3579</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3580</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3581</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3582</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3583</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3584</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3585</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3586</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3587</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3588</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3589</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3590</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3591</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3592</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3593</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3594</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3595</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3596</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3597</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3598</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3599</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3600</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3601</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3602</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3603</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3604</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3605</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3606</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3607</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3608</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3609</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3610</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3611</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3612</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3613</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3614</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3615</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3616</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3617</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3618</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3619</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3620</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3621</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3622</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3623</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3624</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3625</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3626</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3627</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3628</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3629</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3630</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3631</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3632</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3633</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3634</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3635</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3636</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3637</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3638</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3639</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3640</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3641</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3642</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3643</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3644</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3645</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3646</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3647</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3648</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3649</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3650</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3651</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3652</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3653</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3654</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3655</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3656</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3657</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3658</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3659</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3660</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3661</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3662</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3663</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3664</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3665</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3666</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3667</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3668</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3669</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3670</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3671</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3672</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3673</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3674</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3675</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3676</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3677</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3678</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3679</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3680</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3681</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3682</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3683</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3684</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3685</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3686</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3687</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3688</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3689</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3690</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3691</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3692</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3693</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3694</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3695</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3696</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3697</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3698</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3699</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3700</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3701</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3702</v>
      </c>
      <c r="B532" s="47" t="s">
        <v>1726</v>
      </c>
      <c r="C532" s="48" t="s">
        <v>3703</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3704</v>
      </c>
      <c r="B533" s="47" t="s">
        <v>1726</v>
      </c>
      <c r="C533" s="48" t="s">
        <v>3703</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3705</v>
      </c>
      <c r="B534" s="47" t="s">
        <v>1726</v>
      </c>
      <c r="C534" s="48" t="s">
        <v>3703</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3706</v>
      </c>
      <c r="B535" s="47" t="s">
        <v>1726</v>
      </c>
      <c r="C535" s="48" t="s">
        <v>3703</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3707</v>
      </c>
      <c r="B536" s="47" t="s">
        <v>1726</v>
      </c>
      <c r="C536" s="48" t="s">
        <v>3703</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3708</v>
      </c>
      <c r="B537" s="47" t="s">
        <v>1726</v>
      </c>
      <c r="C537" s="48" t="s">
        <v>3703</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3709</v>
      </c>
      <c r="B538" s="47" t="s">
        <v>1726</v>
      </c>
      <c r="C538" s="48" t="s">
        <v>3703</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3710</v>
      </c>
      <c r="B539" s="47" t="s">
        <v>1726</v>
      </c>
      <c r="C539" s="48" t="s">
        <v>3703</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3711</v>
      </c>
      <c r="B540" s="47" t="s">
        <v>1726</v>
      </c>
      <c r="C540" s="48" t="s">
        <v>3703</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3712</v>
      </c>
      <c r="B541" s="47" t="s">
        <v>1726</v>
      </c>
      <c r="C541" s="48" t="s">
        <v>3703</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3713</v>
      </c>
      <c r="B542" s="47" t="s">
        <v>1726</v>
      </c>
      <c r="C542" s="48" t="s">
        <v>3703</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3714</v>
      </c>
      <c r="B543" s="47" t="s">
        <v>1726</v>
      </c>
      <c r="C543" s="48" t="s">
        <v>3703</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3715</v>
      </c>
      <c r="B544" s="47" t="s">
        <v>1726</v>
      </c>
      <c r="C544" s="48" t="s">
        <v>3703</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3716</v>
      </c>
      <c r="B545" s="47" t="s">
        <v>1726</v>
      </c>
      <c r="C545" s="48" t="s">
        <v>3703</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3717</v>
      </c>
      <c r="B546" s="47" t="s">
        <v>1726</v>
      </c>
      <c r="C546" s="48" t="s">
        <v>3703</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3718</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3719</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3720</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3721</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3722</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3723</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3724</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3725</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3726</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3727</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3728</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3729</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3730</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3731</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3732</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3733</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3734</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3735</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3736</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3737</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3738</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3739</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3740</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3741</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3742</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3743</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3744</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3745</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3746</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3747</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3748</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3749</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3750</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3751</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3752</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3753</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3754</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3755</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3756</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3757</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3758</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3759</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3760</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3761</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3762</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3763</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3764</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3765</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3766</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3767</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3768</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3769</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3770</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3771</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3772</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3773</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3774</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3775</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3776</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3777</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3778</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3779</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3780</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3781</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3782</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3783</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3784</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3785</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3786</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3787</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3788</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3789</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3790</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3791</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3792</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3793</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3794</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3795</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3796</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3797</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3798</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3799</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3800</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3801</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3802</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3803</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3804</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3805</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3806</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3807</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3808</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3809</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3810</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3811</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3812</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3813</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3814</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3815</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3816</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3817</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3818</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3819</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3820</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3821</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3822</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3823</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3824</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3825</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3826</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3827</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3828</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3829</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3830</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3831</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3832</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3833</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3834</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3835</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3836</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3837</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3838</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3839</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3840</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3841</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3842</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3843</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3844</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3845</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3846</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3847</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3848</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3849</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3850</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3851</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3852</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3853</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3854</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3855</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3856</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3857</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3858</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3859</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3860</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3861</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3862</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3863</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3864</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3865</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3866</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3867</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3868</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3869</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3870</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3871</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3872</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3873</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3874</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3875</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3876</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3877</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3878</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3879</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3880</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3881</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3882</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3883</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3884</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3885</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3886</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3887</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3888</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3889</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3890</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3891</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3892</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3893</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3894</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3895</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3896</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3897</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3898</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3899</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3900</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3901</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3902</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3903</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3904</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3905</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3906</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3907</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3908</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3909</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3910</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3911</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3912</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3913</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3914</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3915</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3916</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3917</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3918</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3919</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3920</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3921</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3922</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3923</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3924</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3925</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3926</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3927</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3928</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3929</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3930</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3931</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3932</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3933</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3934</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3935</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3936</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3937</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3938</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3939</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3940</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3941</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3942</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3943</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3944</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3945</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3946</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3947</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3948</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3949</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3950</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3951</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3952</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3953</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3954</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3955</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3956</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3957</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3958</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3959</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3960</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3961</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3962</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3963</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3964</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3965</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3966</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3967</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3968</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3969</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3970</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3971</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3972</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3973</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3974</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3975</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3976</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3977</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3978</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3979</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3980</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3981</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3982</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3983</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3984</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3985</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3986</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3987</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3988</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3989</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3990</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3991</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3992</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3993</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3994</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3995</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3996</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3997</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3998</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3999</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4000</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4001</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4002</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4003</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4004</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4005</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4006</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4007</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4008</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4009</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4010</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4011</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4012</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4013</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4014</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4015</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4016</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4017</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4018</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4019</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4020</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4021</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4022</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4023</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4024</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4025</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4026</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4027</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4028</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4029</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4030</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4031</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4032</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4033</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4034</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4035</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4036</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4037</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4038</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4039</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4040</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4041</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4042</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4043</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4044</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4045</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4046</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4047</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4048</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4049</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4050</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4051</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4052</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4053</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4054</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4055</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4056</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4057</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4058</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4059</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4060</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4061</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4062</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4063</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4064</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4065</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4066</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4067</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4068</v>
      </c>
      <c r="B897" s="50" t="s">
        <v>1726</v>
      </c>
      <c r="C897" s="51" t="s">
        <v>3703</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4069</v>
      </c>
      <c r="B898" s="50" t="s">
        <v>1726</v>
      </c>
      <c r="C898" s="51" t="s">
        <v>3703</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4070</v>
      </c>
      <c r="B899" s="50" t="s">
        <v>1726</v>
      </c>
      <c r="C899" s="51" t="s">
        <v>3703</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4071</v>
      </c>
      <c r="B900" s="50" t="s">
        <v>1726</v>
      </c>
      <c r="C900" s="51" t="s">
        <v>3703</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4072</v>
      </c>
      <c r="B901" s="50" t="s">
        <v>1726</v>
      </c>
      <c r="C901" s="51" t="s">
        <v>3703</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4073</v>
      </c>
      <c r="B902" s="50" t="s">
        <v>1726</v>
      </c>
      <c r="C902" s="51" t="s">
        <v>3703</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4074</v>
      </c>
      <c r="B903" s="50" t="s">
        <v>1726</v>
      </c>
      <c r="C903" s="51" t="s">
        <v>3703</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4075</v>
      </c>
      <c r="B904" s="50" t="s">
        <v>1726</v>
      </c>
      <c r="C904" s="51" t="s">
        <v>3703</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4076</v>
      </c>
      <c r="B905" s="50" t="s">
        <v>1726</v>
      </c>
      <c r="C905" s="51" t="s">
        <v>3703</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4077</v>
      </c>
      <c r="B906" s="50" t="s">
        <v>1726</v>
      </c>
      <c r="C906" s="51" t="s">
        <v>3703</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4078</v>
      </c>
      <c r="B907" s="50" t="s">
        <v>1726</v>
      </c>
      <c r="C907" s="51" t="s">
        <v>3703</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4079</v>
      </c>
      <c r="B908" s="50" t="s">
        <v>1726</v>
      </c>
      <c r="C908" s="51" t="s">
        <v>3703</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4080</v>
      </c>
      <c r="B909" s="50" t="s">
        <v>1726</v>
      </c>
      <c r="C909" s="51" t="s">
        <v>3703</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4081</v>
      </c>
      <c r="B910" s="50" t="s">
        <v>1726</v>
      </c>
      <c r="C910" s="51" t="s">
        <v>3703</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4082</v>
      </c>
      <c r="B911" s="50" t="s">
        <v>1726</v>
      </c>
      <c r="C911" s="51" t="s">
        <v>3703</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4083</v>
      </c>
      <c r="B912" s="50" t="s">
        <v>1726</v>
      </c>
      <c r="C912" s="51" t="s">
        <v>3703</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4084</v>
      </c>
      <c r="B913" s="50" t="s">
        <v>1726</v>
      </c>
      <c r="C913" s="51" t="s">
        <v>3703</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4085</v>
      </c>
      <c r="B914" s="50" t="s">
        <v>1726</v>
      </c>
      <c r="C914" s="51" t="s">
        <v>3703</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4086</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4087</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4088</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4089</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4090</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4091</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4092</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4093</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4094</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4095</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4096</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4097</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4098</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4099</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4100</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4101</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4102</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4103</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4104</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4105</v>
      </c>
      <c r="C934" s="42" t="s">
        <v>3201</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4106</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4107</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4108</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4109</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4110</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4111</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4112</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4113</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4114</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4115</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4116</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4117</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4118</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4119</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4120</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4121</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4122</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4123</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4124</v>
      </c>
      <c r="B1" s="43" t="s">
        <v>4125</v>
      </c>
      <c r="C1" s="44" t="s">
        <v>4126</v>
      </c>
      <c r="D1" s="44" t="s">
        <v>4127</v>
      </c>
      <c r="E1" s="44" t="s">
        <v>4128</v>
      </c>
      <c r="F1" s="44" t="s">
        <v>4129</v>
      </c>
      <c r="G1" s="43" t="s">
        <v>4130</v>
      </c>
      <c r="H1" s="43" t="s">
        <v>4131</v>
      </c>
      <c r="I1" s="1"/>
      <c r="J1" s="1"/>
      <c r="K1" s="1"/>
      <c r="L1" s="1"/>
      <c r="M1" s="1"/>
    </row>
    <row r="2" spans="1:8">
      <c r="A2" s="19" t="str">
        <f>'2 过程管理表单'!$BE$1</f>
        <v>2025年</v>
      </c>
      <c r="B2" s="43" t="s">
        <v>766</v>
      </c>
      <c r="C2" s="44">
        <f>'2 过程管理表单'!Z4</f>
        <v>0</v>
      </c>
      <c r="D2" s="44">
        <f>C2</f>
        <v>0</v>
      </c>
      <c r="E2" s="45">
        <f>'2 过程管理表单'!X4</f>
        <v>69259.3864908103</v>
      </c>
      <c r="F2" s="45">
        <f>E2</f>
        <v>69259.3864908103</v>
      </c>
      <c r="G2" s="46">
        <f>表1[[#This Row],[发生费用]]/表1[[#This Row],[预算费用]]</f>
        <v>0</v>
      </c>
      <c r="H2" s="46">
        <f>表1[[#This Row],[累计发生费用]]/表1[[#This Row],[累计预算费用]]</f>
        <v>0</v>
      </c>
    </row>
    <row r="3" spans="1:8">
      <c r="A3" s="19" t="str">
        <f>'2 过程管理表单'!$BE$1</f>
        <v>2025年</v>
      </c>
      <c r="B3" s="43" t="s">
        <v>767</v>
      </c>
      <c r="C3" s="44">
        <f>'2 过程管理表单'!AC4</f>
        <v>0</v>
      </c>
      <c r="D3" s="44">
        <f>D2+C3</f>
        <v>0</v>
      </c>
      <c r="E3" s="45">
        <f>'2 过程管理表单'!AA4</f>
        <v>49201.4717738292</v>
      </c>
      <c r="F3" s="45">
        <f>F2+E3</f>
        <v>118460.858264639</v>
      </c>
      <c r="G3" s="46">
        <f>表1[[#This Row],[发生费用]]/表1[[#This Row],[预算费用]]</f>
        <v>0</v>
      </c>
      <c r="H3" s="46">
        <f>表1[[#This Row],[累计发生费用]]/表1[[#This Row],[累计预算费用]]</f>
        <v>0</v>
      </c>
    </row>
    <row r="4" spans="1:8">
      <c r="A4" s="19" t="str">
        <f>'2 过程管理表单'!$BE$1</f>
        <v>2025年</v>
      </c>
      <c r="B4" s="43" t="s">
        <v>768</v>
      </c>
      <c r="C4" s="44">
        <f>'2 过程管理表单'!AF4</f>
        <v>1177.40216450216</v>
      </c>
      <c r="D4" s="44">
        <f t="shared" ref="D4:D13" si="0">D3+C4</f>
        <v>1177.40216450216</v>
      </c>
      <c r="E4" s="45">
        <f>'2 过程管理表单'!AD4</f>
        <v>49201.4717738292</v>
      </c>
      <c r="F4" s="45">
        <f t="shared" ref="F4:F13" si="1">F3+E4</f>
        <v>167662.330038469</v>
      </c>
      <c r="G4" s="46">
        <f>表1[[#This Row],[发生费用]]/表1[[#This Row],[预算费用]]</f>
        <v>0.0239302224517689</v>
      </c>
      <c r="H4" s="46">
        <f>表1[[#This Row],[累计发生费用]]/表1[[#This Row],[累计预算费用]]</f>
        <v>0.00702246094416089</v>
      </c>
    </row>
    <row r="5" spans="1:8">
      <c r="A5" s="19" t="str">
        <f>'2 过程管理表单'!$BE$1</f>
        <v>2025年</v>
      </c>
      <c r="B5" s="43" t="s">
        <v>769</v>
      </c>
      <c r="C5" s="44">
        <f>'2 过程管理表单'!AI4</f>
        <v>1795.41558441558</v>
      </c>
      <c r="D5" s="44">
        <f t="shared" si="0"/>
        <v>2972.81774891775</v>
      </c>
      <c r="E5" s="45">
        <f>'2 过程管理表单'!AG4</f>
        <v>49201.4717738292</v>
      </c>
      <c r="F5" s="45">
        <f t="shared" si="1"/>
        <v>216863.801812298</v>
      </c>
      <c r="G5" s="46">
        <f>表1[[#This Row],[发生费用]]/表1[[#This Row],[预算费用]]</f>
        <v>0.0364910950767652</v>
      </c>
      <c r="H5" s="46">
        <f>表1[[#This Row],[累计发生费用]]/表1[[#This Row],[累计预算费用]]</f>
        <v>0.0137082248124139</v>
      </c>
    </row>
    <row r="6" spans="1:8">
      <c r="A6" s="19" t="str">
        <f>'2 过程管理表单'!$BE$1</f>
        <v>2025年</v>
      </c>
      <c r="B6" s="43" t="s">
        <v>770</v>
      </c>
      <c r="C6" s="44">
        <f>'2 过程管理表单'!AL4</f>
        <v>1855.26277056277</v>
      </c>
      <c r="D6" s="44">
        <f t="shared" si="0"/>
        <v>4828.08051948052</v>
      </c>
      <c r="E6" s="45">
        <f>'2 过程管理表单'!AJ4</f>
        <v>49201.4717738292</v>
      </c>
      <c r="F6" s="45">
        <f t="shared" si="1"/>
        <v>266065.273586127</v>
      </c>
      <c r="G6" s="46">
        <f>表1[[#This Row],[发生费用]]/表1[[#This Row],[预算费用]]</f>
        <v>0.0377074649126575</v>
      </c>
      <c r="H6" s="46">
        <f>表1[[#This Row],[累计发生费用]]/表1[[#This Row],[累计预算费用]]</f>
        <v>0.0181462257528232</v>
      </c>
    </row>
    <row r="7" spans="1:8">
      <c r="A7" s="19" t="str">
        <f>'2 过程管理表单'!$BE$1</f>
        <v>2025年</v>
      </c>
      <c r="B7" s="43" t="s">
        <v>771</v>
      </c>
      <c r="C7" s="44">
        <f>'2 过程管理表单'!AO4</f>
        <v>1795.41558441558</v>
      </c>
      <c r="D7" s="44">
        <f t="shared" si="0"/>
        <v>6623.4961038961</v>
      </c>
      <c r="E7" s="45">
        <f>'2 过程管理表单'!AM4</f>
        <v>49201.4717738292</v>
      </c>
      <c r="F7" s="45">
        <f t="shared" si="1"/>
        <v>315266.745359956</v>
      </c>
      <c r="G7" s="46">
        <f>表1[[#This Row],[发生费用]]/表1[[#This Row],[预算费用]]</f>
        <v>0.0364910950767652</v>
      </c>
      <c r="H7" s="46">
        <f>表1[[#This Row],[累计发生费用]]/表1[[#This Row],[累计预算费用]]</f>
        <v>0.0210091809598685</v>
      </c>
    </row>
    <row r="8" spans="1:8">
      <c r="A8" s="19" t="str">
        <f>'2 过程管理表单'!$BE$1</f>
        <v>2025年</v>
      </c>
      <c r="B8" s="43" t="s">
        <v>772</v>
      </c>
      <c r="C8" s="44">
        <f>'2 过程管理表单'!AR4</f>
        <v>1855.26277056277</v>
      </c>
      <c r="D8" s="44">
        <f t="shared" si="0"/>
        <v>8478.75887445888</v>
      </c>
      <c r="E8" s="45">
        <f>'2 过程管理表单'!AP4</f>
        <v>49201.4717738292</v>
      </c>
      <c r="F8" s="45">
        <f t="shared" si="1"/>
        <v>364468.217133785</v>
      </c>
      <c r="G8" s="46">
        <f>表1[[#This Row],[发生费用]]/表1[[#This Row],[预算费用]]</f>
        <v>0.0377074649126575</v>
      </c>
      <c r="H8" s="46">
        <f>表1[[#This Row],[累计发生费用]]/表1[[#This Row],[累计预算费用]]</f>
        <v>0.0232633696873123</v>
      </c>
    </row>
    <row r="9" spans="1:8">
      <c r="A9" s="19" t="str">
        <f>'2 过程管理表单'!$BE$1</f>
        <v>2025年</v>
      </c>
      <c r="B9" s="43" t="s">
        <v>773</v>
      </c>
      <c r="C9" s="44">
        <f>'2 过程管理表单'!AU4</f>
        <v>1855.26277056277</v>
      </c>
      <c r="D9" s="44">
        <f t="shared" si="0"/>
        <v>10334.0216450217</v>
      </c>
      <c r="E9" s="45">
        <f>'2 过程管理表单'!AS4</f>
        <v>49201.4717738292</v>
      </c>
      <c r="F9" s="45">
        <f t="shared" si="1"/>
        <v>413669.688907615</v>
      </c>
      <c r="G9" s="46">
        <f>表1[[#This Row],[发生费用]]/表1[[#This Row],[预算费用]]</f>
        <v>0.0377074649126575</v>
      </c>
      <c r="H9" s="46">
        <f>表1[[#This Row],[累计发生费用]]/表1[[#This Row],[累计预算费用]]</f>
        <v>0.0249813363708396</v>
      </c>
    </row>
    <row r="10" spans="1:8">
      <c r="A10" s="19" t="str">
        <f>'2 过程管理表单'!$BE$1</f>
        <v>2025年</v>
      </c>
      <c r="B10" s="43" t="s">
        <v>774</v>
      </c>
      <c r="C10" s="44">
        <f>'2 过程管理表单'!AX4</f>
        <v>1795.41558441558</v>
      </c>
      <c r="D10" s="44">
        <f t="shared" si="0"/>
        <v>12129.4372294372</v>
      </c>
      <c r="E10" s="45">
        <f>'2 过程管理表单'!AV4</f>
        <v>49201.4717738292</v>
      </c>
      <c r="F10" s="45">
        <f t="shared" si="1"/>
        <v>462871.160681444</v>
      </c>
      <c r="G10" s="46">
        <f>表1[[#This Row],[发生费用]]/表1[[#This Row],[预算费用]]</f>
        <v>0.0364910950767652</v>
      </c>
      <c r="H10" s="46">
        <f>表1[[#This Row],[累计发生费用]]/表1[[#This Row],[累计预算费用]]</f>
        <v>0.0262047806382668</v>
      </c>
    </row>
    <row r="11" spans="1:8">
      <c r="A11" s="19" t="str">
        <f>'2 过程管理表单'!$BE$1</f>
        <v>2025年</v>
      </c>
      <c r="B11" s="43" t="s">
        <v>775</v>
      </c>
      <c r="C11" s="44">
        <f>'2 过程管理表单'!BA4</f>
        <v>1855.26277056277</v>
      </c>
      <c r="D11" s="44">
        <f t="shared" si="0"/>
        <v>13984.7</v>
      </c>
      <c r="E11" s="45">
        <f>'2 过程管理表单'!AY4</f>
        <v>49201.4717738292</v>
      </c>
      <c r="F11" s="45">
        <f t="shared" si="1"/>
        <v>512072.632455273</v>
      </c>
      <c r="G11" s="46">
        <f>表1[[#This Row],[发生费用]]/表1[[#This Row],[预算费用]]</f>
        <v>0.0377074649126575</v>
      </c>
      <c r="H11" s="46">
        <f>表1[[#This Row],[累计发生费用]]/表1[[#This Row],[累计预算费用]]</f>
        <v>0.0273099929846798</v>
      </c>
    </row>
    <row r="12" spans="1:8">
      <c r="A12" s="19" t="str">
        <f>'2 过程管理表单'!$BE$1</f>
        <v>2025年</v>
      </c>
      <c r="B12" s="43" t="s">
        <v>776</v>
      </c>
      <c r="C12" s="44">
        <f>'2 过程管理表单'!BD4</f>
        <v>0</v>
      </c>
      <c r="D12" s="44">
        <f t="shared" si="0"/>
        <v>13984.7</v>
      </c>
      <c r="E12" s="45">
        <f>'2 过程管理表单'!BB4</f>
        <v>49201.4717738292</v>
      </c>
      <c r="F12" s="45">
        <f t="shared" si="1"/>
        <v>561274.104229102</v>
      </c>
      <c r="G12" s="46">
        <f>表1[[#This Row],[发生费用]]/表1[[#This Row],[预算费用]]</f>
        <v>0</v>
      </c>
      <c r="H12" s="46">
        <f>表1[[#This Row],[累计发生费用]]/表1[[#This Row],[累计预算费用]]</f>
        <v>0.0249159900566011</v>
      </c>
    </row>
    <row r="13" spans="1:8">
      <c r="A13" s="19" t="str">
        <f>'2 过程管理表单'!$BE$1</f>
        <v>2025年</v>
      </c>
      <c r="B13" s="43" t="s">
        <v>777</v>
      </c>
      <c r="C13" s="44">
        <f>'2 过程管理表单'!BG4</f>
        <v>0</v>
      </c>
      <c r="D13" s="44">
        <f t="shared" si="0"/>
        <v>13984.7</v>
      </c>
      <c r="E13" s="45">
        <f>'2 过程管理表单'!BE4</f>
        <v>49201.4717738292</v>
      </c>
      <c r="F13" s="45">
        <f t="shared" si="1"/>
        <v>610475.576002931</v>
      </c>
      <c r="G13" s="46">
        <f>表1[[#This Row],[发生费用]]/表1[[#This Row],[预算费用]]</f>
        <v>0</v>
      </c>
      <c r="H13" s="46">
        <f>表1[[#This Row],[累计发生费用]]/表1[[#This Row],[累计预算费用]]</f>
        <v>0.022907877972063</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Q18" sqref="Q18"/>
    </sheetView>
  </sheetViews>
  <sheetFormatPr defaultColWidth="9" defaultRowHeight="13.5"/>
  <cols>
    <col min="1" max="1" width="14.375" customWidth="1"/>
    <col min="2" max="2" width="23.5" customWidth="1"/>
    <col min="3" max="14" width="12.625"/>
  </cols>
  <sheetData>
    <row r="1" spans="1:14">
      <c r="A1" s="11" t="s">
        <v>4132</v>
      </c>
      <c r="B1" s="17" t="s">
        <v>4133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4134</v>
      </c>
      <c r="C2">
        <f>'2 过程管理表单'!Z5</f>
        <v>0</v>
      </c>
      <c r="D2">
        <f>'2 过程管理表单'!AC5</f>
        <v>0</v>
      </c>
      <c r="E2">
        <f>'2 过程管理表单'!AF5</f>
        <v>1177.40216450216</v>
      </c>
      <c r="F2">
        <f>'2 过程管理表单'!AI5</f>
        <v>1795.41558441558</v>
      </c>
      <c r="G2">
        <f>'2 过程管理表单'!AL5</f>
        <v>1855.26277056277</v>
      </c>
      <c r="H2">
        <f>'2 过程管理表单'!AO5</f>
        <v>1795.41558441558</v>
      </c>
      <c r="I2">
        <f>'2 过程管理表单'!AR5</f>
        <v>1855.26277056277</v>
      </c>
      <c r="J2">
        <f>'2 过程管理表单'!AU5</f>
        <v>1855.26277056277</v>
      </c>
      <c r="K2">
        <f>'2 过程管理表单'!AX5</f>
        <v>1795.41558441558</v>
      </c>
      <c r="L2">
        <f>'2 过程管理表单'!BA5</f>
        <v>1855.26277056277</v>
      </c>
      <c r="M2">
        <f>'2 过程管理表单'!BD5</f>
        <v>0</v>
      </c>
      <c r="N2">
        <f>'2 过程管理表单'!BG4</f>
        <v>0</v>
      </c>
    </row>
    <row r="3" spans="1:14">
      <c r="A3" s="6" t="s">
        <v>214</v>
      </c>
      <c r="B3" s="17" t="s">
        <v>4135</v>
      </c>
      <c r="C3">
        <f t="shared" ref="C3:C7" si="0">C2</f>
        <v>0</v>
      </c>
      <c r="D3">
        <f t="shared" ref="D3:N3" si="1">C3+D2</f>
        <v>0</v>
      </c>
      <c r="E3">
        <f t="shared" si="1"/>
        <v>1177.40216450216</v>
      </c>
      <c r="F3">
        <f t="shared" si="1"/>
        <v>2972.81774891775</v>
      </c>
      <c r="G3">
        <f t="shared" si="1"/>
        <v>4828.08051948052</v>
      </c>
      <c r="H3">
        <f t="shared" si="1"/>
        <v>6623.4961038961</v>
      </c>
      <c r="I3">
        <f t="shared" si="1"/>
        <v>8478.75887445888</v>
      </c>
      <c r="J3">
        <f t="shared" si="1"/>
        <v>10334.0216450217</v>
      </c>
      <c r="K3">
        <f t="shared" si="1"/>
        <v>12129.4372294372</v>
      </c>
      <c r="L3">
        <f t="shared" si="1"/>
        <v>13984.7</v>
      </c>
      <c r="M3">
        <f t="shared" si="1"/>
        <v>13984.7</v>
      </c>
      <c r="N3">
        <f t="shared" si="1"/>
        <v>13984.7</v>
      </c>
    </row>
    <row r="4" spans="1:14">
      <c r="A4" s="6" t="s">
        <v>214</v>
      </c>
      <c r="B4" s="17" t="s">
        <v>4136</v>
      </c>
      <c r="C4">
        <f>'2 过程管理表单'!X5-'2 过程管理表单'!X8-'2 过程管理表单'!X27-'2 过程管理表单'!X46-'2 过程管理表单'!X71-'2 过程管理表单'!X96-'2 过程管理表单'!X115-'2 过程管理表单'!X140-'2 过程管理表单'!X159</f>
        <v>44461.4398241436</v>
      </c>
      <c r="D4">
        <f>'2 过程管理表单'!AA5-'2 过程管理表单'!AA8-'2 过程管理表单'!AA27-'2 过程管理表单'!AA46-'2 过程管理表单'!AA71-'2 过程管理表单'!AA96-'2 过程管理表单'!AA115-'2 过程管理表单'!AA140-'2 过程管理表单'!AA159</f>
        <v>33140.6851071625</v>
      </c>
      <c r="E4">
        <f>'2 过程管理表单'!AD5-'2 过程管理表单'!AD8-'2 过程管理表单'!AD27-'2 过程管理表单'!AD46-'2 过程管理表单'!AD71-'2 过程管理表单'!AD96-'2 过程管理表单'!AD115-'2 过程管理表单'!AD140-'2 过程管理表单'!AD159</f>
        <v>33140.6851071625</v>
      </c>
      <c r="F4">
        <f>'2 过程管理表单'!AG5-'2 过程管理表单'!AG8-'2 过程管理表单'!AG27-'2 过程管理表单'!AG46-'2 过程管理表单'!AG71-'2 过程管理表单'!AG96-'2 过程管理表单'!AG115-'2 过程管理表单'!AG140-'2 过程管理表单'!AG159</f>
        <v>33140.6851071625</v>
      </c>
      <c r="G4">
        <f>'2 过程管理表单'!AJ5-'2 过程管理表单'!AJ8-'2 过程管理表单'!AJ27-'2 过程管理表单'!AJ46-'2 过程管理表单'!AJ71-'2 过程管理表单'!AJ96-'2 过程管理表单'!AJ115-'2 过程管理表单'!AJ140-'2 过程管理表单'!AJ159</f>
        <v>33140.6851071625</v>
      </c>
      <c r="H4">
        <f>'2 过程管理表单'!AM5-'2 过程管理表单'!AM8-'2 过程管理表单'!AM27-'2 过程管理表单'!AM46-'2 过程管理表单'!AM71-'2 过程管理表单'!AM96-'2 过程管理表单'!AM115-'2 过程管理表单'!AM140-'2 过程管理表单'!AM159</f>
        <v>33140.6851071625</v>
      </c>
      <c r="I4">
        <f>'2 过程管理表单'!AP5-'2 过程管理表单'!AP8-'2 过程管理表单'!AP27-'2 过程管理表单'!AP46-'2 过程管理表单'!AP71-'2 过程管理表单'!AP96-'2 过程管理表单'!AP115-'2 过程管理表单'!AP140-'2 过程管理表单'!AP159</f>
        <v>33140.6851071625</v>
      </c>
      <c r="J4">
        <f>'2 过程管理表单'!AS5-'2 过程管理表单'!AS8-'2 过程管理表单'!AS27-'2 过程管理表单'!AS46-'2 过程管理表单'!AS71-'2 过程管理表单'!AS96-'2 过程管理表单'!AS115-'2 过程管理表单'!AS140-'2 过程管理表单'!AS159</f>
        <v>33140.6851071625</v>
      </c>
      <c r="K4">
        <f>'2 过程管理表单'!AV5-'2 过程管理表单'!AV8-'2 过程管理表单'!AV27-'2 过程管理表单'!AV46-'2 过程管理表单'!AV71-'2 过程管理表单'!AV96-'2 过程管理表单'!AV115-'2 过程管理表单'!AV140-'2 过程管理表单'!AV159</f>
        <v>33140.6851071625</v>
      </c>
      <c r="L4">
        <f>'2 过程管理表单'!AY5-'2 过程管理表单'!AY8-'2 过程管理表单'!AY27-'2 过程管理表单'!AY46-'2 过程管理表单'!AY71-'2 过程管理表单'!AY96-'2 过程管理表单'!AY115-'2 过程管理表单'!AY140-'2 过程管理表单'!AY159</f>
        <v>33140.6851071625</v>
      </c>
      <c r="M4">
        <f>'2 过程管理表单'!BB5-'2 过程管理表单'!BB8-'2 过程管理表单'!BB27-'2 过程管理表单'!BB46-'2 过程管理表单'!BB71-'2 过程管理表单'!BB96-'2 过程管理表单'!BB115-'2 过程管理表单'!BB140-'2 过程管理表单'!BB159</f>
        <v>33140.6851071625</v>
      </c>
      <c r="N4">
        <f>'2 过程管理表单'!BE5-'2 过程管理表单'!BE8-'2 过程管理表单'!BE27-'2 过程管理表单'!BE46-'2 过程管理表单'!BE71-'2 过程管理表单'!BE96-'2 过程管理表单'!BE115-'2 过程管理表单'!BE140-'2 过程管理表单'!BE159</f>
        <v>33140.6851071625</v>
      </c>
    </row>
    <row r="5" spans="1:14">
      <c r="A5" s="6" t="s">
        <v>214</v>
      </c>
      <c r="B5" s="17" t="s">
        <v>4137</v>
      </c>
      <c r="C5">
        <f t="shared" si="0"/>
        <v>44461.4398241436</v>
      </c>
      <c r="D5">
        <f t="shared" ref="D5:N5" si="2">C5+D4</f>
        <v>77602.1249313062</v>
      </c>
      <c r="E5">
        <f t="shared" si="2"/>
        <v>110742.810038469</v>
      </c>
      <c r="F5">
        <f t="shared" si="2"/>
        <v>143883.495145631</v>
      </c>
      <c r="G5">
        <f t="shared" si="2"/>
        <v>177024.180252794</v>
      </c>
      <c r="H5">
        <f t="shared" si="2"/>
        <v>210164.865359956</v>
      </c>
      <c r="I5">
        <f t="shared" si="2"/>
        <v>243305.550467119</v>
      </c>
      <c r="J5">
        <f t="shared" si="2"/>
        <v>276446.235574281</v>
      </c>
      <c r="K5">
        <f t="shared" si="2"/>
        <v>309586.920681444</v>
      </c>
      <c r="L5">
        <f t="shared" si="2"/>
        <v>342727.605788606</v>
      </c>
      <c r="M5">
        <f t="shared" si="2"/>
        <v>375868.290895769</v>
      </c>
      <c r="N5">
        <f t="shared" si="2"/>
        <v>409008.976002931</v>
      </c>
    </row>
    <row r="6" spans="1:14">
      <c r="A6" s="6" t="s">
        <v>9</v>
      </c>
      <c r="B6" s="18" t="s">
        <v>4138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4139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4140</v>
      </c>
      <c r="C8">
        <f>'2 过程管理表单'!X508</f>
        <v>1200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4141</v>
      </c>
      <c r="C9">
        <f t="shared" ref="C9:C13" si="4">C8</f>
        <v>1200</v>
      </c>
      <c r="D9">
        <f t="shared" ref="D9:N9" si="5">C9+D8</f>
        <v>1200</v>
      </c>
      <c r="E9">
        <f t="shared" si="5"/>
        <v>1200</v>
      </c>
      <c r="F9">
        <f t="shared" si="5"/>
        <v>1200</v>
      </c>
      <c r="G9">
        <f t="shared" si="5"/>
        <v>1200</v>
      </c>
      <c r="H9">
        <f t="shared" si="5"/>
        <v>1200</v>
      </c>
      <c r="I9">
        <f t="shared" si="5"/>
        <v>1200</v>
      </c>
      <c r="J9">
        <f t="shared" si="5"/>
        <v>1200</v>
      </c>
      <c r="K9">
        <f t="shared" si="5"/>
        <v>1200</v>
      </c>
      <c r="L9">
        <f t="shared" si="5"/>
        <v>1200</v>
      </c>
      <c r="M9">
        <f t="shared" si="5"/>
        <v>1200</v>
      </c>
      <c r="N9">
        <f t="shared" si="5"/>
        <v>1200</v>
      </c>
    </row>
    <row r="10" spans="1:14">
      <c r="A10" s="6" t="s">
        <v>64</v>
      </c>
      <c r="B10" s="17" t="s">
        <v>4142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4143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4144</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4145</v>
      </c>
      <c r="C13">
        <f t="shared" si="4"/>
        <v>4000</v>
      </c>
      <c r="D13">
        <f t="shared" ref="D13:N13" si="7">C13+D12</f>
        <v>4000</v>
      </c>
      <c r="E13">
        <f t="shared" si="7"/>
        <v>4000</v>
      </c>
      <c r="F13">
        <f t="shared" si="7"/>
        <v>4000</v>
      </c>
      <c r="G13">
        <f t="shared" si="7"/>
        <v>4000</v>
      </c>
      <c r="H13">
        <f t="shared" si="7"/>
        <v>4000</v>
      </c>
      <c r="I13">
        <f t="shared" si="7"/>
        <v>4000</v>
      </c>
      <c r="J13">
        <f t="shared" si="7"/>
        <v>4000</v>
      </c>
      <c r="K13">
        <f t="shared" si="7"/>
        <v>4000</v>
      </c>
      <c r="L13">
        <f t="shared" si="7"/>
        <v>4000</v>
      </c>
      <c r="M13">
        <f t="shared" si="7"/>
        <v>4000</v>
      </c>
      <c r="N13">
        <f t="shared" si="7"/>
        <v>4000</v>
      </c>
    </row>
    <row r="14" spans="1:14">
      <c r="A14" s="6" t="s">
        <v>215</v>
      </c>
      <c r="B14" s="17" t="s">
        <v>4146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4147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4148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4149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4150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4151</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4152</v>
      </c>
      <c r="C20">
        <f>'2 过程管理表单'!X603</f>
        <v>166.666666666667</v>
      </c>
      <c r="D20">
        <f>'2 过程管理表单'!AA603</f>
        <v>166.666666666667</v>
      </c>
      <c r="E20">
        <f>'2 过程管理表单'!AD603</f>
        <v>166.666666666667</v>
      </c>
      <c r="F20">
        <f>'2 过程管理表单'!AG603</f>
        <v>166.666666666667</v>
      </c>
      <c r="G20">
        <f>'2 过程管理表单'!AJ603</f>
        <v>166.666666666667</v>
      </c>
      <c r="H20">
        <f>'2 过程管理表单'!AM603</f>
        <v>166.666666666667</v>
      </c>
      <c r="I20">
        <f>'2 过程管理表单'!AP603</f>
        <v>166.666666666667</v>
      </c>
      <c r="J20">
        <f>'2 过程管理表单'!AS603</f>
        <v>166.666666666667</v>
      </c>
      <c r="K20">
        <f>'2 过程管理表单'!AV603</f>
        <v>166.666666666667</v>
      </c>
      <c r="L20">
        <f>'2 过程管理表单'!AY603</f>
        <v>166.666666666667</v>
      </c>
      <c r="M20">
        <f>'2 过程管理表单'!BB603</f>
        <v>166.666666666667</v>
      </c>
      <c r="N20">
        <f>'2 过程管理表单'!BE603</f>
        <v>166.666666666667</v>
      </c>
    </row>
    <row r="21" spans="1:14">
      <c r="A21" s="6" t="s">
        <v>216</v>
      </c>
      <c r="B21" s="17" t="s">
        <v>4153</v>
      </c>
      <c r="C21">
        <f t="shared" ref="C21:C25" si="10">C20</f>
        <v>166.666666666667</v>
      </c>
      <c r="D21">
        <f>表3_37[[#This Row],[1月]]+D20</f>
        <v>333.333333333334</v>
      </c>
      <c r="E21">
        <f>表3_37[[#This Row],[2月]]+E20</f>
        <v>500.000000000001</v>
      </c>
      <c r="F21">
        <f>表3_37[[#This Row],[3月]]+F20</f>
        <v>666.666666666668</v>
      </c>
      <c r="G21">
        <f>表3_37[[#This Row],[4月]]+G20</f>
        <v>833.333333333335</v>
      </c>
      <c r="H21">
        <f>表3_37[[#This Row],[5月]]+H20</f>
        <v>1000</v>
      </c>
      <c r="I21">
        <f>表3_37[[#This Row],[6月]]+I20</f>
        <v>1166.66666666667</v>
      </c>
      <c r="J21">
        <f>表3_37[[#This Row],[7月]]+J20</f>
        <v>1333.33333333334</v>
      </c>
      <c r="K21">
        <f>表3_37[[#This Row],[8月]]+K20</f>
        <v>1500</v>
      </c>
      <c r="L21">
        <f>表3_37[[#This Row],[9月]]+L20</f>
        <v>1666.66666666667</v>
      </c>
      <c r="M21">
        <f>表3_37[[#This Row],[10月]]+M20</f>
        <v>1833.33333333334</v>
      </c>
      <c r="N21">
        <f>表3_37[[#This Row],[11月]]+N20</f>
        <v>2000</v>
      </c>
    </row>
    <row r="22" spans="1:14">
      <c r="A22" s="6" t="s">
        <v>217</v>
      </c>
      <c r="B22" s="17" t="s">
        <v>4154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4155</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4156</v>
      </c>
      <c r="C24">
        <f>'2 过程管理表单'!X616</f>
        <v>900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4157</v>
      </c>
      <c r="C25">
        <f t="shared" si="10"/>
        <v>900</v>
      </c>
      <c r="D25">
        <f>表3_37[[#This Row],[1月]]+D24</f>
        <v>900</v>
      </c>
      <c r="E25">
        <f>表3_37[[#This Row],[2月]]+E24</f>
        <v>900</v>
      </c>
      <c r="F25">
        <f>表3_37[[#This Row],[3月]]+F24</f>
        <v>900</v>
      </c>
      <c r="G25">
        <f>表3_37[[#This Row],[4月]]+G24</f>
        <v>900</v>
      </c>
      <c r="H25">
        <f>表3_37[[#This Row],[5月]]+H24</f>
        <v>900</v>
      </c>
      <c r="I25">
        <f>表3_37[[#This Row],[6月]]+I24</f>
        <v>900</v>
      </c>
      <c r="J25">
        <f>表3_37[[#This Row],[7月]]+J24</f>
        <v>900</v>
      </c>
      <c r="K25">
        <f>表3_37[[#This Row],[8月]]+K24</f>
        <v>900</v>
      </c>
      <c r="L25">
        <f>表3_37[[#This Row],[9月]]+L24</f>
        <v>900</v>
      </c>
      <c r="M25">
        <f>表3_37[[#This Row],[10月]]+M24</f>
        <v>900</v>
      </c>
      <c r="N25">
        <f>表3_37[[#This Row],[11月]]+N24</f>
        <v>900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4132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4</v>
      </c>
      <c r="J2" s="6">
        <f>COUNTIF('2 过程管理表单'!AW6:AW507,"&lt;"&amp;0)</f>
        <v>4</v>
      </c>
      <c r="K2" s="6">
        <f>COUNTIF('2 过程管理表单'!AW6:AW507,"&lt;"&amp;0)</f>
        <v>4</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4158</v>
      </c>
      <c r="B8" s="6">
        <f>B2+B3+B4+B5+B6+B7</f>
        <v>0</v>
      </c>
      <c r="C8" s="6">
        <f t="shared" ref="C8:M8" si="0">SUM(C2:C7)</f>
        <v>0</v>
      </c>
      <c r="D8" s="6">
        <f t="shared" si="0"/>
        <v>4</v>
      </c>
      <c r="E8" s="6">
        <f t="shared" si="0"/>
        <v>4</v>
      </c>
      <c r="F8" s="6">
        <f t="shared" si="0"/>
        <v>4</v>
      </c>
      <c r="G8" s="6">
        <f t="shared" si="0"/>
        <v>4</v>
      </c>
      <c r="H8" s="6">
        <f t="shared" si="0"/>
        <v>4</v>
      </c>
      <c r="I8" s="6">
        <f t="shared" si="0"/>
        <v>4</v>
      </c>
      <c r="J8" s="6">
        <f t="shared" si="0"/>
        <v>4</v>
      </c>
      <c r="K8" s="6">
        <f t="shared" si="0"/>
        <v>4</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4132</v>
      </c>
      <c r="B1" s="17" t="s">
        <v>4133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4134</v>
      </c>
      <c r="C2">
        <f>'2 过程管理表单'!Z5</f>
        <v>0</v>
      </c>
      <c r="D2">
        <f>'2 过程管理表单'!AC5</f>
        <v>0</v>
      </c>
      <c r="E2">
        <f>'2 过程管理表单'!AF5</f>
        <v>1177.40216450216</v>
      </c>
      <c r="F2">
        <f>'2 过程管理表单'!AI5</f>
        <v>1795.41558441558</v>
      </c>
      <c r="G2">
        <f>'2 过程管理表单'!AL5</f>
        <v>1855.26277056277</v>
      </c>
      <c r="H2">
        <f>'2 过程管理表单'!AO5</f>
        <v>1795.41558441558</v>
      </c>
      <c r="I2">
        <f>'2 过程管理表单'!AR5</f>
        <v>1855.26277056277</v>
      </c>
      <c r="J2">
        <f>'2 过程管理表单'!AU5</f>
        <v>1855.26277056277</v>
      </c>
      <c r="K2">
        <f>'2 过程管理表单'!AX5</f>
        <v>1795.41558441558</v>
      </c>
      <c r="L2">
        <f>'2 过程管理表单'!BA5</f>
        <v>1855.26277056277</v>
      </c>
      <c r="M2">
        <f>'2 过程管理表单'!BD5</f>
        <v>0</v>
      </c>
      <c r="N2">
        <f>'2 过程管理表单'!BG4</f>
        <v>0</v>
      </c>
    </row>
    <row r="3" spans="1:14">
      <c r="A3" s="6" t="s">
        <v>214</v>
      </c>
      <c r="B3" s="17" t="s">
        <v>4135</v>
      </c>
      <c r="C3">
        <f>C2</f>
        <v>0</v>
      </c>
      <c r="D3">
        <f t="shared" ref="D3:N3" si="0">C3+D2</f>
        <v>0</v>
      </c>
      <c r="E3">
        <f t="shared" si="0"/>
        <v>1177.40216450216</v>
      </c>
      <c r="F3">
        <f t="shared" si="0"/>
        <v>2972.81774891775</v>
      </c>
      <c r="G3">
        <f t="shared" si="0"/>
        <v>4828.08051948052</v>
      </c>
      <c r="H3">
        <f t="shared" si="0"/>
        <v>6623.4961038961</v>
      </c>
      <c r="I3">
        <f t="shared" si="0"/>
        <v>8478.75887445888</v>
      </c>
      <c r="J3">
        <f t="shared" si="0"/>
        <v>10334.0216450217</v>
      </c>
      <c r="K3">
        <f t="shared" si="0"/>
        <v>12129.4372294372</v>
      </c>
      <c r="L3">
        <f t="shared" si="0"/>
        <v>13984.7</v>
      </c>
      <c r="M3">
        <f t="shared" si="0"/>
        <v>13984.7</v>
      </c>
      <c r="N3">
        <f t="shared" si="0"/>
        <v>13984.7</v>
      </c>
    </row>
    <row r="4" spans="1:14">
      <c r="A4" s="6" t="s">
        <v>214</v>
      </c>
      <c r="B4" s="17" t="s">
        <v>4136</v>
      </c>
      <c r="C4">
        <f>'2 过程管理表单'!X5</f>
        <v>62992.7198241436</v>
      </c>
      <c r="D4">
        <f>'2 过程管理表单'!AA5</f>
        <v>49034.8051071625</v>
      </c>
      <c r="E4">
        <f>'2 过程管理表单'!AD5</f>
        <v>49034.8051071625</v>
      </c>
      <c r="F4">
        <f>'2 过程管理表单'!AG5</f>
        <v>49034.8051071625</v>
      </c>
      <c r="G4">
        <f>'2 过程管理表单'!AJ5</f>
        <v>49034.8051071625</v>
      </c>
      <c r="H4">
        <f>'2 过程管理表单'!AM5</f>
        <v>49034.8051071625</v>
      </c>
      <c r="I4">
        <f>'2 过程管理表单'!AP5</f>
        <v>49034.8051071625</v>
      </c>
      <c r="J4">
        <f>'2 过程管理表单'!AS5</f>
        <v>49034.8051071625</v>
      </c>
      <c r="K4">
        <f>'2 过程管理表单'!AV5</f>
        <v>49034.8051071625</v>
      </c>
      <c r="L4">
        <f>'2 过程管理表单'!AY5</f>
        <v>49034.8051071625</v>
      </c>
      <c r="M4">
        <f>'2 过程管理表单'!BB5</f>
        <v>49034.8051071625</v>
      </c>
      <c r="N4">
        <f>'2 过程管理表单'!BE5</f>
        <v>49034.8051071625</v>
      </c>
    </row>
    <row r="5" spans="1:14">
      <c r="A5" s="6" t="s">
        <v>214</v>
      </c>
      <c r="B5" s="17" t="s">
        <v>4137</v>
      </c>
      <c r="C5">
        <f>C4</f>
        <v>62992.7198241436</v>
      </c>
      <c r="D5">
        <f t="shared" ref="D5:N5" si="1">C5+D4</f>
        <v>112027.524931306</v>
      </c>
      <c r="E5">
        <f t="shared" si="1"/>
        <v>161062.330038469</v>
      </c>
      <c r="F5">
        <f t="shared" si="1"/>
        <v>210097.135145631</v>
      </c>
      <c r="G5">
        <f t="shared" si="1"/>
        <v>259131.940252794</v>
      </c>
      <c r="H5">
        <f t="shared" si="1"/>
        <v>308166.745359956</v>
      </c>
      <c r="I5">
        <f t="shared" si="1"/>
        <v>357201.550467119</v>
      </c>
      <c r="J5">
        <f t="shared" si="1"/>
        <v>406236.355574281</v>
      </c>
      <c r="K5">
        <f t="shared" si="1"/>
        <v>455271.160681444</v>
      </c>
      <c r="L5">
        <f t="shared" si="1"/>
        <v>504305.965788606</v>
      </c>
      <c r="M5">
        <f t="shared" si="1"/>
        <v>553340.770895769</v>
      </c>
      <c r="N5">
        <f t="shared" si="1"/>
        <v>602375.576002931</v>
      </c>
    </row>
    <row r="6" spans="1:14">
      <c r="A6" s="6" t="s">
        <v>9</v>
      </c>
      <c r="B6" s="18" t="s">
        <v>4138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4139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4140</v>
      </c>
      <c r="C8">
        <f>'2 过程管理表单'!X508</f>
        <v>1200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4141</v>
      </c>
      <c r="C9">
        <f>C8</f>
        <v>1200</v>
      </c>
      <c r="D9">
        <f t="shared" ref="D9:N9" si="3">C9+D8</f>
        <v>1200</v>
      </c>
      <c r="E9">
        <f t="shared" si="3"/>
        <v>1200</v>
      </c>
      <c r="F9">
        <f t="shared" si="3"/>
        <v>1200</v>
      </c>
      <c r="G9">
        <f t="shared" si="3"/>
        <v>1200</v>
      </c>
      <c r="H9">
        <f t="shared" si="3"/>
        <v>1200</v>
      </c>
      <c r="I9">
        <f t="shared" si="3"/>
        <v>1200</v>
      </c>
      <c r="J9">
        <f t="shared" si="3"/>
        <v>1200</v>
      </c>
      <c r="K9">
        <f t="shared" si="3"/>
        <v>1200</v>
      </c>
      <c r="L9">
        <f t="shared" si="3"/>
        <v>1200</v>
      </c>
      <c r="M9">
        <f t="shared" si="3"/>
        <v>1200</v>
      </c>
      <c r="N9">
        <f t="shared" si="3"/>
        <v>1200</v>
      </c>
    </row>
    <row r="10" spans="1:14">
      <c r="A10" s="6" t="s">
        <v>64</v>
      </c>
      <c r="B10" s="17" t="s">
        <v>4142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4143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4144</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4145</v>
      </c>
      <c r="C13">
        <f>C12</f>
        <v>4000</v>
      </c>
      <c r="D13">
        <f t="shared" ref="D13:N13" si="5">C13+D12</f>
        <v>4000</v>
      </c>
      <c r="E13">
        <f t="shared" si="5"/>
        <v>4000</v>
      </c>
      <c r="F13">
        <f t="shared" si="5"/>
        <v>4000</v>
      </c>
      <c r="G13">
        <f t="shared" si="5"/>
        <v>4000</v>
      </c>
      <c r="H13">
        <f t="shared" si="5"/>
        <v>4000</v>
      </c>
      <c r="I13">
        <f t="shared" si="5"/>
        <v>4000</v>
      </c>
      <c r="J13">
        <f t="shared" si="5"/>
        <v>4000</v>
      </c>
      <c r="K13">
        <f t="shared" si="5"/>
        <v>4000</v>
      </c>
      <c r="L13">
        <f t="shared" si="5"/>
        <v>4000</v>
      </c>
      <c r="M13">
        <f t="shared" si="5"/>
        <v>4000</v>
      </c>
      <c r="N13">
        <f t="shared" si="5"/>
        <v>4000</v>
      </c>
    </row>
    <row r="14" spans="1:14">
      <c r="A14" s="6" t="s">
        <v>215</v>
      </c>
      <c r="B14" s="17" t="s">
        <v>4146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4147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4148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4149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4150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4151</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4152</v>
      </c>
      <c r="C20">
        <f>'2 过程管理表单'!X603</f>
        <v>166.666666666667</v>
      </c>
      <c r="D20">
        <f>'2 过程管理表单'!AA603</f>
        <v>166.666666666667</v>
      </c>
      <c r="E20">
        <f>'2 过程管理表单'!AD603</f>
        <v>166.666666666667</v>
      </c>
      <c r="F20">
        <f>'2 过程管理表单'!AG603</f>
        <v>166.666666666667</v>
      </c>
      <c r="G20">
        <f>'2 过程管理表单'!AJ603</f>
        <v>166.666666666667</v>
      </c>
      <c r="H20">
        <f>'2 过程管理表单'!AM603</f>
        <v>166.666666666667</v>
      </c>
      <c r="I20">
        <f>'2 过程管理表单'!AP603</f>
        <v>166.666666666667</v>
      </c>
      <c r="J20">
        <f>'2 过程管理表单'!AS603</f>
        <v>166.666666666667</v>
      </c>
      <c r="K20">
        <f>'2 过程管理表单'!AV603</f>
        <v>166.666666666667</v>
      </c>
      <c r="L20">
        <f>'2 过程管理表单'!AY603</f>
        <v>166.666666666667</v>
      </c>
      <c r="M20">
        <f>'2 过程管理表单'!BB603</f>
        <v>166.666666666667</v>
      </c>
      <c r="N20">
        <f>'2 过程管理表单'!BE603</f>
        <v>166.666666666667</v>
      </c>
    </row>
    <row r="21" spans="1:14">
      <c r="A21" s="6" t="s">
        <v>216</v>
      </c>
      <c r="B21" s="17" t="s">
        <v>4153</v>
      </c>
      <c r="C21">
        <f>C20</f>
        <v>166.666666666667</v>
      </c>
      <c r="D21">
        <f>表3_3[[#This Row],[1月]]+D20</f>
        <v>333.333333333334</v>
      </c>
      <c r="E21">
        <f>表3_3[[#This Row],[2月]]+E20</f>
        <v>500.000000000001</v>
      </c>
      <c r="F21">
        <f>表3_3[[#This Row],[3月]]+F20</f>
        <v>666.666666666668</v>
      </c>
      <c r="G21">
        <f>表3_3[[#This Row],[4月]]+G20</f>
        <v>833.333333333335</v>
      </c>
      <c r="H21">
        <f>表3_3[[#This Row],[5月]]+H20</f>
        <v>1000</v>
      </c>
      <c r="I21">
        <f>表3_3[[#This Row],[6月]]+I20</f>
        <v>1166.66666666667</v>
      </c>
      <c r="J21">
        <f>表3_3[[#This Row],[7月]]+J20</f>
        <v>1333.33333333334</v>
      </c>
      <c r="K21">
        <f>表3_3[[#This Row],[8月]]+K20</f>
        <v>1500</v>
      </c>
      <c r="L21">
        <f>表3_3[[#This Row],[9月]]+L20</f>
        <v>1666.66666666667</v>
      </c>
      <c r="M21">
        <f>表3_3[[#This Row],[10月]]+M20</f>
        <v>1833.33333333334</v>
      </c>
      <c r="N21">
        <f>表3_3[[#This Row],[11月]]+N20</f>
        <v>2000</v>
      </c>
    </row>
    <row r="22" spans="1:14">
      <c r="A22" s="6" t="s">
        <v>217</v>
      </c>
      <c r="B22" s="17" t="s">
        <v>4154</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4155</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4156</v>
      </c>
      <c r="C24">
        <f>'2 过程管理表单'!X616</f>
        <v>900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4157</v>
      </c>
      <c r="C25">
        <f>C24</f>
        <v>900</v>
      </c>
      <c r="D25">
        <f>表3_3[[#This Row],[1月]]+D24</f>
        <v>900</v>
      </c>
      <c r="E25">
        <f>表3_3[[#This Row],[2月]]+E24</f>
        <v>900</v>
      </c>
      <c r="F25">
        <f>表3_3[[#This Row],[3月]]+F24</f>
        <v>900</v>
      </c>
      <c r="G25">
        <f>表3_3[[#This Row],[4月]]+G24</f>
        <v>900</v>
      </c>
      <c r="H25">
        <f>表3_3[[#This Row],[5月]]+H24</f>
        <v>900</v>
      </c>
      <c r="I25">
        <f>表3_3[[#This Row],[6月]]+I24</f>
        <v>900</v>
      </c>
      <c r="J25">
        <f>表3_3[[#This Row],[7月]]+J24</f>
        <v>900</v>
      </c>
      <c r="K25">
        <f>表3_3[[#This Row],[8月]]+K24</f>
        <v>900</v>
      </c>
      <c r="L25">
        <f>表3_3[[#This Row],[9月]]+L24</f>
        <v>900</v>
      </c>
      <c r="M25">
        <f>表3_3[[#This Row],[10月]]+M24</f>
        <v>900</v>
      </c>
      <c r="N25">
        <f>表3_3[[#This Row],[11月]]+N24</f>
        <v>900</v>
      </c>
    </row>
    <row r="26" spans="1:14">
      <c r="A26" s="20" t="s">
        <v>4159</v>
      </c>
      <c r="B26" s="21" t="s">
        <v>4160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4159</v>
      </c>
      <c r="B27" s="21" t="s">
        <v>4161</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0" t="s">
        <v>4159</v>
      </c>
      <c r="B28" s="21" t="s">
        <v>4162</v>
      </c>
      <c r="C28">
        <f>'2 过程管理表单'!X6</f>
        <v>50701.0913207547</v>
      </c>
      <c r="D28">
        <f>'2 过程管理表单'!AA6</f>
        <v>48063.9313207547</v>
      </c>
      <c r="E28">
        <f>'2 过程管理表单'!AD6</f>
        <v>48063.9313207547</v>
      </c>
      <c r="F28">
        <f>'2 过程管理表单'!AG6</f>
        <v>48063.9313207547</v>
      </c>
      <c r="G28">
        <f>'2 过程管理表单'!AJ6</f>
        <v>48063.9313207547</v>
      </c>
      <c r="H28">
        <f>'2 过程管理表单'!AM6</f>
        <v>48063.9313207547</v>
      </c>
      <c r="I28">
        <f>'2 过程管理表单'!AP6</f>
        <v>48063.9313207547</v>
      </c>
      <c r="J28">
        <f>'2 过程管理表单'!AS6</f>
        <v>48063.9313207547</v>
      </c>
      <c r="K28">
        <f>'2 过程管理表单'!AV6</f>
        <v>48063.9313207547</v>
      </c>
      <c r="L28">
        <f>'2 过程管理表单'!AY6</f>
        <v>48063.9313207547</v>
      </c>
      <c r="M28">
        <f>'2 过程管理表单'!BB6</f>
        <v>48063.9313207547</v>
      </c>
      <c r="N28">
        <f>'2 过程管理表单'!BE6</f>
        <v>48063.9313207547</v>
      </c>
    </row>
    <row r="29" spans="1:14">
      <c r="A29" s="20" t="s">
        <v>4159</v>
      </c>
      <c r="B29" s="21" t="s">
        <v>4163</v>
      </c>
      <c r="C29">
        <f>C28</f>
        <v>50701.0913207547</v>
      </c>
      <c r="D29">
        <f>表3_3[[#This Row],[1月]]+D28</f>
        <v>98765.0226415095</v>
      </c>
      <c r="E29">
        <f>表3_3[[#This Row],[2月]]+E28</f>
        <v>146828.953962264</v>
      </c>
      <c r="F29">
        <f>表3_3[[#This Row],[3月]]+F28</f>
        <v>194892.885283019</v>
      </c>
      <c r="G29">
        <f>表3_3[[#This Row],[4月]]+G28</f>
        <v>242956.816603774</v>
      </c>
      <c r="H29">
        <f>表3_3[[#This Row],[5月]]+H28</f>
        <v>291020.747924528</v>
      </c>
      <c r="I29">
        <f>表3_3[[#This Row],[6月]]+I28</f>
        <v>339084.679245283</v>
      </c>
      <c r="J29">
        <f>表3_3[[#This Row],[7月]]+J28</f>
        <v>387148.610566038</v>
      </c>
      <c r="K29">
        <f>表3_3[[#This Row],[8月]]+K28</f>
        <v>435212.541886793</v>
      </c>
      <c r="L29">
        <f>表3_3[[#This Row],[9月]]+L28</f>
        <v>483276.473207548</v>
      </c>
      <c r="M29">
        <f>表3_3[[#This Row],[10月]]+M28</f>
        <v>531340.404528302</v>
      </c>
      <c r="N29">
        <f>表3_3[[#This Row],[11月]]+N28</f>
        <v>579404.335849057</v>
      </c>
    </row>
    <row r="30" spans="1:14">
      <c r="A30" s="20" t="s">
        <v>4164</v>
      </c>
      <c r="B30" s="21" t="s">
        <v>4160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4164</v>
      </c>
      <c r="B31" s="21" t="s">
        <v>4161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4164</v>
      </c>
      <c r="B32" s="21" t="s">
        <v>4162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4164</v>
      </c>
      <c r="B33" s="21" t="s">
        <v>4163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4165</v>
      </c>
      <c r="B34" s="21" t="s">
        <v>4160</v>
      </c>
      <c r="C34" s="22">
        <f>'2 过程管理表单'!Z177</f>
        <v>0</v>
      </c>
      <c r="D34" s="22">
        <f>'2 过程管理表单'!AC177</f>
        <v>0</v>
      </c>
      <c r="E34" s="22">
        <f>'2 过程管理表单'!AF177</f>
        <v>1177.40216450216</v>
      </c>
      <c r="F34" s="22">
        <f>'2 过程管理表单'!AI177</f>
        <v>1795.41558441558</v>
      </c>
      <c r="G34" s="22">
        <f>'2 过程管理表单'!AL177</f>
        <v>1855.26277056277</v>
      </c>
      <c r="H34" s="22">
        <f>'2 过程管理表单'!AO177</f>
        <v>1795.41558441558</v>
      </c>
      <c r="I34" s="22">
        <f>'2 过程管理表单'!AR177</f>
        <v>1855.26277056277</v>
      </c>
      <c r="J34" s="22">
        <f>'2 过程管理表单'!AU177</f>
        <v>1855.26277056277</v>
      </c>
      <c r="K34" s="22">
        <f>'2 过程管理表单'!AX177</f>
        <v>1795.41558441558</v>
      </c>
      <c r="L34" s="22">
        <f>'2 过程管理表单'!BA177</f>
        <v>1855.26277056277</v>
      </c>
      <c r="M34" s="22">
        <f>'2 过程管理表单'!BD177</f>
        <v>0</v>
      </c>
      <c r="N34" s="22">
        <f>'2 过程管理表单'!BG177</f>
        <v>0</v>
      </c>
    </row>
    <row r="35" spans="1:14">
      <c r="A35" s="20" t="s">
        <v>4165</v>
      </c>
      <c r="B35" s="21" t="s">
        <v>4161</v>
      </c>
      <c r="C35" s="22">
        <f>C34</f>
        <v>0</v>
      </c>
      <c r="D35" s="22">
        <f>C35+C34</f>
        <v>0</v>
      </c>
      <c r="E35" s="22">
        <f>D35+E34</f>
        <v>1177.40216450216</v>
      </c>
      <c r="F35" s="22">
        <f>E35+F34</f>
        <v>2972.81774891775</v>
      </c>
      <c r="G35" s="22">
        <f>F35+G34</f>
        <v>4828.08051948052</v>
      </c>
      <c r="H35" s="22">
        <f t="shared" ref="H35:N35" si="7">H34+G35</f>
        <v>6623.4961038961</v>
      </c>
      <c r="I35" s="22">
        <f t="shared" si="7"/>
        <v>8478.75887445888</v>
      </c>
      <c r="J35" s="22">
        <f t="shared" si="7"/>
        <v>10334.0216450217</v>
      </c>
      <c r="K35" s="22">
        <f t="shared" si="7"/>
        <v>12129.4372294372</v>
      </c>
      <c r="L35" s="22">
        <f t="shared" si="7"/>
        <v>13984.7</v>
      </c>
      <c r="M35" s="22">
        <f t="shared" si="7"/>
        <v>13984.7</v>
      </c>
      <c r="N35" s="22">
        <f t="shared" si="7"/>
        <v>13984.7</v>
      </c>
    </row>
    <row r="36" spans="1:14">
      <c r="A36" s="20" t="s">
        <v>4165</v>
      </c>
      <c r="B36" s="21" t="s">
        <v>4162</v>
      </c>
      <c r="C36" s="22">
        <f>'2 过程管理表单'!X177</f>
        <v>12291.6285033889</v>
      </c>
      <c r="D36" s="22">
        <f>'2 过程管理表单'!AA177</f>
        <v>970.873786407767</v>
      </c>
      <c r="E36" s="22">
        <f>'2 过程管理表单'!AD177</f>
        <v>970.873786407767</v>
      </c>
      <c r="F36" s="22">
        <f>'2 过程管理表单'!AG177</f>
        <v>970.873786407767</v>
      </c>
      <c r="G36" s="22">
        <f>'2 过程管理表单'!AJ177</f>
        <v>970.873786407767</v>
      </c>
      <c r="H36" s="22">
        <f>'2 过程管理表单'!AM177</f>
        <v>970.873786407767</v>
      </c>
      <c r="I36" s="22">
        <f>'2 过程管理表单'!AP177</f>
        <v>970.873786407767</v>
      </c>
      <c r="J36" s="22">
        <f>'2 过程管理表单'!AS177</f>
        <v>970.873786407767</v>
      </c>
      <c r="K36" s="22">
        <f>'2 过程管理表单'!AV177</f>
        <v>970.873786407767</v>
      </c>
      <c r="L36" s="22">
        <f>'2 过程管理表单'!AY177</f>
        <v>970.873786407767</v>
      </c>
      <c r="M36" s="22">
        <f>'2 过程管理表单'!BB177</f>
        <v>970.873786407767</v>
      </c>
      <c r="N36" s="22">
        <f>'2 过程管理表单'!BE177</f>
        <v>970.873786407767</v>
      </c>
    </row>
    <row r="37" spans="1:14">
      <c r="A37" s="20" t="s">
        <v>4165</v>
      </c>
      <c r="B37" s="21" t="s">
        <v>4163</v>
      </c>
      <c r="C37" s="14">
        <f>C36</f>
        <v>12291.6285033889</v>
      </c>
      <c r="D37" s="13">
        <f t="shared" ref="D37:N37" si="8">D36+C37</f>
        <v>13262.5022897967</v>
      </c>
      <c r="E37" s="14">
        <f t="shared" si="8"/>
        <v>14233.3760762044</v>
      </c>
      <c r="F37" s="14">
        <f t="shared" si="8"/>
        <v>15204.2498626122</v>
      </c>
      <c r="G37" s="14">
        <f t="shared" si="8"/>
        <v>16175.12364902</v>
      </c>
      <c r="H37" s="14">
        <f t="shared" si="8"/>
        <v>17145.9974354277</v>
      </c>
      <c r="I37" s="14">
        <f t="shared" si="8"/>
        <v>18116.8712218355</v>
      </c>
      <c r="J37" s="14">
        <f t="shared" si="8"/>
        <v>19087.7450082433</v>
      </c>
      <c r="K37" s="14">
        <f t="shared" si="8"/>
        <v>20058.618794651</v>
      </c>
      <c r="L37" s="14">
        <f t="shared" si="8"/>
        <v>21029.4925810588</v>
      </c>
      <c r="M37" s="14">
        <f t="shared" si="8"/>
        <v>22000.3663674666</v>
      </c>
      <c r="N37" s="13">
        <f t="shared" si="8"/>
        <v>22971.2401538743</v>
      </c>
    </row>
    <row r="38" spans="1:14">
      <c r="A38" s="23" t="s">
        <v>4166</v>
      </c>
      <c r="B38" s="17" t="s">
        <v>4167</v>
      </c>
      <c r="C38">
        <f>C5+C9+C13+C17+C21+C25</f>
        <v>69259.3864908103</v>
      </c>
      <c r="D38">
        <f t="shared" ref="D38:N38" si="9">D5+D9+D13+D17+D21+D25</f>
        <v>118460.858264639</v>
      </c>
      <c r="E38">
        <f t="shared" si="9"/>
        <v>167662.330038469</v>
      </c>
      <c r="F38">
        <f t="shared" si="9"/>
        <v>216863.801812298</v>
      </c>
      <c r="G38">
        <f t="shared" si="9"/>
        <v>266065.273586127</v>
      </c>
      <c r="H38">
        <f t="shared" si="9"/>
        <v>315266.745359956</v>
      </c>
      <c r="I38">
        <f t="shared" si="9"/>
        <v>364468.217133785</v>
      </c>
      <c r="J38">
        <f t="shared" si="9"/>
        <v>413669.688907615</v>
      </c>
      <c r="K38">
        <f t="shared" si="9"/>
        <v>462871.160681444</v>
      </c>
      <c r="L38">
        <f t="shared" si="9"/>
        <v>512072.632455273</v>
      </c>
      <c r="M38">
        <f t="shared" si="9"/>
        <v>561274.104229102</v>
      </c>
      <c r="N38">
        <f t="shared" si="9"/>
        <v>610475.576002931</v>
      </c>
    </row>
    <row r="39" spans="1:14">
      <c r="A39" s="23" t="s">
        <v>4166</v>
      </c>
      <c r="B39" s="17" t="s">
        <v>4168</v>
      </c>
      <c r="C39">
        <f>C3+C7+C11+C15+C19+C23</f>
        <v>0</v>
      </c>
      <c r="D39">
        <f t="shared" ref="D39:N39" si="10">D3+D7+D11+D15+D19+D23</f>
        <v>0</v>
      </c>
      <c r="E39">
        <f t="shared" si="10"/>
        <v>1177.40216450216</v>
      </c>
      <c r="F39">
        <f t="shared" si="10"/>
        <v>2972.81774891775</v>
      </c>
      <c r="G39">
        <f t="shared" si="10"/>
        <v>4828.08051948052</v>
      </c>
      <c r="H39">
        <f t="shared" si="10"/>
        <v>6623.4961038961</v>
      </c>
      <c r="I39">
        <f t="shared" si="10"/>
        <v>8478.75887445888</v>
      </c>
      <c r="J39">
        <f t="shared" si="10"/>
        <v>10334.0216450217</v>
      </c>
      <c r="K39">
        <f t="shared" si="10"/>
        <v>12129.4372294372</v>
      </c>
      <c r="L39">
        <f t="shared" si="10"/>
        <v>13984.7</v>
      </c>
      <c r="M39">
        <f t="shared" si="10"/>
        <v>13984.7</v>
      </c>
      <c r="N39">
        <f t="shared" si="10"/>
        <v>13984.7</v>
      </c>
    </row>
    <row r="42" spans="1:14">
      <c r="A42" s="12" t="s">
        <v>214</v>
      </c>
      <c r="B42" t="s">
        <v>4169</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4169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4169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4169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4169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4169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4" workbookViewId="0">
      <selection activeCell="H16" sqref="H16"/>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3171</v>
      </c>
      <c r="B1" s="26"/>
      <c r="C1" s="26" t="s">
        <v>3172</v>
      </c>
      <c r="D1" s="27" t="s">
        <v>3135</v>
      </c>
      <c r="E1" s="27" t="s">
        <v>3136</v>
      </c>
      <c r="F1" s="27" t="s">
        <v>3137</v>
      </c>
      <c r="G1" s="27" t="s">
        <v>3138</v>
      </c>
      <c r="H1" s="27" t="s">
        <v>3139</v>
      </c>
      <c r="I1" s="27" t="s">
        <v>3140</v>
      </c>
      <c r="J1" s="27" t="s">
        <v>3141</v>
      </c>
      <c r="K1" s="27" t="s">
        <v>3142</v>
      </c>
      <c r="L1" s="27" t="s">
        <v>3143</v>
      </c>
      <c r="M1" s="27" t="s">
        <v>3144</v>
      </c>
      <c r="N1" s="27" t="s">
        <v>3145</v>
      </c>
      <c r="O1" s="27" t="s">
        <v>3146</v>
      </c>
    </row>
    <row r="2" ht="16.5" spans="1:15">
      <c r="A2" s="17" t="s">
        <v>3173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3174</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3175</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3176</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3177</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3178</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3179</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3180</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3181</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3182</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3183</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3184</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3185</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3186</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3187</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3188</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3189</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3190</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3191</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3192</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3193</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3194</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3195</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3196</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3197</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3198</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3199</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3200</v>
      </c>
      <c r="B29" s="31"/>
      <c r="C29" s="31" t="s">
        <v>3201</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3202</v>
      </c>
      <c r="B30" s="31"/>
      <c r="C30" s="31" t="s">
        <v>3201</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3203</v>
      </c>
      <c r="B31" s="31"/>
      <c r="C31" s="31" t="s">
        <v>3201</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3204</v>
      </c>
      <c r="B32" s="31"/>
      <c r="C32" s="31" t="s">
        <v>3201</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3205</v>
      </c>
      <c r="B33" s="31"/>
      <c r="C33" s="31" t="s">
        <v>3201</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3206</v>
      </c>
      <c r="B34" s="31"/>
      <c r="C34" s="31" t="s">
        <v>3201</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3207</v>
      </c>
      <c r="B35" s="31"/>
      <c r="C35" s="31" t="s">
        <v>3201</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2875</v>
      </c>
      <c r="B36" s="31"/>
      <c r="C36" s="31" t="s">
        <v>3201</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2800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3208</v>
      </c>
      <c r="B37" s="31"/>
      <c r="C37" s="31" t="s">
        <v>3201</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3209</v>
      </c>
      <c r="B38" s="31"/>
      <c r="C38" s="31" t="s">
        <v>3201</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3210</v>
      </c>
      <c r="B39" s="31"/>
      <c r="C39" s="31" t="s">
        <v>3201</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3211</v>
      </c>
      <c r="B40" s="31"/>
      <c r="C40" s="31" t="s">
        <v>3201</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3212</v>
      </c>
      <c r="B41" s="31"/>
      <c r="C41" s="31" t="s">
        <v>3201</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3213</v>
      </c>
      <c r="B42" s="31"/>
      <c r="C42" s="31" t="s">
        <v>3201</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3214</v>
      </c>
      <c r="B43" s="31"/>
      <c r="C43" s="31" t="s">
        <v>3201</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3215</v>
      </c>
      <c r="B44" s="31"/>
      <c r="C44" s="31" t="s">
        <v>3201</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3216</v>
      </c>
      <c r="B45" s="31"/>
      <c r="C45" s="31" t="s">
        <v>3201</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3217</v>
      </c>
      <c r="B46" s="31"/>
      <c r="C46" s="31" t="s">
        <v>3201</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3218</v>
      </c>
      <c r="B47" s="31"/>
      <c r="C47" s="31" t="s">
        <v>3201</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3219</v>
      </c>
      <c r="B48" s="31"/>
      <c r="C48" s="31" t="s">
        <v>3201</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3220</v>
      </c>
      <c r="B49" s="31"/>
      <c r="C49" s="31" t="s">
        <v>3201</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2867</v>
      </c>
      <c r="B50" s="31"/>
      <c r="C50" s="31" t="s">
        <v>3201</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11184.7</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3221</v>
      </c>
      <c r="B51" s="31"/>
      <c r="C51" s="31" t="s">
        <v>3201</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3222</v>
      </c>
      <c r="B52" s="31"/>
      <c r="C52" s="31" t="s">
        <v>3201</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3223</v>
      </c>
      <c r="B53" s="31"/>
      <c r="C53" s="31" t="s">
        <v>3201</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3224</v>
      </c>
      <c r="B54" s="31"/>
      <c r="C54" s="31" t="s">
        <v>3201</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3225</v>
      </c>
      <c r="B55" s="31"/>
      <c r="C55" s="31" t="s">
        <v>3201</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3226</v>
      </c>
      <c r="B56" s="31"/>
      <c r="C56" s="31" t="s">
        <v>3201</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3227</v>
      </c>
      <c r="B57" s="31"/>
      <c r="C57" s="31" t="s">
        <v>3201</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3228</v>
      </c>
      <c r="B58" s="31"/>
      <c r="C58" s="31" t="s">
        <v>3201</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3229</v>
      </c>
      <c r="B59" s="31"/>
      <c r="C59" s="31" t="s">
        <v>3201</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3230</v>
      </c>
      <c r="B60" s="31"/>
      <c r="C60" s="31" t="s">
        <v>3201</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3231</v>
      </c>
      <c r="B61" s="31"/>
      <c r="C61" s="31" t="s">
        <v>3201</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3232</v>
      </c>
      <c r="B62" s="31"/>
      <c r="C62" s="31" t="s">
        <v>3201</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3233</v>
      </c>
      <c r="B63" s="31"/>
      <c r="C63" s="31" t="s">
        <v>3201</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3234</v>
      </c>
      <c r="B64" s="31"/>
      <c r="C64" s="31" t="s">
        <v>3201</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3235</v>
      </c>
      <c r="B65" s="31"/>
      <c r="C65" s="31" t="s">
        <v>3201</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3236</v>
      </c>
      <c r="B66" s="31"/>
      <c r="C66" s="31" t="s">
        <v>3201</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3237</v>
      </c>
      <c r="B67" s="31"/>
      <c r="C67" s="31" t="s">
        <v>3201</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3238</v>
      </c>
      <c r="B68" s="31"/>
      <c r="C68" s="31" t="s">
        <v>3201</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3239</v>
      </c>
      <c r="B69" s="31"/>
      <c r="C69" s="31" t="s">
        <v>3201</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3240</v>
      </c>
      <c r="B70" s="31"/>
      <c r="C70" s="31" t="s">
        <v>3201</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3241</v>
      </c>
      <c r="B71" s="31"/>
      <c r="C71" s="31" t="s">
        <v>3201</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3242</v>
      </c>
      <c r="B72" s="31"/>
      <c r="C72" s="31" t="s">
        <v>3201</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3243</v>
      </c>
      <c r="B73" s="31"/>
      <c r="C73" s="31" t="s">
        <v>3201</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3244</v>
      </c>
      <c r="B74" s="31"/>
      <c r="C74" s="31" t="s">
        <v>3201</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3245</v>
      </c>
      <c r="B75" s="31"/>
      <c r="C75" s="31" t="s">
        <v>3201</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3246</v>
      </c>
      <c r="B76" s="31"/>
      <c r="C76" s="31" t="s">
        <v>3201</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3247</v>
      </c>
      <c r="B77" s="31"/>
      <c r="C77" s="31" t="s">
        <v>3201</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3248</v>
      </c>
      <c r="B78" s="31"/>
      <c r="C78" s="31" t="s">
        <v>3201</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3249</v>
      </c>
      <c r="B79" s="31"/>
      <c r="C79" s="31" t="s">
        <v>3201</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3250</v>
      </c>
      <c r="B80" s="31"/>
      <c r="C80" s="31" t="s">
        <v>3201</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3251</v>
      </c>
      <c r="B81" s="31"/>
      <c r="C81" s="31" t="s">
        <v>3201</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3252</v>
      </c>
      <c r="B82" s="31"/>
      <c r="C82" s="31" t="s">
        <v>3201</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3253</v>
      </c>
      <c r="B83" s="31"/>
      <c r="C83" s="31" t="s">
        <v>3201</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3254</v>
      </c>
      <c r="B84" s="31"/>
      <c r="C84" s="31" t="s">
        <v>3201</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3255</v>
      </c>
      <c r="B85" s="31"/>
      <c r="C85" s="31" t="s">
        <v>3201</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3256</v>
      </c>
      <c r="B86" s="31"/>
      <c r="C86" s="31" t="s">
        <v>3201</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3257</v>
      </c>
      <c r="B87" s="31"/>
      <c r="C87" s="31" t="s">
        <v>3201</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3258</v>
      </c>
      <c r="B88" s="31"/>
      <c r="C88" s="31" t="s">
        <v>3201</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3259</v>
      </c>
      <c r="B89" s="31"/>
      <c r="C89" s="31" t="s">
        <v>3201</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3260</v>
      </c>
      <c r="B90" s="31"/>
      <c r="C90" s="31" t="s">
        <v>3201</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3261</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3262</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3263</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3264</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3265</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3266</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3267</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3268</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3269</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3270</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3271</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3272</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3273</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3274</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3275</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3276</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3277</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3278</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3279</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3280</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3281</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3282</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3283</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3284</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3285</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3286</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3287</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3288</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3289</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3290</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3291</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3292</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3293</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3294</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3295</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3296</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3297</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3298</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3299</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3300</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3301</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3302</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3303</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3304</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3305</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3306</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3307</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3308</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3309</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3310</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3311</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3312</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3313</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3314</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3315</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3316</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3317</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3318</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3319</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3320</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3321</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3322</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3323</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3324</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3325</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3326</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3327</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3328</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3329</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3330</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3331</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3332</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3333</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3334</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3335</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3336</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3337</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3338</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3339</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3340</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3341</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3342</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3343</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3344</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3345</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3346</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3347</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3348</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3349</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3350</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3351</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3352</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3353</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3354</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3355</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3356</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3357</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3358</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3359</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3360</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3361</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3362</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3363</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3364</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3365</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3366</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3367</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3368</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3369</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3370</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3371</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3372</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3373</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3374</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3375</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3376</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3377</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3378</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3379</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3380</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3381</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3382</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3383</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3384</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3385</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3386</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3387</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3388</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3389</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3390</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3391</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3392</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3393</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3394</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3395</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3396</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3397</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3398</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3399</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3400</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3401</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3402</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3403</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3404</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3405</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3406</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3407</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3408</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3409</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3410</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3411</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3412</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3413</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3414</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3415</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3416</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3417</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3418</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3419</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3420</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3421</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3422</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3423</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3424</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3425</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3426</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3427</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3428</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3429</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3430</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3431</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3432</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3433</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3434</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3435</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3436</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3437</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3438</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3439</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3440</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3441</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3442</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3443</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3444</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3445</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3446</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3447</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3448</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3449</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3450</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3451</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3452</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3453</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3454</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3455</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3456</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3457</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3458</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3459</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3460</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3461</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3462</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3463</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3464</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3465</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3466</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3467</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3468</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3469</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3470</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3471</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3472</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3473</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3474</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3475</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3476</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3477</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3478</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3479</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3480</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3481</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3482</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3483</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3484</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3485</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3486</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3487</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3488</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3489</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3490</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3491</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3492</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3493</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3494</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3495</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3496</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3497</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3498</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3499</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3500</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3501</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3502</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3503</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3504</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3505</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3506</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3507</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3508</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3509</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3510</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3511</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3512</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3513</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3514</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3515</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3516</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3517</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3518</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3519</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3520</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3521</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3522</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3523</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3524</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3525</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3526</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3527</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3528</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3529</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3530</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3531</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3532</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3533</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3534</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3535</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3536</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3537</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3538</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3539</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3540</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3541</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3542</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3543</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3544</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3545</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3546</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3547</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3548</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3549</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3550</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3551</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3552</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3553</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3554</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3555</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3556</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3557</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3558</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3559</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3560</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3561</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3562</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3563</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3564</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3565</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3566</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3567</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3568</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3569</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3570</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3571</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3572</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3573</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3574</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3575</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3576</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3577</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3578</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3579</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3580</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3581</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3582</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3583</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3584</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3585</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3586</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3587</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3588</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3589</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3590</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3591</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3592</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3593</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3594</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3595</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3596</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3597</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3598</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3599</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3600</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3601</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3602</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3603</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3604</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3605</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3606</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3607</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3608</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3609</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3610</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3611</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3612</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3613</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3614</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3615</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3616</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3617</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3618</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3619</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3620</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3621</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3622</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3623</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3624</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3625</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3626</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3627</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3628</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3629</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3630</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3631</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3632</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3633</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3634</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3635</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3636</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3637</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3638</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3639</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3640</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3641</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3642</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3643</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3644</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3645</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3646</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3647</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3648</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3649</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3650</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3651</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3652</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3653</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3654</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3655</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3656</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3657</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3658</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3659</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3660</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3661</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3662</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3663</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3664</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3665</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3666</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3667</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3668</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3669</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3670</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3671</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3672</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3673</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3674</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3675</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3676</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3677</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3678</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3679</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3680</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3681</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3682</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3683</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3684</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3685</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3686</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3687</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3688</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3689</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3690</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3691</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3692</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3693</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3694</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3695</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3696</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3697</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3698</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3699</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3700</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3701</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3702</v>
      </c>
      <c r="B532" s="33" t="s">
        <v>1726</v>
      </c>
      <c r="C532" s="34" t="s">
        <v>3703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3704</v>
      </c>
      <c r="B533" s="33" t="s">
        <v>1726</v>
      </c>
      <c r="C533" s="34" t="s">
        <v>3703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3705</v>
      </c>
      <c r="B534" s="33" t="s">
        <v>1726</v>
      </c>
      <c r="C534" s="34" t="s">
        <v>3703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3706</v>
      </c>
      <c r="B535" s="33" t="s">
        <v>1726</v>
      </c>
      <c r="C535" s="34" t="s">
        <v>3703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3707</v>
      </c>
      <c r="B536" s="33" t="s">
        <v>1726</v>
      </c>
      <c r="C536" s="34" t="s">
        <v>3703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3708</v>
      </c>
      <c r="B537" s="33" t="s">
        <v>1726</v>
      </c>
      <c r="C537" s="34" t="s">
        <v>3703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3709</v>
      </c>
      <c r="B538" s="33" t="s">
        <v>1726</v>
      </c>
      <c r="C538" s="34" t="s">
        <v>3703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3710</v>
      </c>
      <c r="B539" s="33" t="s">
        <v>1726</v>
      </c>
      <c r="C539" s="34" t="s">
        <v>3703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3711</v>
      </c>
      <c r="B540" s="33" t="s">
        <v>1726</v>
      </c>
      <c r="C540" s="34" t="s">
        <v>3703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3712</v>
      </c>
      <c r="B541" s="33" t="s">
        <v>1726</v>
      </c>
      <c r="C541" s="34" t="s">
        <v>3703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3713</v>
      </c>
      <c r="B542" s="33" t="s">
        <v>1726</v>
      </c>
      <c r="C542" s="34" t="s">
        <v>3703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3714</v>
      </c>
      <c r="B543" s="33" t="s">
        <v>1726</v>
      </c>
      <c r="C543" s="34" t="s">
        <v>3703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3715</v>
      </c>
      <c r="B544" s="33" t="s">
        <v>1726</v>
      </c>
      <c r="C544" s="34" t="s">
        <v>3703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3716</v>
      </c>
      <c r="B545" s="33" t="s">
        <v>1726</v>
      </c>
      <c r="C545" s="34" t="s">
        <v>3703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3717</v>
      </c>
      <c r="B546" s="33" t="s">
        <v>1726</v>
      </c>
      <c r="C546" s="34" t="s">
        <v>3703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3718</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3719</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3720</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3721</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3722</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3723</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3724</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3725</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3726</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3727</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3728</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3729</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3730</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3731</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3732</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3733</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3734</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3735</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3736</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3737</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3738</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3739</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3740</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3741</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3742</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3743</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3744</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3745</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3746</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3747</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3748</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3749</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3750</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3751</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3752</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3753</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3754</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3755</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3756</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3757</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3758</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3759</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3760</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3761</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3762</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3763</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3764</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3765</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3766</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3767</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3768</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3769</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3770</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3771</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3772</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3773</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3774</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3775</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3776</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3777</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3778</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3779</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3780</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3781</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3782</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3783</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3784</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3785</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3786</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3787</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3788</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3789</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3790</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3791</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3792</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3793</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3794</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3795</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3796</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3797</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3798</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3799</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3800</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3801</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3802</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3803</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3804</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3805</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3806</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3807</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3808</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3809</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3810</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3811</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3812</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3813</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3814</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3815</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3816</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3817</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3818</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3819</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3820</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3821</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3822</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3823</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3824</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3825</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3826</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3827</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3828</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3829</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3830</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3831</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3832</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3833</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3834</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3835</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3836</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3837</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3838</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3839</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3840</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3841</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3842</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3843</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3844</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3845</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3846</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3847</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3848</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3849</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3850</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3851</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3852</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3853</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3854</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3855</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3856</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3857</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3858</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3859</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3860</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3861</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3862</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3863</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3864</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3865</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3866</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3867</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3868</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3869</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3870</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3871</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3872</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3873</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3874</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3875</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3876</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3877</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3878</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3879</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3880</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3881</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3882</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3883</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3884</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3885</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3886</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3887</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3888</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3889</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3890</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3891</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3892</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3893</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3894</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3895</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3896</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3897</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3898</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3899</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3900</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3901</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3902</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3903</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3904</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3905</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3906</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3907</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3908</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3909</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3910</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3911</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3912</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3913</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3914</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3915</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3916</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3917</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3918</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3919</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3920</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3921</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3922</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3923</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3924</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3925</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3926</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3927</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3928</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3929</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3930</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3931</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3932</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3933</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3934</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3935</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3936</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3937</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3938</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3939</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3940</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3941</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3942</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3943</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3944</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3945</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3946</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3947</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3948</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3949</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3950</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3951</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3952</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3953</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3954</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3955</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3956</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3957</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3958</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3959</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3960</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3961</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3962</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3963</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3964</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3965</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3966</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3967</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3968</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3969</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3970</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3971</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3972</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3973</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3974</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3975</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3976</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3977</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3978</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3979</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3980</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3981</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3982</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3983</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3984</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3985</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3986</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3987</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3988</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3989</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3990</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3991</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3992</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3993</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3994</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3995</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3996</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3997</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3998</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3999</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4000</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4001</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4002</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4003</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4004</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4005</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4006</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4007</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4008</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4009</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4010</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4011</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4012</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4013</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4014</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4015</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4016</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4017</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4018</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4019</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4020</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4021</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4022</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4023</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4024</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4025</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4026</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4027</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4028</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4029</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4030</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4031</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4032</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4033</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4034</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4035</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4036</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4037</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4038</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4039</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4040</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4041</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4042</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4043</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4044</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4045</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4046</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4047</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4048</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4049</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4050</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4051</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4052</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4053</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4054</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4055</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4056</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4057</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4058</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4059</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4060</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4061</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4062</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4063</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4064</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4065</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4066</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4067</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4068</v>
      </c>
      <c r="B897" s="37" t="s">
        <v>1726</v>
      </c>
      <c r="C897" s="38" t="s">
        <v>3703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4069</v>
      </c>
      <c r="B898" s="37" t="s">
        <v>1726</v>
      </c>
      <c r="C898" s="38" t="s">
        <v>3703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4070</v>
      </c>
      <c r="B899" s="37" t="s">
        <v>1726</v>
      </c>
      <c r="C899" s="38" t="s">
        <v>3703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4071</v>
      </c>
      <c r="B900" s="37" t="s">
        <v>1726</v>
      </c>
      <c r="C900" s="38" t="s">
        <v>3703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4072</v>
      </c>
      <c r="B901" s="37" t="s">
        <v>1726</v>
      </c>
      <c r="C901" s="38" t="s">
        <v>3703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4073</v>
      </c>
      <c r="B902" s="37" t="s">
        <v>1726</v>
      </c>
      <c r="C902" s="38" t="s">
        <v>3703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4074</v>
      </c>
      <c r="B903" s="37" t="s">
        <v>1726</v>
      </c>
      <c r="C903" s="38" t="s">
        <v>3703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4075</v>
      </c>
      <c r="B904" s="37" t="s">
        <v>1726</v>
      </c>
      <c r="C904" s="38" t="s">
        <v>3703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4076</v>
      </c>
      <c r="B905" s="37" t="s">
        <v>1726</v>
      </c>
      <c r="C905" s="38" t="s">
        <v>3703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4077</v>
      </c>
      <c r="B906" s="37" t="s">
        <v>1726</v>
      </c>
      <c r="C906" s="38" t="s">
        <v>3703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4078</v>
      </c>
      <c r="B907" s="37" t="s">
        <v>1726</v>
      </c>
      <c r="C907" s="38" t="s">
        <v>3703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4079</v>
      </c>
      <c r="B908" s="37" t="s">
        <v>1726</v>
      </c>
      <c r="C908" s="38" t="s">
        <v>3703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4080</v>
      </c>
      <c r="B909" s="37" t="s">
        <v>1726</v>
      </c>
      <c r="C909" s="38" t="s">
        <v>3703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4081</v>
      </c>
      <c r="B910" s="37" t="s">
        <v>1726</v>
      </c>
      <c r="C910" s="38" t="s">
        <v>3703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4082</v>
      </c>
      <c r="B911" s="37" t="s">
        <v>1726</v>
      </c>
      <c r="C911" s="38" t="s">
        <v>3703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4083</v>
      </c>
      <c r="B912" s="37" t="s">
        <v>1726</v>
      </c>
      <c r="C912" s="38" t="s">
        <v>3703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4084</v>
      </c>
      <c r="B913" s="37" t="s">
        <v>1726</v>
      </c>
      <c r="C913" s="38" t="s">
        <v>3703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4085</v>
      </c>
      <c r="B914" s="37" t="s">
        <v>1726</v>
      </c>
      <c r="C914" s="38" t="s">
        <v>3703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4086</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4087</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4088</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4089</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4090</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4091</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4092</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4093</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4094</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4095</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4096</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4097</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4098</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4099</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4100</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4101</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4102</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4103</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4104</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4105</v>
      </c>
      <c r="B934" s="26"/>
      <c r="C934" s="42" t="s">
        <v>3201</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4106</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4107</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4108</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4109</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4110</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4111</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4112</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4113</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4114</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4115</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4116</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4117</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4118</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4119</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4120</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4121</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4122</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4123</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12" sqref="C12"/>
    </sheetView>
  </sheetViews>
  <sheetFormatPr defaultColWidth="9" defaultRowHeight="13.5"/>
  <cols>
    <col min="1" max="1" width="14.375" customWidth="1"/>
    <col min="2" max="2" width="23.5" customWidth="1"/>
    <col min="3" max="14" width="12.8166666666667"/>
  </cols>
  <sheetData>
    <row r="1" spans="1:14">
      <c r="A1" s="11" t="s">
        <v>4132</v>
      </c>
      <c r="B1" s="17" t="s">
        <v>4133</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4134</v>
      </c>
      <c r="C2">
        <f>'2 过程管理表单'!Z5</f>
        <v>0</v>
      </c>
      <c r="D2">
        <f>'2 过程管理表单'!AC5</f>
        <v>0</v>
      </c>
      <c r="E2">
        <f>'2 过程管理表单'!AF5</f>
        <v>1177.40216450216</v>
      </c>
      <c r="F2">
        <f>'2 过程管理表单'!AI5</f>
        <v>1795.41558441558</v>
      </c>
      <c r="G2">
        <f>'2 过程管理表单'!AL5</f>
        <v>1855.26277056277</v>
      </c>
      <c r="H2">
        <f>'2 过程管理表单'!AO5</f>
        <v>1795.41558441558</v>
      </c>
      <c r="I2">
        <f>'2 过程管理表单'!AR5</f>
        <v>1855.26277056277</v>
      </c>
      <c r="J2">
        <f>'2 过程管理表单'!AU5</f>
        <v>1855.26277056277</v>
      </c>
      <c r="K2">
        <f>'2 过程管理表单'!AX5</f>
        <v>1795.41558441558</v>
      </c>
      <c r="L2">
        <f>'2 过程管理表单'!BA5</f>
        <v>1855.26277056277</v>
      </c>
      <c r="M2">
        <f>'2 过程管理表单'!BD5</f>
        <v>0</v>
      </c>
      <c r="N2">
        <f>'2 过程管理表单'!BG4</f>
        <v>0</v>
      </c>
    </row>
    <row r="3" spans="1:14">
      <c r="A3" s="6" t="s">
        <v>214</v>
      </c>
      <c r="B3" s="17" t="s">
        <v>4135</v>
      </c>
      <c r="C3">
        <f t="shared" ref="C3:C7" si="0">C2</f>
        <v>0</v>
      </c>
      <c r="D3">
        <f t="shared" ref="D3:N3" si="1">C3+D2</f>
        <v>0</v>
      </c>
      <c r="E3">
        <f t="shared" si="1"/>
        <v>1177.40216450216</v>
      </c>
      <c r="F3">
        <f t="shared" si="1"/>
        <v>2972.81774891775</v>
      </c>
      <c r="G3">
        <f t="shared" si="1"/>
        <v>4828.08051948052</v>
      </c>
      <c r="H3">
        <f t="shared" si="1"/>
        <v>6623.4961038961</v>
      </c>
      <c r="I3">
        <f t="shared" si="1"/>
        <v>8478.75887445888</v>
      </c>
      <c r="J3">
        <f t="shared" si="1"/>
        <v>10334.0216450217</v>
      </c>
      <c r="K3">
        <f t="shared" si="1"/>
        <v>12129.4372294372</v>
      </c>
      <c r="L3">
        <f t="shared" si="1"/>
        <v>13984.7</v>
      </c>
      <c r="M3">
        <f t="shared" si="1"/>
        <v>13984.7</v>
      </c>
      <c r="N3">
        <f t="shared" si="1"/>
        <v>13984.7</v>
      </c>
    </row>
    <row r="4" spans="1:14">
      <c r="A4" s="6" t="s">
        <v>214</v>
      </c>
      <c r="B4" s="17" t="s">
        <v>4136</v>
      </c>
      <c r="C4">
        <f>'2 过程管理表单'!X5-'2 过程管理表单'!X8-'2 过程管理表单'!X27-'2 过程管理表单'!X46-'2 过程管理表单'!X71-'2 过程管理表单'!X96-'2 过程管理表单'!X115-'2 过程管理表单'!X140-'2 过程管理表单'!X159</f>
        <v>44461.4398241436</v>
      </c>
      <c r="D4">
        <f>'2 过程管理表单'!AA5-'2 过程管理表单'!AA8-'2 过程管理表单'!AA27-'2 过程管理表单'!AA46-'2 过程管理表单'!AA71-'2 过程管理表单'!AA96-'2 过程管理表单'!AA115-'2 过程管理表单'!AA140-'2 过程管理表单'!AA159</f>
        <v>33140.6851071625</v>
      </c>
      <c r="E4">
        <f>'2 过程管理表单'!AD5-'2 过程管理表单'!AD8-'2 过程管理表单'!AD27-'2 过程管理表单'!AD46-'2 过程管理表单'!AD71-'2 过程管理表单'!AD96-'2 过程管理表单'!AD115-'2 过程管理表单'!AD140-'2 过程管理表单'!AD159</f>
        <v>33140.6851071625</v>
      </c>
      <c r="F4">
        <f>'2 过程管理表单'!AG5-'2 过程管理表单'!AG8-'2 过程管理表单'!AG27-'2 过程管理表单'!AG46-'2 过程管理表单'!AG71-'2 过程管理表单'!AG96-'2 过程管理表单'!AG115-'2 过程管理表单'!AG140-'2 过程管理表单'!AG159</f>
        <v>33140.6851071625</v>
      </c>
      <c r="G4">
        <f>'2 过程管理表单'!AJ5-'2 过程管理表单'!AJ8-'2 过程管理表单'!AJ27-'2 过程管理表单'!AJ46-'2 过程管理表单'!AJ71-'2 过程管理表单'!AJ96-'2 过程管理表单'!AJ115-'2 过程管理表单'!AJ140-'2 过程管理表单'!AJ159</f>
        <v>33140.6851071625</v>
      </c>
      <c r="H4">
        <f>'2 过程管理表单'!AM5-'2 过程管理表单'!AM8-'2 过程管理表单'!AM27-'2 过程管理表单'!AM46-'2 过程管理表单'!AM71-'2 过程管理表单'!AM96-'2 过程管理表单'!AM115-'2 过程管理表单'!AM140-'2 过程管理表单'!AM159</f>
        <v>33140.6851071625</v>
      </c>
      <c r="I4">
        <f>'2 过程管理表单'!AP5-'2 过程管理表单'!AP8-'2 过程管理表单'!AP27-'2 过程管理表单'!AP46-'2 过程管理表单'!AP71-'2 过程管理表单'!AP96-'2 过程管理表单'!AP115-'2 过程管理表单'!AP140-'2 过程管理表单'!AP159</f>
        <v>33140.6851071625</v>
      </c>
      <c r="J4">
        <f>'2 过程管理表单'!AS5-'2 过程管理表单'!AS8-'2 过程管理表单'!AS27-'2 过程管理表单'!AS46-'2 过程管理表单'!AS71-'2 过程管理表单'!AS96-'2 过程管理表单'!AS115-'2 过程管理表单'!AS140-'2 过程管理表单'!AS159</f>
        <v>33140.6851071625</v>
      </c>
      <c r="K4">
        <f>'2 过程管理表单'!AV5-'2 过程管理表单'!AV8-'2 过程管理表单'!AV27-'2 过程管理表单'!AV46-'2 过程管理表单'!AV71-'2 过程管理表单'!AV96-'2 过程管理表单'!AV115-'2 过程管理表单'!AV140-'2 过程管理表单'!AV159</f>
        <v>33140.6851071625</v>
      </c>
      <c r="L4">
        <f>'2 过程管理表单'!AY5-'2 过程管理表单'!AY8-'2 过程管理表单'!AY27-'2 过程管理表单'!AY46-'2 过程管理表单'!AY71-'2 过程管理表单'!AY96-'2 过程管理表单'!AY115-'2 过程管理表单'!AY140-'2 过程管理表单'!AY159</f>
        <v>33140.6851071625</v>
      </c>
      <c r="M4">
        <f>'2 过程管理表单'!BB5-'2 过程管理表单'!BB8-'2 过程管理表单'!BB27-'2 过程管理表单'!BB46-'2 过程管理表单'!BB71-'2 过程管理表单'!BB96-'2 过程管理表单'!BB115-'2 过程管理表单'!BB140-'2 过程管理表单'!BB159</f>
        <v>33140.6851071625</v>
      </c>
      <c r="N4">
        <f>'2 过程管理表单'!BE5-'2 过程管理表单'!BE8-'2 过程管理表单'!BE27-'2 过程管理表单'!BE46-'2 过程管理表单'!BE71-'2 过程管理表单'!BE96-'2 过程管理表单'!BE115-'2 过程管理表单'!BE140-'2 过程管理表单'!BE159</f>
        <v>33140.6851071625</v>
      </c>
    </row>
    <row r="5" spans="1:14">
      <c r="A5" s="6" t="s">
        <v>214</v>
      </c>
      <c r="B5" s="17" t="s">
        <v>4137</v>
      </c>
      <c r="C5">
        <f t="shared" si="0"/>
        <v>44461.4398241436</v>
      </c>
      <c r="D5">
        <f t="shared" ref="D5:N5" si="2">C5+D4</f>
        <v>77602.1249313062</v>
      </c>
      <c r="E5">
        <f t="shared" si="2"/>
        <v>110742.810038469</v>
      </c>
      <c r="F5">
        <f t="shared" si="2"/>
        <v>143883.495145631</v>
      </c>
      <c r="G5">
        <f t="shared" si="2"/>
        <v>177024.180252794</v>
      </c>
      <c r="H5">
        <f t="shared" si="2"/>
        <v>210164.865359956</v>
      </c>
      <c r="I5">
        <f t="shared" si="2"/>
        <v>243305.550467119</v>
      </c>
      <c r="J5">
        <f t="shared" si="2"/>
        <v>276446.235574281</v>
      </c>
      <c r="K5">
        <f t="shared" si="2"/>
        <v>309586.920681444</v>
      </c>
      <c r="L5">
        <f t="shared" si="2"/>
        <v>342727.605788606</v>
      </c>
      <c r="M5">
        <f t="shared" si="2"/>
        <v>375868.290895769</v>
      </c>
      <c r="N5">
        <f t="shared" si="2"/>
        <v>409008.976002931</v>
      </c>
    </row>
    <row r="6" spans="1:14">
      <c r="A6" s="6" t="s">
        <v>9</v>
      </c>
      <c r="B6" s="18" t="s">
        <v>4138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4139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4140</v>
      </c>
      <c r="C8">
        <f>'2 过程管理表单'!X508</f>
        <v>1200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4141</v>
      </c>
      <c r="C9">
        <f t="shared" ref="C9:C13" si="4">C8</f>
        <v>1200</v>
      </c>
      <c r="D9">
        <f t="shared" ref="D9:N9" si="5">C9+D8</f>
        <v>1200</v>
      </c>
      <c r="E9">
        <f t="shared" si="5"/>
        <v>1200</v>
      </c>
      <c r="F9">
        <f t="shared" si="5"/>
        <v>1200</v>
      </c>
      <c r="G9">
        <f t="shared" si="5"/>
        <v>1200</v>
      </c>
      <c r="H9">
        <f t="shared" si="5"/>
        <v>1200</v>
      </c>
      <c r="I9">
        <f t="shared" si="5"/>
        <v>1200</v>
      </c>
      <c r="J9">
        <f t="shared" si="5"/>
        <v>1200</v>
      </c>
      <c r="K9">
        <f t="shared" si="5"/>
        <v>1200</v>
      </c>
      <c r="L9">
        <f t="shared" si="5"/>
        <v>1200</v>
      </c>
      <c r="M9">
        <f t="shared" si="5"/>
        <v>1200</v>
      </c>
      <c r="N9">
        <f t="shared" si="5"/>
        <v>1200</v>
      </c>
    </row>
    <row r="10" spans="1:14">
      <c r="A10" s="6" t="s">
        <v>64</v>
      </c>
      <c r="B10" s="17" t="s">
        <v>4142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4143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4144</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4145</v>
      </c>
      <c r="C13">
        <f t="shared" si="4"/>
        <v>4000</v>
      </c>
      <c r="D13">
        <f t="shared" ref="D13:N13" si="7">C13+D12</f>
        <v>4000</v>
      </c>
      <c r="E13">
        <f t="shared" si="7"/>
        <v>4000</v>
      </c>
      <c r="F13">
        <f t="shared" si="7"/>
        <v>4000</v>
      </c>
      <c r="G13">
        <f t="shared" si="7"/>
        <v>4000</v>
      </c>
      <c r="H13">
        <f t="shared" si="7"/>
        <v>4000</v>
      </c>
      <c r="I13">
        <f t="shared" si="7"/>
        <v>4000</v>
      </c>
      <c r="J13">
        <f t="shared" si="7"/>
        <v>4000</v>
      </c>
      <c r="K13">
        <f t="shared" si="7"/>
        <v>4000</v>
      </c>
      <c r="L13">
        <f t="shared" si="7"/>
        <v>4000</v>
      </c>
      <c r="M13">
        <f t="shared" si="7"/>
        <v>4000</v>
      </c>
      <c r="N13">
        <f t="shared" si="7"/>
        <v>4000</v>
      </c>
    </row>
    <row r="14" spans="1:14">
      <c r="A14" s="6" t="s">
        <v>215</v>
      </c>
      <c r="B14" s="17" t="s">
        <v>4146</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4147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4148</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4149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4150</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4151</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4152</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4153</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4154</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4155</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4156</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4157</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4159</v>
      </c>
      <c r="B26" s="21" t="s">
        <v>4160</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4159</v>
      </c>
      <c r="B27" s="21" t="s">
        <v>4161</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0" t="s">
        <v>4159</v>
      </c>
      <c r="B28" s="21" t="s">
        <v>4162</v>
      </c>
      <c r="C28">
        <f>'2 过程管理表单'!X6</f>
        <v>50701.0913207547</v>
      </c>
      <c r="D28">
        <f>'2 过程管理表单'!AA6</f>
        <v>48063.9313207547</v>
      </c>
      <c r="E28">
        <f>'2 过程管理表单'!AD6</f>
        <v>48063.9313207547</v>
      </c>
      <c r="F28">
        <f>'2 过程管理表单'!AG6</f>
        <v>48063.9313207547</v>
      </c>
      <c r="G28">
        <f>'2 过程管理表单'!AJ6</f>
        <v>48063.9313207547</v>
      </c>
      <c r="H28">
        <f>'2 过程管理表单'!AM6</f>
        <v>48063.9313207547</v>
      </c>
      <c r="I28">
        <f>'2 过程管理表单'!AP6</f>
        <v>48063.9313207547</v>
      </c>
      <c r="J28">
        <f>'2 过程管理表单'!AS6</f>
        <v>48063.9313207547</v>
      </c>
      <c r="K28">
        <f>'2 过程管理表单'!AV6</f>
        <v>48063.9313207547</v>
      </c>
      <c r="L28">
        <f>'2 过程管理表单'!AY6</f>
        <v>48063.9313207547</v>
      </c>
      <c r="M28">
        <f>'2 过程管理表单'!BB6</f>
        <v>48063.9313207547</v>
      </c>
      <c r="N28">
        <f>'2 过程管理表单'!BE6</f>
        <v>48063.9313207547</v>
      </c>
    </row>
    <row r="29" spans="1:14">
      <c r="A29" s="20" t="s">
        <v>4159</v>
      </c>
      <c r="B29" s="21" t="s">
        <v>4163</v>
      </c>
      <c r="C29">
        <f t="shared" si="11"/>
        <v>50701.0913207547</v>
      </c>
      <c r="D29">
        <f>表3_36[[#This Row],[1月]]+D28</f>
        <v>98765.0226415095</v>
      </c>
      <c r="E29">
        <f>表3_36[[#This Row],[2月]]+E28</f>
        <v>146828.953962264</v>
      </c>
      <c r="F29">
        <f>表3_36[[#This Row],[3月]]+F28</f>
        <v>194892.885283019</v>
      </c>
      <c r="G29">
        <f>表3_36[[#This Row],[4月]]+G28</f>
        <v>242956.816603774</v>
      </c>
      <c r="H29">
        <f>表3_36[[#This Row],[5月]]+H28</f>
        <v>291020.747924528</v>
      </c>
      <c r="I29">
        <f>表3_36[[#This Row],[6月]]+I28</f>
        <v>339084.679245283</v>
      </c>
      <c r="J29">
        <f>表3_36[[#This Row],[7月]]+J28</f>
        <v>387148.610566038</v>
      </c>
      <c r="K29">
        <f>表3_36[[#This Row],[8月]]+K28</f>
        <v>435212.541886793</v>
      </c>
      <c r="L29">
        <f>表3_36[[#This Row],[9月]]+L28</f>
        <v>483276.473207548</v>
      </c>
      <c r="M29">
        <f>表3_36[[#This Row],[10月]]+M28</f>
        <v>531340.404528302</v>
      </c>
      <c r="N29">
        <f>表3_36[[#This Row],[11月]]+N28</f>
        <v>579404.335849057</v>
      </c>
    </row>
    <row r="30" spans="1:14">
      <c r="A30" s="20" t="s">
        <v>4164</v>
      </c>
      <c r="B30" s="21" t="s">
        <v>4160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4164</v>
      </c>
      <c r="B31" s="21" t="s">
        <v>4161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4164</v>
      </c>
      <c r="B32" s="21" t="s">
        <v>4162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4164</v>
      </c>
      <c r="B33" s="21" t="s">
        <v>4163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4165</v>
      </c>
      <c r="B34" s="21" t="s">
        <v>4160</v>
      </c>
      <c r="C34" s="22">
        <f>'2 过程管理表单'!Z177</f>
        <v>0</v>
      </c>
      <c r="D34" s="22">
        <f>'2 过程管理表单'!AC177</f>
        <v>0</v>
      </c>
      <c r="E34" s="22">
        <f>'2 过程管理表单'!AF177</f>
        <v>1177.40216450216</v>
      </c>
      <c r="F34" s="22">
        <f>'2 过程管理表单'!AI177</f>
        <v>1795.41558441558</v>
      </c>
      <c r="G34" s="22">
        <f>'2 过程管理表单'!AL177</f>
        <v>1855.26277056277</v>
      </c>
      <c r="H34" s="22">
        <f>'2 过程管理表单'!AO177</f>
        <v>1795.41558441558</v>
      </c>
      <c r="I34" s="22">
        <f>'2 过程管理表单'!AR177</f>
        <v>1855.26277056277</v>
      </c>
      <c r="J34" s="22">
        <f>'2 过程管理表单'!AU177</f>
        <v>1855.26277056277</v>
      </c>
      <c r="K34" s="22">
        <f>'2 过程管理表单'!AX177</f>
        <v>1795.41558441558</v>
      </c>
      <c r="L34" s="22">
        <f>'2 过程管理表单'!BA177</f>
        <v>1855.26277056277</v>
      </c>
      <c r="M34" s="22">
        <f>'2 过程管理表单'!BD177</f>
        <v>0</v>
      </c>
      <c r="N34" s="22">
        <f>'2 过程管理表单'!BG177</f>
        <v>0</v>
      </c>
    </row>
    <row r="35" spans="1:14">
      <c r="A35" s="20" t="s">
        <v>4165</v>
      </c>
      <c r="B35" s="21" t="s">
        <v>4161</v>
      </c>
      <c r="C35" s="22">
        <f t="shared" si="12"/>
        <v>0</v>
      </c>
      <c r="D35" s="22">
        <f>C35+C34</f>
        <v>0</v>
      </c>
      <c r="E35" s="22">
        <f t="shared" ref="E35:G35" si="13">D35+E34</f>
        <v>1177.40216450216</v>
      </c>
      <c r="F35" s="22">
        <f t="shared" si="13"/>
        <v>2972.81774891775</v>
      </c>
      <c r="G35" s="22">
        <f t="shared" si="13"/>
        <v>4828.08051948052</v>
      </c>
      <c r="H35" s="22">
        <f t="shared" ref="H35:N35" si="14">H34+G35</f>
        <v>6623.4961038961</v>
      </c>
      <c r="I35" s="22">
        <f t="shared" si="14"/>
        <v>8478.75887445888</v>
      </c>
      <c r="J35" s="22">
        <f t="shared" si="14"/>
        <v>10334.0216450217</v>
      </c>
      <c r="K35" s="22">
        <f t="shared" si="14"/>
        <v>12129.4372294372</v>
      </c>
      <c r="L35" s="22">
        <f t="shared" si="14"/>
        <v>13984.7</v>
      </c>
      <c r="M35" s="22">
        <f t="shared" si="14"/>
        <v>13984.7</v>
      </c>
      <c r="N35" s="22">
        <f t="shared" si="14"/>
        <v>13984.7</v>
      </c>
    </row>
    <row r="36" spans="1:14">
      <c r="A36" s="20" t="s">
        <v>4165</v>
      </c>
      <c r="B36" s="21" t="s">
        <v>4162</v>
      </c>
      <c r="C36" s="22">
        <f>'2 过程管理表单'!X177</f>
        <v>12291.6285033889</v>
      </c>
      <c r="D36" s="22">
        <f>'2 过程管理表单'!AA177</f>
        <v>970.873786407767</v>
      </c>
      <c r="E36" s="22">
        <f>'2 过程管理表单'!AD177</f>
        <v>970.873786407767</v>
      </c>
      <c r="F36" s="22">
        <f>'2 过程管理表单'!AG177</f>
        <v>970.873786407767</v>
      </c>
      <c r="G36" s="22">
        <f>'2 过程管理表单'!AJ177</f>
        <v>970.873786407767</v>
      </c>
      <c r="H36" s="22">
        <f>'2 过程管理表单'!AM177</f>
        <v>970.873786407767</v>
      </c>
      <c r="I36" s="22">
        <f>'2 过程管理表单'!AP177</f>
        <v>970.873786407767</v>
      </c>
      <c r="J36" s="22">
        <f>'2 过程管理表单'!AS177</f>
        <v>970.873786407767</v>
      </c>
      <c r="K36" s="22">
        <f>'2 过程管理表单'!AV177</f>
        <v>970.873786407767</v>
      </c>
      <c r="L36" s="22">
        <f>'2 过程管理表单'!AY177</f>
        <v>970.873786407767</v>
      </c>
      <c r="M36" s="22">
        <f>'2 过程管理表单'!BB177</f>
        <v>970.873786407767</v>
      </c>
      <c r="N36" s="22">
        <f>'2 过程管理表单'!BE177</f>
        <v>970.873786407767</v>
      </c>
    </row>
    <row r="37" spans="1:14">
      <c r="A37" s="20" t="s">
        <v>4165</v>
      </c>
      <c r="B37" s="21" t="s">
        <v>4163</v>
      </c>
      <c r="C37" s="14">
        <f t="shared" si="12"/>
        <v>12291.6285033889</v>
      </c>
      <c r="D37" s="13">
        <f t="shared" ref="D37:N37" si="15">D36+C37</f>
        <v>13262.5022897967</v>
      </c>
      <c r="E37" s="14">
        <f t="shared" si="15"/>
        <v>14233.3760762044</v>
      </c>
      <c r="F37" s="14">
        <f t="shared" si="15"/>
        <v>15204.2498626122</v>
      </c>
      <c r="G37" s="14">
        <f t="shared" si="15"/>
        <v>16175.12364902</v>
      </c>
      <c r="H37" s="14">
        <f t="shared" si="15"/>
        <v>17145.9974354277</v>
      </c>
      <c r="I37" s="14">
        <f t="shared" si="15"/>
        <v>18116.8712218355</v>
      </c>
      <c r="J37" s="14">
        <f t="shared" si="15"/>
        <v>19087.7450082433</v>
      </c>
      <c r="K37" s="14">
        <f t="shared" si="15"/>
        <v>20058.618794651</v>
      </c>
      <c r="L37" s="14">
        <f t="shared" si="15"/>
        <v>21029.4925810588</v>
      </c>
      <c r="M37" s="14">
        <f t="shared" si="15"/>
        <v>22000.3663674666</v>
      </c>
      <c r="N37" s="13">
        <f t="shared" si="15"/>
        <v>22971.2401538743</v>
      </c>
    </row>
    <row r="38" spans="1:14">
      <c r="A38" s="23" t="s">
        <v>4166</v>
      </c>
      <c r="B38" s="17" t="s">
        <v>4167</v>
      </c>
      <c r="C38">
        <f t="shared" ref="C38:N38" si="16">C5+C9+C13+C17+C21+C25</f>
        <v>49661.4398241436</v>
      </c>
      <c r="D38">
        <f t="shared" si="16"/>
        <v>82802.1249313062</v>
      </c>
      <c r="E38">
        <f t="shared" si="16"/>
        <v>115942.810038469</v>
      </c>
      <c r="F38">
        <f t="shared" si="16"/>
        <v>149083.495145631</v>
      </c>
      <c r="G38">
        <f t="shared" si="16"/>
        <v>182224.180252794</v>
      </c>
      <c r="H38">
        <f t="shared" si="16"/>
        <v>215364.865359956</v>
      </c>
      <c r="I38">
        <f t="shared" si="16"/>
        <v>248505.550467119</v>
      </c>
      <c r="J38">
        <f t="shared" si="16"/>
        <v>281646.235574281</v>
      </c>
      <c r="K38">
        <f t="shared" si="16"/>
        <v>314786.920681444</v>
      </c>
      <c r="L38">
        <f t="shared" si="16"/>
        <v>347927.605788606</v>
      </c>
      <c r="M38">
        <f t="shared" si="16"/>
        <v>381068.290895769</v>
      </c>
      <c r="N38">
        <f t="shared" si="16"/>
        <v>414208.976002931</v>
      </c>
    </row>
    <row r="39" spans="1:14">
      <c r="A39" s="23" t="s">
        <v>4166</v>
      </c>
      <c r="B39" s="17" t="s">
        <v>4168</v>
      </c>
      <c r="C39">
        <f t="shared" ref="C39:N39" si="17">C3+C7+C11+C15+C19+C23</f>
        <v>0</v>
      </c>
      <c r="D39">
        <f t="shared" si="17"/>
        <v>0</v>
      </c>
      <c r="E39">
        <f t="shared" si="17"/>
        <v>1177.40216450216</v>
      </c>
      <c r="F39">
        <f t="shared" si="17"/>
        <v>2972.81774891775</v>
      </c>
      <c r="G39">
        <f t="shared" si="17"/>
        <v>4828.08051948052</v>
      </c>
      <c r="H39">
        <f t="shared" si="17"/>
        <v>6623.4961038961</v>
      </c>
      <c r="I39">
        <f t="shared" si="17"/>
        <v>8478.75887445888</v>
      </c>
      <c r="J39">
        <f t="shared" si="17"/>
        <v>10334.0216450217</v>
      </c>
      <c r="K39">
        <f t="shared" si="17"/>
        <v>12129.4372294372</v>
      </c>
      <c r="L39">
        <f t="shared" si="17"/>
        <v>13984.7</v>
      </c>
      <c r="M39">
        <f t="shared" si="17"/>
        <v>13984.7</v>
      </c>
      <c r="N39">
        <f t="shared" si="17"/>
        <v>13984.7</v>
      </c>
    </row>
    <row r="40" customFormat="1"/>
    <row r="41" customFormat="1"/>
    <row r="42" spans="1:14">
      <c r="A42" s="12" t="s">
        <v>214</v>
      </c>
      <c r="B42" t="s">
        <v>4169</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4169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4169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4169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4169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4169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4159</v>
      </c>
      <c r="B48" t="s">
        <v>4169</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4164</v>
      </c>
      <c r="B49" t="s">
        <v>4169</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4165</v>
      </c>
      <c r="B50" t="s">
        <v>4169</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4170</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topLeftCell="A19" workbookViewId="0">
      <selection activeCell="C36" sqref="C36"/>
    </sheetView>
  </sheetViews>
  <sheetFormatPr defaultColWidth="9" defaultRowHeight="13.5"/>
  <cols>
    <col min="1" max="1" width="25.375" customWidth="1"/>
    <col min="2" max="2" width="19.375" customWidth="1"/>
    <col min="3" max="14" width="12.8166666666667"/>
  </cols>
  <sheetData>
    <row r="1" customFormat="1" spans="1:14">
      <c r="A1" t="s">
        <v>4171</v>
      </c>
      <c r="C1" t="s">
        <v>766</v>
      </c>
      <c r="D1" t="s">
        <v>767</v>
      </c>
      <c r="E1" t="s">
        <v>768</v>
      </c>
      <c r="F1" t="s">
        <v>769</v>
      </c>
      <c r="G1" t="s">
        <v>770</v>
      </c>
      <c r="H1" t="s">
        <v>771</v>
      </c>
      <c r="I1" t="s">
        <v>772</v>
      </c>
      <c r="J1" t="s">
        <v>773</v>
      </c>
      <c r="K1" t="s">
        <v>774</v>
      </c>
      <c r="L1" t="s">
        <v>775</v>
      </c>
      <c r="M1" t="s">
        <v>776</v>
      </c>
      <c r="N1" t="s">
        <v>777</v>
      </c>
    </row>
    <row r="2" spans="1:14">
      <c r="A2" t="s">
        <v>4172</v>
      </c>
      <c r="B2" t="s">
        <v>4160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4172</v>
      </c>
      <c r="B3" t="s">
        <v>4161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4172</v>
      </c>
      <c r="B4" t="s">
        <v>4162</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4172</v>
      </c>
      <c r="B5" t="s">
        <v>4163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4173</v>
      </c>
      <c r="B6" t="s">
        <v>4160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4173</v>
      </c>
      <c r="B7" t="s">
        <v>4161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4173</v>
      </c>
      <c r="B8" t="s">
        <v>4162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4173</v>
      </c>
      <c r="B9" t="s">
        <v>4163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4174</v>
      </c>
      <c r="B10" t="s">
        <v>4160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4174</v>
      </c>
      <c r="B11" t="s">
        <v>4161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4174</v>
      </c>
      <c r="B12" t="s">
        <v>4162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4174</v>
      </c>
      <c r="B13" t="s">
        <v>4163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4175</v>
      </c>
      <c r="B14" t="s">
        <v>4160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4175</v>
      </c>
      <c r="B15" t="s">
        <v>4161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4175</v>
      </c>
      <c r="B16" t="s">
        <v>4162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4175</v>
      </c>
      <c r="B17" t="s">
        <v>4163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4176</v>
      </c>
      <c r="B18" t="s">
        <v>4160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4176</v>
      </c>
      <c r="B19" t="s">
        <v>4161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4176</v>
      </c>
      <c r="B20" t="s">
        <v>4162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4176</v>
      </c>
      <c r="B21" t="s">
        <v>4163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4177</v>
      </c>
      <c r="B22" t="s">
        <v>4160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4177</v>
      </c>
      <c r="B23" t="s">
        <v>4161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4177</v>
      </c>
      <c r="B24" t="s">
        <v>4162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4177</v>
      </c>
      <c r="B25" t="s">
        <v>4163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4178</v>
      </c>
      <c r="B26" t="s">
        <v>4160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4178</v>
      </c>
      <c r="B27" t="s">
        <v>4161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4178</v>
      </c>
      <c r="B28" t="s">
        <v>4162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4178</v>
      </c>
      <c r="B29" t="s">
        <v>4163</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4179</v>
      </c>
      <c r="B30" t="s">
        <v>4160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4179</v>
      </c>
      <c r="B31" t="s">
        <v>4161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4179</v>
      </c>
      <c r="B32" t="s">
        <v>4162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4179</v>
      </c>
      <c r="B33" t="s">
        <v>4163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4180</v>
      </c>
      <c r="B34" t="s">
        <v>4160</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4180</v>
      </c>
      <c r="B35" t="s">
        <v>4161</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4180</v>
      </c>
      <c r="B36" t="s">
        <v>4162</v>
      </c>
      <c r="C36" cm="1">
        <f t="array" ref="C36">INDEX('2 过程管理表单'!$58:$58,24+(COLUMN(A1)-1)*3)</f>
        <v>27735.8490566038</v>
      </c>
      <c r="D36" cm="1">
        <f t="array" ref="D36">INDEX('2 过程管理表单'!$58:$58,24+(COLUMN(B1)-1)*3)</f>
        <v>27735.8490566038</v>
      </c>
      <c r="E36" cm="1">
        <f t="array" ref="E36">INDEX('2 过程管理表单'!$58:$58,24+(COLUMN(C1)-1)*3)</f>
        <v>27735.8490566038</v>
      </c>
      <c r="F36" cm="1">
        <f t="array" ref="F36">INDEX('2 过程管理表单'!$58:$58,24+(COLUMN(D1)-1)*3)</f>
        <v>27735.8490566038</v>
      </c>
      <c r="G36" cm="1">
        <f t="array" ref="G36">INDEX('2 过程管理表单'!$58:$58,24+(COLUMN(E1)-1)*3)</f>
        <v>27735.8490566038</v>
      </c>
      <c r="H36" cm="1">
        <f t="array" ref="H36">INDEX('2 过程管理表单'!$58:$58,24+(COLUMN(F1)-1)*3)</f>
        <v>27735.8490566038</v>
      </c>
      <c r="I36" cm="1">
        <f t="array" ref="I36">INDEX('2 过程管理表单'!$58:$58,24+(COLUMN(G1)-1)*3)</f>
        <v>27735.8490566038</v>
      </c>
      <c r="J36" cm="1">
        <f t="array" ref="J36">INDEX('2 过程管理表单'!$58:$58,24+(COLUMN(H1)-1)*3)</f>
        <v>27735.8490566038</v>
      </c>
      <c r="K36" cm="1">
        <f t="array" ref="K36">INDEX('2 过程管理表单'!$58:$58,24+(COLUMN(I1)-1)*3)</f>
        <v>27735.8490566038</v>
      </c>
      <c r="L36" cm="1">
        <f t="array" ref="L36">INDEX('2 过程管理表单'!$58:$58,24+(COLUMN(J1)-1)*3)</f>
        <v>27735.8490566038</v>
      </c>
      <c r="M36" cm="1">
        <f t="array" ref="M36">INDEX('2 过程管理表单'!$58:$58,24+(COLUMN(K1)-1)*3)</f>
        <v>27735.8490566038</v>
      </c>
      <c r="N36" cm="1">
        <f t="array" ref="N36">INDEX('2 过程管理表单'!$58:$58,24+(COLUMN(L1)-1)*3)</f>
        <v>27735.8490566038</v>
      </c>
    </row>
    <row r="37" spans="1:14">
      <c r="A37" t="s">
        <v>4180</v>
      </c>
      <c r="B37" t="s">
        <v>4163</v>
      </c>
      <c r="C37">
        <f t="shared" si="20"/>
        <v>27735.8490566038</v>
      </c>
      <c r="D37">
        <f t="shared" ref="D37:N37" si="23">C37+D36</f>
        <v>55471.6981132076</v>
      </c>
      <c r="E37">
        <f t="shared" si="23"/>
        <v>83207.5471698114</v>
      </c>
      <c r="F37">
        <f t="shared" si="23"/>
        <v>110943.396226415</v>
      </c>
      <c r="G37">
        <f t="shared" si="23"/>
        <v>138679.245283019</v>
      </c>
      <c r="H37">
        <f t="shared" si="23"/>
        <v>166415.094339623</v>
      </c>
      <c r="I37">
        <f t="shared" si="23"/>
        <v>194150.943396227</v>
      </c>
      <c r="J37">
        <f t="shared" si="23"/>
        <v>221886.79245283</v>
      </c>
      <c r="K37">
        <f t="shared" si="23"/>
        <v>249622.641509434</v>
      </c>
      <c r="L37">
        <f t="shared" si="23"/>
        <v>277358.490566038</v>
      </c>
      <c r="M37">
        <f t="shared" si="23"/>
        <v>305094.339622642</v>
      </c>
      <c r="N37">
        <f t="shared" si="23"/>
        <v>332830.188679246</v>
      </c>
    </row>
    <row r="38" spans="1:14">
      <c r="A38" t="s">
        <v>4181</v>
      </c>
      <c r="B38" t="s">
        <v>4160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4181</v>
      </c>
      <c r="B39" t="s">
        <v>4161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4181</v>
      </c>
      <c r="B40" t="s">
        <v>4162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4181</v>
      </c>
      <c r="B41" t="s">
        <v>4163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4182</v>
      </c>
      <c r="B42" t="s">
        <v>4160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4182</v>
      </c>
      <c r="B43" t="s">
        <v>4161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4182</v>
      </c>
      <c r="B44" t="s">
        <v>4162</v>
      </c>
      <c r="C44" cm="1">
        <f t="array" ref="C44">INDEX('2 过程管理表单'!$71:$71,24+(COLUMN(A1)-1)*3)</f>
        <v>18531.28</v>
      </c>
      <c r="D44" cm="1">
        <f t="array" ref="D44">INDEX('2 过程管理表单'!$71:$71,24+(COLUMN(B1)-1)*3)</f>
        <v>15894.12</v>
      </c>
      <c r="E44" cm="1">
        <f t="array" ref="E44">INDEX('2 过程管理表单'!$71:$71,24+(COLUMN(C1)-1)*3)</f>
        <v>15894.12</v>
      </c>
      <c r="F44" cm="1">
        <f t="array" ref="F44">INDEX('2 过程管理表单'!$71:$71,24+(COLUMN(D1)-1)*3)</f>
        <v>15894.12</v>
      </c>
      <c r="G44" cm="1">
        <f t="array" ref="G44">INDEX('2 过程管理表单'!$71:$71,24+(COLUMN(E1)-1)*3)</f>
        <v>15894.12</v>
      </c>
      <c r="H44" cm="1">
        <f t="array" ref="H44">INDEX('2 过程管理表单'!$71:$71,24+(COLUMN(F1)-1)*3)</f>
        <v>15894.12</v>
      </c>
      <c r="I44" cm="1">
        <f t="array" ref="I44">INDEX('2 过程管理表单'!$71:$71,24+(COLUMN(G1)-1)*3)</f>
        <v>15894.12</v>
      </c>
      <c r="J44" cm="1">
        <f t="array" ref="J44">INDEX('2 过程管理表单'!$71:$71,24+(COLUMN(H1)-1)*3)</f>
        <v>15894.12</v>
      </c>
      <c r="K44" cm="1">
        <f t="array" ref="K44">INDEX('2 过程管理表单'!$71:$71,24+(COLUMN(I1)-1)*3)</f>
        <v>15894.12</v>
      </c>
      <c r="L44" cm="1">
        <f t="array" ref="L44">INDEX('2 过程管理表单'!$71:$71,24+(COLUMN(J1)-1)*3)</f>
        <v>15894.12</v>
      </c>
      <c r="M44" cm="1">
        <f t="array" ref="M44">INDEX('2 过程管理表单'!$71:$71,24+(COLUMN(K1)-1)*3)</f>
        <v>15894.12</v>
      </c>
      <c r="N44" cm="1">
        <f t="array" ref="N44">INDEX('2 过程管理表单'!$71:$71,24+(COLUMN(L1)-1)*3)</f>
        <v>15894.12</v>
      </c>
    </row>
    <row r="45" spans="1:14">
      <c r="A45" t="s">
        <v>4182</v>
      </c>
      <c r="B45" t="s">
        <v>4163</v>
      </c>
      <c r="C45">
        <f t="shared" ref="C45:C49" si="28">C44</f>
        <v>18531.28</v>
      </c>
      <c r="D45">
        <f t="shared" ref="D45:N45" si="29">C45+D44</f>
        <v>34425.4</v>
      </c>
      <c r="E45">
        <f t="shared" si="29"/>
        <v>50319.52</v>
      </c>
      <c r="F45">
        <f t="shared" si="29"/>
        <v>66213.64</v>
      </c>
      <c r="G45">
        <f t="shared" si="29"/>
        <v>82107.76</v>
      </c>
      <c r="H45">
        <f t="shared" si="29"/>
        <v>98001.88</v>
      </c>
      <c r="I45">
        <f t="shared" si="29"/>
        <v>113896</v>
      </c>
      <c r="J45">
        <f t="shared" si="29"/>
        <v>129790.12</v>
      </c>
      <c r="K45">
        <f t="shared" si="29"/>
        <v>145684.24</v>
      </c>
      <c r="L45">
        <f t="shared" si="29"/>
        <v>161578.36</v>
      </c>
      <c r="M45">
        <f t="shared" si="29"/>
        <v>177472.48</v>
      </c>
      <c r="N45">
        <f t="shared" si="29"/>
        <v>193366.6</v>
      </c>
    </row>
    <row r="46" spans="1:14">
      <c r="A46" t="s">
        <v>4183</v>
      </c>
      <c r="B46" t="s">
        <v>4160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4183</v>
      </c>
      <c r="B47" t="s">
        <v>4161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4183</v>
      </c>
      <c r="B48" t="s">
        <v>4162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4183</v>
      </c>
      <c r="B49" t="s">
        <v>4163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4184</v>
      </c>
      <c r="B50" t="s">
        <v>4160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4184</v>
      </c>
      <c r="B51" t="s">
        <v>4161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4184</v>
      </c>
      <c r="B52" t="s">
        <v>4162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4184</v>
      </c>
      <c r="B53" t="s">
        <v>4163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4185</v>
      </c>
      <c r="B54" t="s">
        <v>4160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4185</v>
      </c>
      <c r="B55" t="s">
        <v>4161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4185</v>
      </c>
      <c r="B56" t="s">
        <v>4162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4185</v>
      </c>
      <c r="B57" t="s">
        <v>4163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4186</v>
      </c>
      <c r="B58" t="s">
        <v>4160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4186</v>
      </c>
      <c r="B59" t="s">
        <v>4161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4186</v>
      </c>
      <c r="B60" t="s">
        <v>4162</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4186</v>
      </c>
      <c r="B61" t="s">
        <v>4163</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4187</v>
      </c>
      <c r="B62" t="s">
        <v>4160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4187</v>
      </c>
      <c r="B63" t="s">
        <v>4161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4187</v>
      </c>
      <c r="B64" t="s">
        <v>4162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4187</v>
      </c>
      <c r="B65" t="s">
        <v>4163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4188</v>
      </c>
      <c r="B66" t="s">
        <v>4160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4188</v>
      </c>
      <c r="B67" t="s">
        <v>4161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4188</v>
      </c>
      <c r="B68" t="s">
        <v>4162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4188</v>
      </c>
      <c r="B69" t="s">
        <v>4163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4189</v>
      </c>
      <c r="B70" t="s">
        <v>4160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4189</v>
      </c>
      <c r="B71" t="s">
        <v>4161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4189</v>
      </c>
      <c r="B72" t="s">
        <v>4162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4189</v>
      </c>
      <c r="B73" t="s">
        <v>4163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4190</v>
      </c>
      <c r="B74" t="s">
        <v>4160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4190</v>
      </c>
      <c r="B75" t="s">
        <v>4161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4190</v>
      </c>
      <c r="B76" t="s">
        <v>4162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4190</v>
      </c>
      <c r="B77" t="s">
        <v>4163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4191</v>
      </c>
      <c r="B78" t="s">
        <v>4160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4191</v>
      </c>
      <c r="B79" t="s">
        <v>4161</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4191</v>
      </c>
      <c r="B80" t="s">
        <v>4162</v>
      </c>
      <c r="C80" cm="1">
        <f t="array" ref="C80">INDEX('2 过程管理表单'!$127:$127,24+(COLUMN(A1)-1)*3)</f>
        <v>4433.96226415094</v>
      </c>
      <c r="D80" cm="1">
        <f t="array" ref="D80">INDEX('2 过程管理表单'!$127:$127,24+(COLUMN(B1)-1)*3)</f>
        <v>4433.96226415094</v>
      </c>
      <c r="E80" cm="1">
        <f t="array" ref="E80">INDEX('2 过程管理表单'!$127:$127,24+(COLUMN(C1)-1)*3)</f>
        <v>4433.96226415094</v>
      </c>
      <c r="F80" cm="1">
        <f t="array" ref="F80">INDEX('2 过程管理表单'!$127:$127,24+(COLUMN(D1)-1)*3)</f>
        <v>4433.96226415094</v>
      </c>
      <c r="G80" cm="1">
        <f t="array" ref="G80">INDEX('2 过程管理表单'!$127:$127,24+(COLUMN(E1)-1)*3)</f>
        <v>4433.96226415094</v>
      </c>
      <c r="H80" cm="1">
        <f t="array" ref="H80">INDEX('2 过程管理表单'!$127:$127,24+(COLUMN(F1)-1)*3)</f>
        <v>4433.96226415094</v>
      </c>
      <c r="I80" cm="1">
        <f t="array" ref="I80">INDEX('2 过程管理表单'!$127:$127,24+(COLUMN(G1)-1)*3)</f>
        <v>4433.96226415094</v>
      </c>
      <c r="J80" cm="1">
        <f t="array" ref="J80">INDEX('2 过程管理表单'!$127:$127,24+(COLUMN(H1)-1)*3)</f>
        <v>4433.96226415094</v>
      </c>
      <c r="K80" cm="1">
        <f t="array" ref="K80">INDEX('2 过程管理表单'!$127:$127,24+(COLUMN(I1)-1)*3)</f>
        <v>4433.96226415094</v>
      </c>
      <c r="L80" cm="1">
        <f t="array" ref="L80">INDEX('2 过程管理表单'!$127:$127,24+(COLUMN(J1)-1)*3)</f>
        <v>4433.96226415094</v>
      </c>
      <c r="M80" cm="1">
        <f t="array" ref="M80">INDEX('2 过程管理表单'!$127:$127,24+(COLUMN(K1)-1)*3)</f>
        <v>4433.96226415094</v>
      </c>
      <c r="N80" cm="1">
        <f t="array" ref="N80">INDEX('2 过程管理表单'!$127:$127,24+(COLUMN(L1)-1)*3)</f>
        <v>4433.96226415094</v>
      </c>
    </row>
    <row r="81" spans="1:14">
      <c r="A81" t="s">
        <v>4191</v>
      </c>
      <c r="B81" t="s">
        <v>4163</v>
      </c>
      <c r="C81">
        <f t="shared" ref="C81:C85" si="52">C80</f>
        <v>4433.96226415094</v>
      </c>
      <c r="D81">
        <f t="shared" ref="D81:N81" si="53">C81+D80</f>
        <v>8867.92452830188</v>
      </c>
      <c r="E81">
        <f t="shared" si="53"/>
        <v>13301.8867924528</v>
      </c>
      <c r="F81">
        <f t="shared" si="53"/>
        <v>17735.8490566038</v>
      </c>
      <c r="G81">
        <f t="shared" si="53"/>
        <v>22169.8113207547</v>
      </c>
      <c r="H81">
        <f t="shared" si="53"/>
        <v>26603.7735849056</v>
      </c>
      <c r="I81">
        <f t="shared" si="53"/>
        <v>31037.7358490566</v>
      </c>
      <c r="J81">
        <f t="shared" si="53"/>
        <v>35471.6981132075</v>
      </c>
      <c r="K81">
        <f t="shared" si="53"/>
        <v>39905.6603773585</v>
      </c>
      <c r="L81">
        <f t="shared" si="53"/>
        <v>44339.6226415094</v>
      </c>
      <c r="M81">
        <f t="shared" si="53"/>
        <v>48773.5849056603</v>
      </c>
      <c r="N81">
        <f t="shared" si="53"/>
        <v>53207.5471698113</v>
      </c>
    </row>
    <row r="82" spans="1:14">
      <c r="A82" t="s">
        <v>4192</v>
      </c>
      <c r="B82" t="s">
        <v>4160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4192</v>
      </c>
      <c r="B83" t="s">
        <v>4161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4192</v>
      </c>
      <c r="B84" t="s">
        <v>4162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4192</v>
      </c>
      <c r="B85" t="s">
        <v>4163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4193</v>
      </c>
      <c r="B86" t="s">
        <v>4160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4193</v>
      </c>
      <c r="B87" t="s">
        <v>4161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4193</v>
      </c>
      <c r="B88" t="s">
        <v>4162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4193</v>
      </c>
      <c r="B89" t="s">
        <v>4163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4194</v>
      </c>
      <c r="B90" t="s">
        <v>4160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4194</v>
      </c>
      <c r="B91" t="s">
        <v>4161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4194</v>
      </c>
      <c r="B92" t="s">
        <v>4162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4194</v>
      </c>
      <c r="B93" t="s">
        <v>4163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4195</v>
      </c>
      <c r="B94" t="s">
        <v>4160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4195</v>
      </c>
      <c r="B95" t="s">
        <v>4161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4195</v>
      </c>
      <c r="B96" t="s">
        <v>4162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4195</v>
      </c>
      <c r="B97" t="s">
        <v>4163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4196</v>
      </c>
      <c r="B98" t="s">
        <v>4160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4196</v>
      </c>
      <c r="B99" t="s">
        <v>4161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4196</v>
      </c>
      <c r="B100" t="s">
        <v>4162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4196</v>
      </c>
      <c r="B101" t="s">
        <v>4163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4197</v>
      </c>
      <c r="B102" t="s">
        <v>4160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4197</v>
      </c>
      <c r="B103" t="s">
        <v>4161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4197</v>
      </c>
      <c r="B104" t="s">
        <v>4162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4197</v>
      </c>
      <c r="B105" t="s">
        <v>4163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4198</v>
      </c>
      <c r="B106" t="s">
        <v>4160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4198</v>
      </c>
      <c r="B107" t="s">
        <v>4161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4198</v>
      </c>
      <c r="B108" t="s">
        <v>4162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4198</v>
      </c>
      <c r="B109" t="s">
        <v>4163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4199</v>
      </c>
      <c r="B110" t="s">
        <v>4160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4199</v>
      </c>
      <c r="B111" t="s">
        <v>4161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4199</v>
      </c>
      <c r="B112" t="s">
        <v>4162</v>
      </c>
      <c r="C112">
        <f t="shared" ref="C112:N112" si="75">C4+C16+C28+C44+C60+C72+C88+C100</f>
        <v>18531.28</v>
      </c>
      <c r="D112">
        <f t="shared" si="75"/>
        <v>15894.12</v>
      </c>
      <c r="E112">
        <f t="shared" si="75"/>
        <v>15894.12</v>
      </c>
      <c r="F112">
        <f t="shared" si="75"/>
        <v>15894.12</v>
      </c>
      <c r="G112">
        <f t="shared" si="75"/>
        <v>15894.12</v>
      </c>
      <c r="H112">
        <f t="shared" si="75"/>
        <v>15894.12</v>
      </c>
      <c r="I112">
        <f t="shared" si="75"/>
        <v>15894.12</v>
      </c>
      <c r="J112">
        <f t="shared" si="75"/>
        <v>15894.12</v>
      </c>
      <c r="K112">
        <f t="shared" si="75"/>
        <v>15894.12</v>
      </c>
      <c r="L112">
        <f t="shared" si="75"/>
        <v>15894.12</v>
      </c>
      <c r="M112">
        <f t="shared" si="75"/>
        <v>15894.12</v>
      </c>
      <c r="N112">
        <f t="shared" si="75"/>
        <v>15894.12</v>
      </c>
    </row>
    <row r="113" spans="1:14">
      <c r="A113" t="s">
        <v>4199</v>
      </c>
      <c r="B113" t="s">
        <v>4163</v>
      </c>
      <c r="C113">
        <f t="shared" si="73"/>
        <v>18531.28</v>
      </c>
      <c r="D113">
        <f t="shared" ref="D113:N113" si="76">C113+D112</f>
        <v>34425.4</v>
      </c>
      <c r="E113">
        <f t="shared" si="76"/>
        <v>50319.52</v>
      </c>
      <c r="F113">
        <f t="shared" si="76"/>
        <v>66213.64</v>
      </c>
      <c r="G113">
        <f t="shared" si="76"/>
        <v>82107.76</v>
      </c>
      <c r="H113">
        <f t="shared" si="76"/>
        <v>98001.88</v>
      </c>
      <c r="I113">
        <f t="shared" si="76"/>
        <v>113896</v>
      </c>
      <c r="J113">
        <f t="shared" si="76"/>
        <v>129790.12</v>
      </c>
      <c r="K113">
        <f t="shared" si="76"/>
        <v>145684.24</v>
      </c>
      <c r="L113">
        <f t="shared" si="76"/>
        <v>161578.36</v>
      </c>
      <c r="M113">
        <f t="shared" si="76"/>
        <v>177472.48</v>
      </c>
      <c r="N113">
        <f t="shared" si="76"/>
        <v>193366.6</v>
      </c>
    </row>
    <row r="114" spans="1:14">
      <c r="A114" t="s">
        <v>4200</v>
      </c>
      <c r="B114" t="s">
        <v>4160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4200</v>
      </c>
      <c r="B115" t="s">
        <v>4161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4200</v>
      </c>
      <c r="B116" t="s">
        <v>4162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4200</v>
      </c>
      <c r="B117" t="s">
        <v>4163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4201</v>
      </c>
      <c r="B118" t="s">
        <v>4160</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4201</v>
      </c>
      <c r="B119" t="s">
        <v>4161</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4201</v>
      </c>
      <c r="B120" t="s">
        <v>4162</v>
      </c>
      <c r="C120">
        <f t="shared" ref="C120:N120" si="84">C12+C24+C36+C40+C52+C56+C80+C84+C68+C96+C108</f>
        <v>32169.8113207547</v>
      </c>
      <c r="D120">
        <f t="shared" si="84"/>
        <v>32169.8113207547</v>
      </c>
      <c r="E120">
        <f t="shared" si="84"/>
        <v>32169.8113207547</v>
      </c>
      <c r="F120">
        <f t="shared" si="84"/>
        <v>32169.8113207547</v>
      </c>
      <c r="G120">
        <f t="shared" si="84"/>
        <v>32169.8113207547</v>
      </c>
      <c r="H120">
        <f t="shared" si="84"/>
        <v>32169.8113207547</v>
      </c>
      <c r="I120">
        <f t="shared" si="84"/>
        <v>32169.8113207547</v>
      </c>
      <c r="J120">
        <f t="shared" si="84"/>
        <v>32169.8113207547</v>
      </c>
      <c r="K120">
        <f t="shared" si="84"/>
        <v>32169.8113207547</v>
      </c>
      <c r="L120">
        <f t="shared" si="84"/>
        <v>32169.8113207547</v>
      </c>
      <c r="M120">
        <f t="shared" si="84"/>
        <v>32169.8113207547</v>
      </c>
      <c r="N120">
        <f t="shared" si="84"/>
        <v>32169.8113207547</v>
      </c>
    </row>
    <row r="121" spans="1:14">
      <c r="A121" t="s">
        <v>4201</v>
      </c>
      <c r="B121" t="s">
        <v>4163</v>
      </c>
      <c r="C121">
        <f t="shared" si="80"/>
        <v>32169.8113207547</v>
      </c>
      <c r="D121">
        <f t="shared" ref="D121:N121" si="85">C121+D120</f>
        <v>64339.6226415095</v>
      </c>
      <c r="E121">
        <f t="shared" si="85"/>
        <v>96509.4339622642</v>
      </c>
      <c r="F121">
        <f t="shared" si="85"/>
        <v>128679.245283019</v>
      </c>
      <c r="G121">
        <f t="shared" si="85"/>
        <v>160849.056603774</v>
      </c>
      <c r="H121">
        <f t="shared" si="85"/>
        <v>193018.867924528</v>
      </c>
      <c r="I121">
        <f t="shared" si="85"/>
        <v>225188.679245283</v>
      </c>
      <c r="J121">
        <f t="shared" si="85"/>
        <v>257358.490566038</v>
      </c>
      <c r="K121">
        <f t="shared" si="85"/>
        <v>289528.301886793</v>
      </c>
      <c r="L121">
        <f t="shared" si="85"/>
        <v>321698.113207548</v>
      </c>
      <c r="M121">
        <f t="shared" si="85"/>
        <v>353867.924528302</v>
      </c>
      <c r="N121">
        <f t="shared" si="85"/>
        <v>386037.735849057</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O14" sqref="O14"/>
    </sheetView>
  </sheetViews>
  <sheetFormatPr defaultColWidth="9" defaultRowHeight="13.5"/>
  <cols>
    <col min="1" max="1" width="15.875" customWidth="1"/>
    <col min="2" max="2" width="14" customWidth="1"/>
    <col min="4" max="14" width="10.375"/>
  </cols>
  <sheetData>
    <row r="1" customFormat="1" spans="1:14">
      <c r="A1" t="s">
        <v>4202</v>
      </c>
      <c r="C1" t="s">
        <v>766</v>
      </c>
      <c r="D1" t="s">
        <v>767</v>
      </c>
      <c r="E1" t="s">
        <v>768</v>
      </c>
      <c r="F1" t="s">
        <v>769</v>
      </c>
      <c r="G1" t="s">
        <v>770</v>
      </c>
      <c r="H1" t="s">
        <v>771</v>
      </c>
      <c r="I1" t="s">
        <v>772</v>
      </c>
      <c r="J1" t="s">
        <v>773</v>
      </c>
      <c r="K1" t="s">
        <v>774</v>
      </c>
      <c r="L1" t="s">
        <v>775</v>
      </c>
      <c r="M1" t="s">
        <v>776</v>
      </c>
      <c r="N1" t="s">
        <v>777</v>
      </c>
    </row>
    <row r="2" spans="1:14">
      <c r="A2" t="s">
        <v>138</v>
      </c>
      <c r="B2" t="s">
        <v>4160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4161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4160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4161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3201</v>
      </c>
      <c r="B6" t="s">
        <v>4160</v>
      </c>
      <c r="C6">
        <f>SUM(物资过程计算表!D29:D90,物资过程计算表!D934)</f>
        <v>0</v>
      </c>
      <c r="D6">
        <f>SUM(物资过程计算表!E29:E90,物资过程计算表!E934)</f>
        <v>0</v>
      </c>
      <c r="E6">
        <f>SUM(物资过程计算表!F29:F90,物资过程计算表!F934)</f>
        <v>13984.7</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3201</v>
      </c>
      <c r="B7" t="s">
        <v>4161</v>
      </c>
      <c r="C7">
        <f t="shared" si="0"/>
        <v>0</v>
      </c>
      <c r="D7">
        <f t="shared" ref="D7:N7" si="3">C7+D6</f>
        <v>0</v>
      </c>
      <c r="E7">
        <f t="shared" si="3"/>
        <v>13984.7</v>
      </c>
      <c r="F7">
        <f t="shared" si="3"/>
        <v>13984.7</v>
      </c>
      <c r="G7">
        <f t="shared" si="3"/>
        <v>13984.7</v>
      </c>
      <c r="H7">
        <f t="shared" si="3"/>
        <v>13984.7</v>
      </c>
      <c r="I7">
        <f t="shared" si="3"/>
        <v>13984.7</v>
      </c>
      <c r="J7">
        <f t="shared" si="3"/>
        <v>13984.7</v>
      </c>
      <c r="K7">
        <f t="shared" si="3"/>
        <v>13984.7</v>
      </c>
      <c r="L7">
        <f t="shared" si="3"/>
        <v>13984.7</v>
      </c>
      <c r="M7">
        <f t="shared" si="3"/>
        <v>13984.7</v>
      </c>
      <c r="N7">
        <f t="shared" si="3"/>
        <v>13984.7</v>
      </c>
    </row>
    <row r="8" spans="1:14">
      <c r="A8" t="s">
        <v>2071</v>
      </c>
      <c r="B8" t="s">
        <v>4160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4161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3703</v>
      </c>
      <c r="B10" t="s">
        <v>4160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3703</v>
      </c>
      <c r="B11" t="s">
        <v>4161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4203</v>
      </c>
      <c r="B12" t="s">
        <v>4160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4203</v>
      </c>
      <c r="B13" t="s">
        <v>4161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4204</v>
      </c>
      <c r="B14" t="s">
        <v>4160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4204</v>
      </c>
      <c r="B15" t="s">
        <v>4161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4205</v>
      </c>
      <c r="B16" t="s">
        <v>4160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4205</v>
      </c>
      <c r="B17" t="s">
        <v>4161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4206</v>
      </c>
      <c r="B18" t="s">
        <v>4160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4206</v>
      </c>
      <c r="B19" t="s">
        <v>4161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4207</v>
      </c>
      <c r="B21" t="s">
        <v>4160</v>
      </c>
      <c r="C21">
        <f t="shared" ref="C21:N21" si="12">SUM(C2,C4,C6,C8,C10,C12,C14,C16,C18)</f>
        <v>0</v>
      </c>
      <c r="D21">
        <f t="shared" si="12"/>
        <v>0</v>
      </c>
      <c r="E21">
        <f t="shared" si="12"/>
        <v>13984.7</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4161</v>
      </c>
      <c r="C22">
        <f t="shared" ref="C22:N22" si="13">SUM(C3,C5,C7,C9,C11,C13,C15,C17,C19)</f>
        <v>0</v>
      </c>
      <c r="D22">
        <f t="shared" si="13"/>
        <v>0</v>
      </c>
      <c r="E22">
        <f t="shared" si="13"/>
        <v>13984.7</v>
      </c>
      <c r="F22">
        <f t="shared" si="13"/>
        <v>13984.7</v>
      </c>
      <c r="G22">
        <f t="shared" si="13"/>
        <v>13984.7</v>
      </c>
      <c r="H22">
        <f t="shared" si="13"/>
        <v>13984.7</v>
      </c>
      <c r="I22">
        <f t="shared" si="13"/>
        <v>13984.7</v>
      </c>
      <c r="J22">
        <f t="shared" si="13"/>
        <v>13984.7</v>
      </c>
      <c r="K22">
        <f t="shared" si="13"/>
        <v>13984.7</v>
      </c>
      <c r="L22">
        <f t="shared" si="13"/>
        <v>13984.7</v>
      </c>
      <c r="M22">
        <f t="shared" si="13"/>
        <v>13984.7</v>
      </c>
      <c r="N22">
        <f t="shared" si="13"/>
        <v>13984.7</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4132</v>
      </c>
      <c r="B1" s="10" t="s">
        <v>4133</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4142</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4143</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4144</v>
      </c>
      <c r="C4" s="13" cm="1">
        <f t="array" ref="C4">INDEX('2 过程管理表单'!$537:$537,24+(COLUMN(A1)-1)*3)</f>
        <v>4000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4145</v>
      </c>
      <c r="C5" s="13">
        <f t="shared" si="0"/>
        <v>4000</v>
      </c>
      <c r="D5" s="13">
        <f t="shared" ref="D5:N5" si="2">C5+D4</f>
        <v>4000</v>
      </c>
      <c r="E5" s="13">
        <f t="shared" si="2"/>
        <v>4000</v>
      </c>
      <c r="F5" s="13">
        <f t="shared" si="2"/>
        <v>4000</v>
      </c>
      <c r="G5" s="13">
        <f t="shared" si="2"/>
        <v>4000</v>
      </c>
      <c r="H5" s="13">
        <f t="shared" si="2"/>
        <v>4000</v>
      </c>
      <c r="I5" s="13">
        <f t="shared" si="2"/>
        <v>4000</v>
      </c>
      <c r="J5" s="13">
        <f t="shared" si="2"/>
        <v>4000</v>
      </c>
      <c r="K5" s="13">
        <f t="shared" si="2"/>
        <v>4000</v>
      </c>
      <c r="L5" s="13">
        <f t="shared" si="2"/>
        <v>4000</v>
      </c>
      <c r="M5" s="13">
        <f t="shared" si="2"/>
        <v>4000</v>
      </c>
      <c r="N5" s="13">
        <f t="shared" si="2"/>
        <v>4000</v>
      </c>
    </row>
    <row r="6" spans="1:14">
      <c r="A6" s="12" t="s">
        <v>2198</v>
      </c>
      <c r="B6" s="13" t="s">
        <v>4142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4143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4144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4145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4142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4143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4144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4145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4142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4143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4144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4145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4142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4143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4144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4145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4142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4143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4144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4145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4142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4143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4144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4145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4142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4143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4144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4145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4142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4143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4144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4145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4142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4143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4144</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4145</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4142</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4143</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4144</v>
      </c>
      <c r="C46" s="14">
        <f t="shared" ref="C46:N46" si="28">C4+C8+C12+C16+C20+C24+C28+C32+C36+C40</f>
        <v>4000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4145</v>
      </c>
      <c r="C47" s="14">
        <f>C46</f>
        <v>4000</v>
      </c>
      <c r="D47" s="14">
        <f t="shared" ref="D47:N47" si="29">C47+D46</f>
        <v>4000</v>
      </c>
      <c r="E47" s="14">
        <f t="shared" si="29"/>
        <v>4000</v>
      </c>
      <c r="F47" s="14">
        <f t="shared" si="29"/>
        <v>4000</v>
      </c>
      <c r="G47" s="14">
        <f t="shared" si="29"/>
        <v>4000</v>
      </c>
      <c r="H47" s="14">
        <f t="shared" si="29"/>
        <v>4000</v>
      </c>
      <c r="I47" s="14">
        <f t="shared" si="29"/>
        <v>4000</v>
      </c>
      <c r="J47" s="14">
        <f t="shared" si="29"/>
        <v>4000</v>
      </c>
      <c r="K47" s="14">
        <f t="shared" si="29"/>
        <v>4000</v>
      </c>
      <c r="L47" s="14">
        <f t="shared" si="29"/>
        <v>4000</v>
      </c>
      <c r="M47" s="14">
        <f t="shared" si="29"/>
        <v>4000</v>
      </c>
      <c r="N47" s="16">
        <f t="shared" si="29"/>
        <v>4000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4132</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4</v>
      </c>
      <c r="J2" s="6">
        <f>COUNTIF('2 过程管理表单'!AW6:AW507,"&lt;"&amp;0)</f>
        <v>4</v>
      </c>
      <c r="K2" s="6">
        <f>COUNTIF('2 过程管理表单'!AW6:AW507,"&lt;"&amp;0)</f>
        <v>4</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4158</v>
      </c>
      <c r="B8" s="6">
        <f>B2+B3+B4+B5+B6+B7</f>
        <v>0</v>
      </c>
      <c r="C8" s="6">
        <f t="shared" ref="C8:M8" si="0">SUM(C2:C7)</f>
        <v>0</v>
      </c>
      <c r="D8" s="6">
        <f t="shared" si="0"/>
        <v>4</v>
      </c>
      <c r="E8" s="6">
        <f t="shared" si="0"/>
        <v>4</v>
      </c>
      <c r="F8" s="6">
        <f t="shared" si="0"/>
        <v>4</v>
      </c>
      <c r="G8" s="6">
        <f t="shared" si="0"/>
        <v>4</v>
      </c>
      <c r="H8" s="6">
        <f t="shared" si="0"/>
        <v>4</v>
      </c>
      <c r="I8" s="6">
        <f t="shared" si="0"/>
        <v>4</v>
      </c>
      <c r="J8" s="6">
        <f t="shared" si="0"/>
        <v>4</v>
      </c>
      <c r="K8" s="6">
        <f t="shared" si="0"/>
        <v>4</v>
      </c>
      <c r="L8" s="6">
        <f t="shared" si="0"/>
        <v>0</v>
      </c>
      <c r="M8" s="6">
        <f t="shared" si="0"/>
        <v>0</v>
      </c>
    </row>
    <row r="9" spans="1:13">
      <c r="A9" s="7" t="s">
        <v>4208</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4209</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4210</v>
      </c>
      <c r="B17" s="8">
        <f>B8</f>
        <v>0</v>
      </c>
      <c r="C17" s="8">
        <f t="shared" ref="C17:M17" si="2">B17+C8</f>
        <v>0</v>
      </c>
      <c r="D17" s="8">
        <f t="shared" si="2"/>
        <v>4</v>
      </c>
      <c r="E17" s="8">
        <f t="shared" si="2"/>
        <v>8</v>
      </c>
      <c r="F17" s="8">
        <f t="shared" si="2"/>
        <v>12</v>
      </c>
      <c r="G17" s="8">
        <f t="shared" si="2"/>
        <v>16</v>
      </c>
      <c r="H17" s="8">
        <f t="shared" si="2"/>
        <v>20</v>
      </c>
      <c r="I17" s="8">
        <f t="shared" si="2"/>
        <v>24</v>
      </c>
      <c r="J17" s="8">
        <f t="shared" si="2"/>
        <v>28</v>
      </c>
      <c r="K17" s="8">
        <f t="shared" si="2"/>
        <v>32</v>
      </c>
      <c r="L17" s="8">
        <f t="shared" si="2"/>
        <v>32</v>
      </c>
      <c r="M17" s="8">
        <f t="shared" si="2"/>
        <v>32</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4160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4161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4162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4163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4160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4161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4162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4163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4160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4161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4162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4163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4160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4161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4162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4163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4160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4161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4162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4163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4160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4161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4162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4163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4160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4161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4162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4163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4160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4161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4162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4163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4211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4212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4213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4214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4160</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4161</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4162</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4163</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4160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4161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4162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4163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4160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4161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4162</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4163</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4160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4161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4162</v>
      </c>
      <c r="C16" s="2" cm="1">
        <f t="array" ref="C16">INDEX('2 过程管理表单'!$71:$71,24+(COLUMN(A9)-1)*3)</f>
        <v>18531.28</v>
      </c>
      <c r="D16" s="2" cm="1">
        <f t="array" ref="D16">INDEX('2 过程管理表单'!$71:$71,24+(COLUMN(B9)-1)*3)</f>
        <v>15894.12</v>
      </c>
      <c r="E16" s="2" cm="1">
        <f t="array" ref="E16">INDEX('2 过程管理表单'!$71:$71,24+(COLUMN(C9)-1)*3)</f>
        <v>15894.12</v>
      </c>
      <c r="F16" s="2" cm="1">
        <f t="array" ref="F16">INDEX('2 过程管理表单'!$71:$71,24+(COLUMN(D9)-1)*3)</f>
        <v>15894.12</v>
      </c>
      <c r="G16" s="2" cm="1">
        <f t="array" ref="G16">INDEX('2 过程管理表单'!$71:$71,24+(COLUMN(E9)-1)*3)</f>
        <v>15894.12</v>
      </c>
      <c r="H16" s="2" cm="1">
        <f t="array" ref="H16">INDEX('2 过程管理表单'!$71:$71,24+(COLUMN(F9)-1)*3)</f>
        <v>15894.12</v>
      </c>
      <c r="I16" s="2" cm="1">
        <f t="array" ref="I16">INDEX('2 过程管理表单'!$71:$71,24+(COLUMN(G9)-1)*3)</f>
        <v>15894.12</v>
      </c>
      <c r="J16" s="2" cm="1">
        <f t="array" ref="J16">INDEX('2 过程管理表单'!$71:$71,24+(COLUMN(H9)-1)*3)</f>
        <v>15894.12</v>
      </c>
      <c r="K16" s="2" cm="1">
        <f t="array" ref="K16">INDEX('2 过程管理表单'!$71:$71,24+(COLUMN(I9)-1)*3)</f>
        <v>15894.12</v>
      </c>
      <c r="L16" s="2" cm="1">
        <f t="array" ref="L16">INDEX('2 过程管理表单'!$71:$71,24+(COLUMN(J9)-1)*3)</f>
        <v>15894.12</v>
      </c>
      <c r="M16" s="2" cm="1">
        <f t="array" ref="M16">INDEX('2 过程管理表单'!$71:$71,24+(COLUMN(K9)-1)*3)</f>
        <v>15894.12</v>
      </c>
      <c r="N16" s="2" cm="1">
        <f t="array" ref="N16">INDEX('2 过程管理表单'!$71:$71,24+(COLUMN(L9)-1)*3)</f>
        <v>15894.12</v>
      </c>
    </row>
    <row r="17" spans="1:14">
      <c r="A17" t="s">
        <v>118</v>
      </c>
      <c r="B17" t="s">
        <v>4163</v>
      </c>
      <c r="C17" s="2">
        <f>C16</f>
        <v>18531.28</v>
      </c>
      <c r="D17" s="2">
        <f>C17+D16</f>
        <v>34425.4</v>
      </c>
      <c r="E17" s="2">
        <f t="shared" ref="E17:N17" si="7">D17+E16</f>
        <v>50319.52</v>
      </c>
      <c r="F17" s="2">
        <f t="shared" si="7"/>
        <v>66213.64</v>
      </c>
      <c r="G17" s="2">
        <f t="shared" si="7"/>
        <v>82107.76</v>
      </c>
      <c r="H17" s="2">
        <f t="shared" si="7"/>
        <v>98001.88</v>
      </c>
      <c r="I17" s="2">
        <f t="shared" si="7"/>
        <v>113896</v>
      </c>
      <c r="J17" s="2">
        <f t="shared" si="7"/>
        <v>129790.12</v>
      </c>
      <c r="K17" s="2">
        <f t="shared" si="7"/>
        <v>145684.24</v>
      </c>
      <c r="L17" s="2">
        <f t="shared" si="7"/>
        <v>161578.36</v>
      </c>
      <c r="M17" s="2">
        <f t="shared" si="7"/>
        <v>177472.48</v>
      </c>
      <c r="N17" s="2">
        <f t="shared" si="7"/>
        <v>193366.6</v>
      </c>
    </row>
    <row r="18" spans="1:14">
      <c r="A18" t="s">
        <v>121</v>
      </c>
      <c r="B18" t="s">
        <v>4160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4161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4162</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4163</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4160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4161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4162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4163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4160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4161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4162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4163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4160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4161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4162</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4163</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4211</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4212</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4213</v>
      </c>
      <c r="C36" s="3">
        <f t="shared" ref="C36:N36" si="18">C4+C8+C12+C16+C20+C24+C28+C32</f>
        <v>18531.28</v>
      </c>
      <c r="D36" s="3">
        <f t="shared" si="18"/>
        <v>15894.12</v>
      </c>
      <c r="E36" s="3">
        <f t="shared" si="18"/>
        <v>15894.12</v>
      </c>
      <c r="F36" s="3">
        <f t="shared" si="18"/>
        <v>15894.12</v>
      </c>
      <c r="G36" s="3">
        <f t="shared" si="18"/>
        <v>15894.12</v>
      </c>
      <c r="H36" s="3">
        <f t="shared" si="18"/>
        <v>15894.12</v>
      </c>
      <c r="I36" s="3">
        <f t="shared" si="18"/>
        <v>15894.12</v>
      </c>
      <c r="J36" s="3">
        <f t="shared" si="18"/>
        <v>15894.12</v>
      </c>
      <c r="K36" s="3">
        <f t="shared" si="18"/>
        <v>15894.12</v>
      </c>
      <c r="L36" s="3">
        <f t="shared" si="18"/>
        <v>15894.12</v>
      </c>
      <c r="M36" s="3">
        <f t="shared" si="18"/>
        <v>15894.12</v>
      </c>
      <c r="N36" s="3">
        <f t="shared" si="18"/>
        <v>15894.12</v>
      </c>
    </row>
    <row r="37" spans="2:14">
      <c r="B37" t="s">
        <v>4214</v>
      </c>
      <c r="C37" s="2">
        <f>C36</f>
        <v>18531.28</v>
      </c>
      <c r="D37" s="2">
        <f>C37+D36</f>
        <v>34425.4</v>
      </c>
      <c r="E37" s="2">
        <f t="shared" ref="E37:N37" si="19">D37+E36</f>
        <v>50319.52</v>
      </c>
      <c r="F37" s="2">
        <f t="shared" si="19"/>
        <v>66213.64</v>
      </c>
      <c r="G37" s="2">
        <f t="shared" si="19"/>
        <v>82107.76</v>
      </c>
      <c r="H37" s="2">
        <f t="shared" si="19"/>
        <v>98001.88</v>
      </c>
      <c r="I37" s="2">
        <f t="shared" si="19"/>
        <v>113896</v>
      </c>
      <c r="J37" s="2">
        <f t="shared" si="19"/>
        <v>129790.12</v>
      </c>
      <c r="K37" s="2">
        <f t="shared" si="19"/>
        <v>145684.24</v>
      </c>
      <c r="L37" s="2">
        <f t="shared" si="19"/>
        <v>161578.36</v>
      </c>
      <c r="M37" s="2">
        <f t="shared" si="19"/>
        <v>177472.48</v>
      </c>
      <c r="N37" s="2">
        <f t="shared" si="19"/>
        <v>193366.6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4215</v>
      </c>
      <c r="C1" t="s">
        <v>766</v>
      </c>
      <c r="D1" t="s">
        <v>767</v>
      </c>
      <c r="E1" t="s">
        <v>768</v>
      </c>
      <c r="F1" t="s">
        <v>769</v>
      </c>
      <c r="G1" t="s">
        <v>770</v>
      </c>
      <c r="H1" t="s">
        <v>771</v>
      </c>
      <c r="I1" t="s">
        <v>772</v>
      </c>
      <c r="J1" t="s">
        <v>773</v>
      </c>
      <c r="K1" t="s">
        <v>774</v>
      </c>
      <c r="L1" t="s">
        <v>775</v>
      </c>
      <c r="M1" t="s">
        <v>776</v>
      </c>
      <c r="N1" t="s">
        <v>777</v>
      </c>
    </row>
    <row r="2" spans="1:14">
      <c r="A2" t="s">
        <v>18</v>
      </c>
      <c r="B2" t="s">
        <v>4160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4161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4162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4163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4160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4161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4162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4163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4160</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4161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4162</v>
      </c>
      <c r="C12" cm="1">
        <f t="array" ref="C12">INDEX('2 过程管理表单'!$58:$58,24+(COLUMN(A9)-1)*3)</f>
        <v>27735.8490566038</v>
      </c>
      <c r="D12" cm="1">
        <f t="array" ref="D12">INDEX('2 过程管理表单'!$58:$58,24+(COLUMN(B9)-1)*3)</f>
        <v>27735.8490566038</v>
      </c>
      <c r="E12" cm="1">
        <f t="array" ref="E12">INDEX('2 过程管理表单'!$58:$58,24+(COLUMN(C9)-1)*3)</f>
        <v>27735.8490566038</v>
      </c>
      <c r="F12" cm="1">
        <f t="array" ref="F12">INDEX('2 过程管理表单'!$58:$58,24+(COLUMN(D9)-1)*3)</f>
        <v>27735.8490566038</v>
      </c>
      <c r="G12" cm="1">
        <f t="array" ref="G12">INDEX('2 过程管理表单'!$58:$58,24+(COLUMN(E9)-1)*3)</f>
        <v>27735.8490566038</v>
      </c>
      <c r="H12" cm="1">
        <f t="array" ref="H12">INDEX('2 过程管理表单'!$58:$58,24+(COLUMN(F9)-1)*3)</f>
        <v>27735.8490566038</v>
      </c>
      <c r="I12" cm="1">
        <f t="array" ref="I12">INDEX('2 过程管理表单'!$58:$58,24+(COLUMN(G9)-1)*3)</f>
        <v>27735.8490566038</v>
      </c>
      <c r="J12" cm="1">
        <f t="array" ref="J12">INDEX('2 过程管理表单'!$58:$58,24+(COLUMN(H9)-1)*3)</f>
        <v>27735.8490566038</v>
      </c>
      <c r="K12" cm="1">
        <f t="array" ref="K12">INDEX('2 过程管理表单'!$58:$58,24+(COLUMN(I9)-1)*3)</f>
        <v>27735.8490566038</v>
      </c>
      <c r="L12" cm="1">
        <f t="array" ref="L12">INDEX('2 过程管理表单'!$58:$58,24+(COLUMN(J9)-1)*3)</f>
        <v>27735.8490566038</v>
      </c>
      <c r="M12" cm="1">
        <f t="array" ref="M12">INDEX('2 过程管理表单'!$58:$58,24+(COLUMN(K9)-1)*3)</f>
        <v>27735.8490566038</v>
      </c>
      <c r="N12" cm="1">
        <f t="array" ref="N12">INDEX('2 过程管理表单'!$58:$58,24+(COLUMN(L9)-1)*3)</f>
        <v>27735.8490566038</v>
      </c>
    </row>
    <row r="13" spans="1:14">
      <c r="A13" t="s">
        <v>14</v>
      </c>
      <c r="B13" t="s">
        <v>4163</v>
      </c>
      <c r="C13">
        <f>C12</f>
        <v>27735.8490566038</v>
      </c>
      <c r="D13">
        <f>C13+D12</f>
        <v>55471.6981132076</v>
      </c>
      <c r="E13">
        <f t="shared" ref="E13:N13" si="5">D13+E12</f>
        <v>83207.5471698114</v>
      </c>
      <c r="F13">
        <f t="shared" si="5"/>
        <v>110943.396226415</v>
      </c>
      <c r="G13">
        <f t="shared" si="5"/>
        <v>138679.245283019</v>
      </c>
      <c r="H13">
        <f t="shared" si="5"/>
        <v>166415.094339623</v>
      </c>
      <c r="I13">
        <f t="shared" si="5"/>
        <v>194150.943396227</v>
      </c>
      <c r="J13">
        <f t="shared" si="5"/>
        <v>221886.79245283</v>
      </c>
      <c r="K13">
        <f t="shared" si="5"/>
        <v>249622.641509434</v>
      </c>
      <c r="L13">
        <f t="shared" si="5"/>
        <v>277358.490566038</v>
      </c>
      <c r="M13">
        <f t="shared" si="5"/>
        <v>305094.339622642</v>
      </c>
      <c r="N13">
        <f t="shared" si="5"/>
        <v>332830.188679246</v>
      </c>
    </row>
    <row r="14" spans="1:14">
      <c r="A14" t="s">
        <v>938</v>
      </c>
      <c r="B14" t="s">
        <v>4160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4161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4162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4163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4160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4161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4162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4163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4160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4161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4162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4163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4160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4161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4162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4163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4160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4161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4162</v>
      </c>
      <c r="C32" cm="1">
        <f t="array" ref="C32">INDEX('2 过程管理表单'!$127:$127,24+(COLUMN(A29)-1)*3)</f>
        <v>4433.96226415094</v>
      </c>
      <c r="D32" cm="1">
        <f t="array" ref="D32">INDEX('2 过程管理表单'!$127:$127,24+(COLUMN(B29)-1)*3)</f>
        <v>4433.96226415094</v>
      </c>
      <c r="E32" cm="1">
        <f t="array" ref="E32">INDEX('2 过程管理表单'!$127:$127,24+(COLUMN(C29)-1)*3)</f>
        <v>4433.96226415094</v>
      </c>
      <c r="F32" cm="1">
        <f t="array" ref="F32">INDEX('2 过程管理表单'!$127:$127,24+(COLUMN(D29)-1)*3)</f>
        <v>4433.96226415094</v>
      </c>
      <c r="G32" cm="1">
        <f t="array" ref="G32">INDEX('2 过程管理表单'!$127:$127,24+(COLUMN(E29)-1)*3)</f>
        <v>4433.96226415094</v>
      </c>
      <c r="H32" cm="1">
        <f t="array" ref="H32">INDEX('2 过程管理表单'!$127:$127,24+(COLUMN(F29)-1)*3)</f>
        <v>4433.96226415094</v>
      </c>
      <c r="I32" cm="1">
        <f t="array" ref="I32">INDEX('2 过程管理表单'!$127:$127,24+(COLUMN(G29)-1)*3)</f>
        <v>4433.96226415094</v>
      </c>
      <c r="J32" cm="1">
        <f t="array" ref="J32">INDEX('2 过程管理表单'!$127:$127,24+(COLUMN(H29)-1)*3)</f>
        <v>4433.96226415094</v>
      </c>
      <c r="K32" cm="1">
        <f t="array" ref="K32">INDEX('2 过程管理表单'!$127:$127,24+(COLUMN(I29)-1)*3)</f>
        <v>4433.96226415094</v>
      </c>
      <c r="L32" cm="1">
        <f t="array" ref="L32">INDEX('2 过程管理表单'!$127:$127,24+(COLUMN(J29)-1)*3)</f>
        <v>4433.96226415094</v>
      </c>
      <c r="M32" cm="1">
        <f t="array" ref="M32">INDEX('2 过程管理表单'!$127:$127,24+(COLUMN(K29)-1)*3)</f>
        <v>4433.96226415094</v>
      </c>
      <c r="N32" cm="1">
        <f t="array" ref="N32">INDEX('2 过程管理表单'!$127:$127,24+(COLUMN(L29)-1)*3)</f>
        <v>4433.96226415094</v>
      </c>
    </row>
    <row r="33" spans="1:14">
      <c r="A33" t="s">
        <v>22</v>
      </c>
      <c r="B33" t="s">
        <v>4163</v>
      </c>
      <c r="C33">
        <f>C32</f>
        <v>4433.96226415094</v>
      </c>
      <c r="D33">
        <f>C33+D32</f>
        <v>8867.92452830188</v>
      </c>
      <c r="E33">
        <f t="shared" ref="E33:N33" si="15">D33+E32</f>
        <v>13301.8867924528</v>
      </c>
      <c r="F33">
        <f t="shared" si="15"/>
        <v>17735.8490566038</v>
      </c>
      <c r="G33">
        <f t="shared" si="15"/>
        <v>22169.8113207547</v>
      </c>
      <c r="H33">
        <f t="shared" si="15"/>
        <v>26603.7735849056</v>
      </c>
      <c r="I33">
        <f t="shared" si="15"/>
        <v>31037.7358490566</v>
      </c>
      <c r="J33">
        <f t="shared" si="15"/>
        <v>35471.6981132075</v>
      </c>
      <c r="K33">
        <f t="shared" si="15"/>
        <v>39905.6603773585</v>
      </c>
      <c r="L33">
        <f t="shared" si="15"/>
        <v>44339.6226415094</v>
      </c>
      <c r="M33">
        <f t="shared" si="15"/>
        <v>48773.5849056603</v>
      </c>
      <c r="N33">
        <f t="shared" si="15"/>
        <v>53207.5471698113</v>
      </c>
    </row>
    <row r="34" spans="1:14">
      <c r="A34" t="s">
        <v>24</v>
      </c>
      <c r="B34" t="s">
        <v>4160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4161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4162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4163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4160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4161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4162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4163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4160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4161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4162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4163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4211</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4212</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4213</v>
      </c>
      <c r="C48">
        <f>C4+C8+C12+C16+C20+C24+C28+C32+C36+C40+C44</f>
        <v>32169.8113207547</v>
      </c>
      <c r="D48">
        <f t="shared" ref="D48:N48" si="24">D4+D8+D12+D16+D20+D24+D28+D32+D36+D40+D44</f>
        <v>32169.8113207547</v>
      </c>
      <c r="E48">
        <f t="shared" si="24"/>
        <v>32169.8113207547</v>
      </c>
      <c r="F48">
        <f t="shared" si="24"/>
        <v>32169.8113207547</v>
      </c>
      <c r="G48">
        <f t="shared" si="24"/>
        <v>32169.8113207547</v>
      </c>
      <c r="H48">
        <f t="shared" si="24"/>
        <v>32169.8113207547</v>
      </c>
      <c r="I48">
        <f t="shared" si="24"/>
        <v>32169.8113207547</v>
      </c>
      <c r="J48">
        <f t="shared" si="24"/>
        <v>32169.8113207547</v>
      </c>
      <c r="K48">
        <f t="shared" si="24"/>
        <v>32169.8113207547</v>
      </c>
      <c r="L48">
        <f t="shared" si="24"/>
        <v>32169.8113207547</v>
      </c>
      <c r="M48">
        <f t="shared" si="24"/>
        <v>32169.8113207547</v>
      </c>
      <c r="N48">
        <f t="shared" si="24"/>
        <v>32169.8113207547</v>
      </c>
    </row>
    <row r="49" spans="2:14">
      <c r="B49" t="s">
        <v>4214</v>
      </c>
      <c r="C49">
        <f>C48</f>
        <v>32169.8113207547</v>
      </c>
      <c r="D49">
        <f>C49+D48</f>
        <v>64339.6226415095</v>
      </c>
      <c r="E49">
        <f t="shared" ref="E49:N49" si="25">D49+E48</f>
        <v>96509.4339622642</v>
      </c>
      <c r="F49">
        <f t="shared" si="25"/>
        <v>128679.245283019</v>
      </c>
      <c r="G49">
        <f t="shared" si="25"/>
        <v>160849.056603774</v>
      </c>
      <c r="H49">
        <f t="shared" si="25"/>
        <v>193018.867924528</v>
      </c>
      <c r="I49">
        <f t="shared" si="25"/>
        <v>225188.679245283</v>
      </c>
      <c r="J49">
        <f t="shared" si="25"/>
        <v>257358.490566038</v>
      </c>
      <c r="K49">
        <f t="shared" si="25"/>
        <v>289528.301886793</v>
      </c>
      <c r="L49">
        <f t="shared" si="25"/>
        <v>321698.113207548</v>
      </c>
      <c r="M49">
        <f t="shared" si="25"/>
        <v>353867.924528302</v>
      </c>
      <c r="N49">
        <f t="shared" si="25"/>
        <v>386037.735849057</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3171</v>
      </c>
      <c r="C1" s="1" t="s">
        <v>4216</v>
      </c>
      <c r="D1" s="1" t="s">
        <v>4217</v>
      </c>
      <c r="E1" s="1" t="s">
        <v>4218</v>
      </c>
      <c r="F1" s="1" t="s">
        <v>4219</v>
      </c>
      <c r="G1" s="1" t="s">
        <v>4220</v>
      </c>
      <c r="H1" s="1" t="s">
        <v>4221</v>
      </c>
      <c r="I1" s="1" t="s">
        <v>4222</v>
      </c>
      <c r="J1" s="1" t="s">
        <v>4223</v>
      </c>
      <c r="K1" s="1" t="s">
        <v>4224</v>
      </c>
      <c r="L1" s="1" t="s">
        <v>4225</v>
      </c>
      <c r="M1" s="1" t="s">
        <v>4226</v>
      </c>
      <c r="N1" s="1" t="s">
        <v>4227</v>
      </c>
    </row>
    <row r="2" spans="1:14">
      <c r="A2" t="s">
        <v>218</v>
      </c>
      <c r="B2" t="s">
        <v>4160</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4161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4162</v>
      </c>
      <c r="C4">
        <f>INDEX('2 过程管理表单'!$6:$6,24+(COLUMN(A$1)-1)*3)</f>
        <v>50701.0913207547</v>
      </c>
      <c r="D4">
        <f>INDEX('2 过程管理表单'!$6:$6,24+(COLUMN(B$1)-1)*3)</f>
        <v>48063.9313207547</v>
      </c>
      <c r="E4">
        <f>INDEX('2 过程管理表单'!$6:$6,24+(COLUMN(C$1)-1)*3)</f>
        <v>48063.9313207547</v>
      </c>
      <c r="F4">
        <f>INDEX('2 过程管理表单'!$6:$6,24+(COLUMN(D$1)-1)*3)</f>
        <v>48063.9313207547</v>
      </c>
      <c r="G4">
        <f>INDEX('2 过程管理表单'!$6:$6,24+(COLUMN(E$1)-1)*3)</f>
        <v>48063.9313207547</v>
      </c>
      <c r="H4">
        <f>INDEX('2 过程管理表单'!$6:$6,24+(COLUMN(F$1)-1)*3)</f>
        <v>48063.9313207547</v>
      </c>
      <c r="I4">
        <f>INDEX('2 过程管理表单'!$6:$6,24+(COLUMN(G$1)-1)*3)</f>
        <v>48063.9313207547</v>
      </c>
      <c r="J4">
        <f>INDEX('2 过程管理表单'!$6:$6,24+(COLUMN(H$1)-1)*3)</f>
        <v>48063.9313207547</v>
      </c>
      <c r="K4">
        <f>INDEX('2 过程管理表单'!$6:$6,24+(COLUMN(I$1)-1)*3)</f>
        <v>48063.9313207547</v>
      </c>
      <c r="L4">
        <f>INDEX('2 过程管理表单'!$6:$6,24+(COLUMN(J$1)-1)*3)</f>
        <v>48063.9313207547</v>
      </c>
      <c r="M4">
        <f>INDEX('2 过程管理表单'!$6:$6,24+(COLUMN(K$1)-1)*3)</f>
        <v>48063.9313207547</v>
      </c>
      <c r="N4">
        <f>INDEX('2 过程管理表单'!$6:$6,24+(COLUMN(L$1)-1)*3)</f>
        <v>48063.9313207547</v>
      </c>
    </row>
    <row r="5" spans="1:14">
      <c r="A5" t="s">
        <v>218</v>
      </c>
      <c r="B5" t="s">
        <v>4163</v>
      </c>
      <c r="C5">
        <f>C4</f>
        <v>50701.0913207547</v>
      </c>
      <c r="D5">
        <f>C5+D4</f>
        <v>98765.0226415095</v>
      </c>
      <c r="E5">
        <f t="shared" ref="E5:N5" si="1">D5+E4</f>
        <v>146828.953962264</v>
      </c>
      <c r="F5">
        <f t="shared" si="1"/>
        <v>194892.885283019</v>
      </c>
      <c r="G5">
        <f t="shared" si="1"/>
        <v>242956.816603774</v>
      </c>
      <c r="H5">
        <f t="shared" si="1"/>
        <v>291020.747924528</v>
      </c>
      <c r="I5">
        <f t="shared" si="1"/>
        <v>339084.679245283</v>
      </c>
      <c r="J5">
        <f t="shared" si="1"/>
        <v>387148.610566038</v>
      </c>
      <c r="K5">
        <f t="shared" si="1"/>
        <v>435212.541886793</v>
      </c>
      <c r="L5">
        <f t="shared" si="1"/>
        <v>483276.473207548</v>
      </c>
      <c r="M5">
        <f t="shared" si="1"/>
        <v>531340.404528302</v>
      </c>
      <c r="N5">
        <f t="shared" si="1"/>
        <v>579404.335849057</v>
      </c>
    </row>
    <row r="6" spans="1:14">
      <c r="A6" t="s">
        <v>220</v>
      </c>
      <c r="B6" t="s">
        <v>4160</v>
      </c>
      <c r="C6">
        <f>INDEX('2 过程管理表单'!$177:$177,26+(COLUMN(A$1)-1)*3)</f>
        <v>0</v>
      </c>
      <c r="D6">
        <f>INDEX('2 过程管理表单'!$177:$177,26+(COLUMN(B$1)-1)*3)</f>
        <v>0</v>
      </c>
      <c r="E6">
        <f>INDEX('2 过程管理表单'!$177:$177,26+(COLUMN(C$1)-1)*3)</f>
        <v>1177.40216450216</v>
      </c>
      <c r="F6">
        <f>INDEX('2 过程管理表单'!$177:$177,26+(COLUMN(D$1)-1)*3)</f>
        <v>1795.41558441558</v>
      </c>
      <c r="G6">
        <f>INDEX('2 过程管理表单'!$177:$177,26+(COLUMN(E$1)-1)*3)</f>
        <v>1855.26277056277</v>
      </c>
      <c r="H6">
        <f>INDEX('2 过程管理表单'!$177:$177,26+(COLUMN(F$1)-1)*3)</f>
        <v>1795.41558441558</v>
      </c>
      <c r="I6">
        <f>INDEX('2 过程管理表单'!$177:$177,26+(COLUMN(G$1)-1)*3)</f>
        <v>1855.26277056277</v>
      </c>
      <c r="J6">
        <f>INDEX('2 过程管理表单'!$177:$177,26+(COLUMN(H$1)-1)*3)</f>
        <v>1855.26277056277</v>
      </c>
      <c r="K6">
        <f>INDEX('2 过程管理表单'!$177:$177,26+(COLUMN(I$1)-1)*3)</f>
        <v>1795.41558441558</v>
      </c>
      <c r="L6">
        <f>INDEX('2 过程管理表单'!$177:$177,26+(COLUMN(J$1)-1)*3)</f>
        <v>1855.26277056277</v>
      </c>
      <c r="M6">
        <f>INDEX('2 过程管理表单'!$177:$177,26+(COLUMN(K$1)-1)*3)</f>
        <v>0</v>
      </c>
      <c r="N6">
        <f>INDEX('2 过程管理表单'!$177:$177,26+(COLUMN(L$1)-1)*3)</f>
        <v>0</v>
      </c>
    </row>
    <row r="7" spans="1:14">
      <c r="A7" t="s">
        <v>220</v>
      </c>
      <c r="B7" t="s">
        <v>4161</v>
      </c>
      <c r="C7">
        <f>C6</f>
        <v>0</v>
      </c>
      <c r="D7">
        <f>C7+D6</f>
        <v>0</v>
      </c>
      <c r="E7">
        <f t="shared" ref="E7:N7" si="2">D7+E6</f>
        <v>1177.40216450216</v>
      </c>
      <c r="F7">
        <f t="shared" si="2"/>
        <v>2972.81774891774</v>
      </c>
      <c r="G7">
        <f t="shared" si="2"/>
        <v>4828.08051948051</v>
      </c>
      <c r="H7">
        <f t="shared" si="2"/>
        <v>6623.49610389609</v>
      </c>
      <c r="I7">
        <f t="shared" si="2"/>
        <v>8478.75887445886</v>
      </c>
      <c r="J7">
        <f t="shared" si="2"/>
        <v>10334.0216450216</v>
      </c>
      <c r="K7">
        <f t="shared" si="2"/>
        <v>12129.4372294372</v>
      </c>
      <c r="L7">
        <f t="shared" si="2"/>
        <v>13984.7</v>
      </c>
      <c r="M7">
        <f t="shared" si="2"/>
        <v>13984.7</v>
      </c>
      <c r="N7">
        <f t="shared" si="2"/>
        <v>13984.7</v>
      </c>
    </row>
    <row r="8" spans="1:14">
      <c r="A8" t="s">
        <v>220</v>
      </c>
      <c r="B8" t="s">
        <v>4162</v>
      </c>
      <c r="C8">
        <f>INDEX('2 过程管理表单'!$177:$177,24+(COLUMN(A$1)-1)*3)</f>
        <v>12291.6285033889</v>
      </c>
      <c r="D8">
        <f>INDEX('2 过程管理表单'!$177:$177,24+(COLUMN(B$1)-1)*3)</f>
        <v>970.873786407767</v>
      </c>
      <c r="E8">
        <f>INDEX('2 过程管理表单'!$177:$177,24+(COLUMN(C$1)-1)*3)</f>
        <v>970.873786407767</v>
      </c>
      <c r="F8">
        <f>INDEX('2 过程管理表单'!$177:$177,24+(COLUMN(D$1)-1)*3)</f>
        <v>970.873786407767</v>
      </c>
      <c r="G8">
        <f>INDEX('2 过程管理表单'!$177:$177,24+(COLUMN(E$1)-1)*3)</f>
        <v>970.873786407767</v>
      </c>
      <c r="H8">
        <f>INDEX('2 过程管理表单'!$177:$177,24+(COLUMN(F$1)-1)*3)</f>
        <v>970.873786407767</v>
      </c>
      <c r="I8">
        <f>INDEX('2 过程管理表单'!$177:$177,24+(COLUMN(G$1)-1)*3)</f>
        <v>970.873786407767</v>
      </c>
      <c r="J8">
        <f>INDEX('2 过程管理表单'!$177:$177,24+(COLUMN(H$1)-1)*3)</f>
        <v>970.873786407767</v>
      </c>
      <c r="K8">
        <f>INDEX('2 过程管理表单'!$177:$177,24+(COLUMN(I$1)-1)*3)</f>
        <v>970.873786407767</v>
      </c>
      <c r="L8">
        <f>INDEX('2 过程管理表单'!$177:$177,24+(COLUMN(J$1)-1)*3)</f>
        <v>970.873786407767</v>
      </c>
      <c r="M8">
        <f>INDEX('2 过程管理表单'!$177:$177,24+(COLUMN(K$1)-1)*3)</f>
        <v>970.873786407767</v>
      </c>
      <c r="N8">
        <f>INDEX('2 过程管理表单'!$177:$177,24+(COLUMN(L$1)-1)*3)</f>
        <v>970.873786407767</v>
      </c>
    </row>
    <row r="9" spans="1:14">
      <c r="A9" t="s">
        <v>220</v>
      </c>
      <c r="B9" t="s">
        <v>4163</v>
      </c>
      <c r="C9">
        <f>C8</f>
        <v>12291.6285033889</v>
      </c>
      <c r="D9">
        <f>C9+D8</f>
        <v>13262.5022897967</v>
      </c>
      <c r="E9">
        <f t="shared" ref="E9:N9" si="3">D9+E8</f>
        <v>14233.3760762044</v>
      </c>
      <c r="F9">
        <f t="shared" si="3"/>
        <v>15204.2498626122</v>
      </c>
      <c r="G9">
        <f t="shared" si="3"/>
        <v>16175.12364902</v>
      </c>
      <c r="H9">
        <f t="shared" si="3"/>
        <v>17145.9974354277</v>
      </c>
      <c r="I9">
        <f t="shared" si="3"/>
        <v>18116.8712218355</v>
      </c>
      <c r="J9">
        <f t="shared" si="3"/>
        <v>19087.7450082433</v>
      </c>
      <c r="K9">
        <f t="shared" si="3"/>
        <v>20058.618794651</v>
      </c>
      <c r="L9">
        <f t="shared" si="3"/>
        <v>21029.4925810588</v>
      </c>
      <c r="M9">
        <f t="shared" si="3"/>
        <v>22000.3663674666</v>
      </c>
      <c r="N9">
        <f t="shared" si="3"/>
        <v>22971.2401538743</v>
      </c>
    </row>
    <row r="10" spans="1:14">
      <c r="A10" t="s">
        <v>222</v>
      </c>
      <c r="B10" t="s">
        <v>4160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4161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4162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4163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4160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4161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4162</v>
      </c>
      <c r="C16">
        <f>INDEX('2 过程管理表单'!$509:$509,24+(COLUMN(A$1)-1)*3)</f>
        <v>1200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4163</v>
      </c>
      <c r="C17">
        <f>C16</f>
        <v>1200</v>
      </c>
      <c r="D17">
        <f>C17+D16</f>
        <v>1200</v>
      </c>
      <c r="E17">
        <f t="shared" ref="E17:N17" si="7">D17+E16</f>
        <v>1200</v>
      </c>
      <c r="F17">
        <f t="shared" si="7"/>
        <v>1200</v>
      </c>
      <c r="G17">
        <f t="shared" si="7"/>
        <v>1200</v>
      </c>
      <c r="H17">
        <f t="shared" si="7"/>
        <v>1200</v>
      </c>
      <c r="I17">
        <f t="shared" si="7"/>
        <v>1200</v>
      </c>
      <c r="J17">
        <f t="shared" si="7"/>
        <v>1200</v>
      </c>
      <c r="K17">
        <f t="shared" si="7"/>
        <v>1200</v>
      </c>
      <c r="L17">
        <f t="shared" si="7"/>
        <v>1200</v>
      </c>
      <c r="M17">
        <f t="shared" si="7"/>
        <v>1200</v>
      </c>
      <c r="N17">
        <f t="shared" si="7"/>
        <v>1200</v>
      </c>
    </row>
    <row r="18" spans="1:14">
      <c r="A18" t="s">
        <v>1764</v>
      </c>
      <c r="B18" t="s">
        <v>4160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4161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4162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4163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4160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4161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4162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4163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4160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4161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4162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4163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4160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4161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4162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4163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4160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4161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4162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4163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4160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4161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4162</v>
      </c>
      <c r="C40">
        <f>INDEX('2 过程管理表单'!$537:$537,24+(COLUMN(A$1)-1)*3)</f>
        <v>4000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4163</v>
      </c>
      <c r="C41">
        <f>C40</f>
        <v>4000</v>
      </c>
      <c r="D41">
        <f>C41+D40</f>
        <v>4000</v>
      </c>
      <c r="E41">
        <f t="shared" ref="E41:N41" si="19">D41+E40</f>
        <v>4000</v>
      </c>
      <c r="F41">
        <f t="shared" si="19"/>
        <v>4000</v>
      </c>
      <c r="G41">
        <f t="shared" si="19"/>
        <v>4000</v>
      </c>
      <c r="H41">
        <f t="shared" si="19"/>
        <v>4000</v>
      </c>
      <c r="I41">
        <f t="shared" si="19"/>
        <v>4000</v>
      </c>
      <c r="J41">
        <f t="shared" si="19"/>
        <v>4000</v>
      </c>
      <c r="K41">
        <f t="shared" si="19"/>
        <v>4000</v>
      </c>
      <c r="L41">
        <f t="shared" si="19"/>
        <v>4000</v>
      </c>
      <c r="M41">
        <f t="shared" si="19"/>
        <v>4000</v>
      </c>
      <c r="N41">
        <f t="shared" si="19"/>
        <v>4000</v>
      </c>
    </row>
    <row r="42" spans="1:14">
      <c r="A42" t="s">
        <v>2197</v>
      </c>
      <c r="B42" t="s">
        <v>4160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4161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4162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4163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4160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4161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4162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4163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4160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4161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4162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4163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4160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4161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4162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4163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4160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4161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4162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4163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4160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4161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4162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4163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4160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4161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4162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4163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4160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4161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4162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4163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4160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4161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4162</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4163</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4160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4161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4162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4163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4160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4161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4162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4163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4160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4161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4162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4163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4160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4161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4162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4163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4160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4161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4162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4163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4160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4161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4162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4163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4160</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4161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4162</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4163</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4160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4161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4162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4163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4160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4161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4162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4163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4160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4161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4162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4163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4160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4161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4162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4163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4160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4161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4162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4163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4160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4161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4162</v>
      </c>
      <c r="C128">
        <f>INDEX('2 过程管理表单'!$614:$614,24+(COLUMN(A$1)-1)*3)</f>
        <v>166.666666666667</v>
      </c>
      <c r="D128">
        <f>INDEX('2 过程管理表单'!$614:$614,24+(COLUMN(B$1)-1)*3)</f>
        <v>166.666666666667</v>
      </c>
      <c r="E128">
        <f>INDEX('2 过程管理表单'!$614:$614,24+(COLUMN(C$1)-1)*3)</f>
        <v>166.666666666667</v>
      </c>
      <c r="F128">
        <f>INDEX('2 过程管理表单'!$614:$614,24+(COLUMN(D$1)-1)*3)</f>
        <v>166.666666666667</v>
      </c>
      <c r="G128">
        <f>INDEX('2 过程管理表单'!$614:$614,24+(COLUMN(E$1)-1)*3)</f>
        <v>166.666666666667</v>
      </c>
      <c r="H128">
        <f>INDEX('2 过程管理表单'!$614:$614,24+(COLUMN(F$1)-1)*3)</f>
        <v>166.666666666667</v>
      </c>
      <c r="I128">
        <f>INDEX('2 过程管理表单'!$614:$614,24+(COLUMN(G$1)-1)*3)</f>
        <v>166.666666666667</v>
      </c>
      <c r="J128">
        <f>INDEX('2 过程管理表单'!$614:$614,24+(COLUMN(H$1)-1)*3)</f>
        <v>166.666666666667</v>
      </c>
      <c r="K128">
        <f>INDEX('2 过程管理表单'!$614:$614,24+(COLUMN(I$1)-1)*3)</f>
        <v>166.666666666667</v>
      </c>
      <c r="L128">
        <f>INDEX('2 过程管理表单'!$614:$614,24+(COLUMN(J$1)-1)*3)</f>
        <v>166.666666666667</v>
      </c>
      <c r="M128">
        <f>INDEX('2 过程管理表单'!$614:$614,24+(COLUMN(K$1)-1)*3)</f>
        <v>166.666666666667</v>
      </c>
      <c r="N128">
        <f>INDEX('2 过程管理表单'!$614:$614,24+(COLUMN(L$1)-1)*3)</f>
        <v>166.666666666667</v>
      </c>
    </row>
    <row r="129" spans="1:14">
      <c r="A129" t="s">
        <v>157</v>
      </c>
      <c r="B129" t="s">
        <v>4163</v>
      </c>
      <c r="C129">
        <f>C128</f>
        <v>166.666666666667</v>
      </c>
      <c r="D129">
        <f>C129+D128</f>
        <v>333.333333333334</v>
      </c>
      <c r="E129">
        <f t="shared" ref="E129:N129" si="63">D129+E128</f>
        <v>500.000000000001</v>
      </c>
      <c r="F129">
        <f t="shared" si="63"/>
        <v>666.666666666668</v>
      </c>
      <c r="G129">
        <f t="shared" si="63"/>
        <v>833.333333333335</v>
      </c>
      <c r="H129">
        <f t="shared" si="63"/>
        <v>1000</v>
      </c>
      <c r="I129">
        <f t="shared" si="63"/>
        <v>1166.66666666667</v>
      </c>
      <c r="J129">
        <f t="shared" si="63"/>
        <v>1333.33333333334</v>
      </c>
      <c r="K129">
        <f t="shared" si="63"/>
        <v>1500</v>
      </c>
      <c r="L129">
        <f t="shared" si="63"/>
        <v>1666.66666666667</v>
      </c>
      <c r="M129">
        <f t="shared" si="63"/>
        <v>1833.33333333334</v>
      </c>
      <c r="N129">
        <f t="shared" si="63"/>
        <v>2000</v>
      </c>
    </row>
    <row r="130" spans="1:14">
      <c r="A130" t="s">
        <v>78</v>
      </c>
      <c r="B130" t="s">
        <v>4160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4161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4162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4163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4160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4161</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4162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4163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4160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4161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4162</v>
      </c>
      <c r="C140">
        <f>INDEX('2 过程管理表单'!$618:$618,24+(COLUMN(A$1)-1)*3)</f>
        <v>900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4163</v>
      </c>
      <c r="C141">
        <f>C140</f>
        <v>900</v>
      </c>
      <c r="D141">
        <f>C141+D140</f>
        <v>900</v>
      </c>
      <c r="E141">
        <f t="shared" ref="E141:N141" si="69">D141+E140</f>
        <v>900</v>
      </c>
      <c r="F141">
        <f t="shared" si="69"/>
        <v>900</v>
      </c>
      <c r="G141">
        <f t="shared" si="69"/>
        <v>900</v>
      </c>
      <c r="H141">
        <f t="shared" si="69"/>
        <v>900</v>
      </c>
      <c r="I141">
        <f t="shared" si="69"/>
        <v>900</v>
      </c>
      <c r="J141">
        <f t="shared" si="69"/>
        <v>900</v>
      </c>
      <c r="K141">
        <f t="shared" si="69"/>
        <v>900</v>
      </c>
      <c r="L141">
        <f t="shared" si="69"/>
        <v>900</v>
      </c>
      <c r="M141">
        <f t="shared" si="69"/>
        <v>900</v>
      </c>
      <c r="N141">
        <f t="shared" si="69"/>
        <v>900</v>
      </c>
    </row>
    <row r="142" spans="1:14">
      <c r="A142" t="s">
        <v>2382</v>
      </c>
      <c r="B142" t="s">
        <v>4160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4161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4162</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4163</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4160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4161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4162</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4163</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4160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4161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4162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4163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4228</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4229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4230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4231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4232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4233</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4234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4235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4236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4237</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4238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4239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4240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4241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4242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4243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4244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4245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4246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4247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4248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4249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4250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4251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4252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4253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4254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4255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4256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4257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4258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4259</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4260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4261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4262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4263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4170</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3B693F04A0BF4F45B56924401242831D_13</vt:lpwstr>
  </property>
  <property fmtid="{D5CDD505-2E9C-101B-9397-08002B2CF9AE}" pid="3" name="KSOProductBuildVer">
    <vt:lpwstr>2052-12.1.0.21541</vt:lpwstr>
  </property>
  <property fmtid="{D5CDD505-2E9C-101B-9397-08002B2CF9AE}" pid="4" name="KSOReadingLayout">
    <vt:bool>false</vt:bool>
  </property>
</Properties>
</file>