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Liam Stubbington\beam-model\sweeping_gap\"/>
    </mc:Choice>
  </mc:AlternateContent>
  <bookViews>
    <workbookView xWindow="19320" yWindow="0" windowWidth="9480" windowHeight="12285" activeTab="2"/>
  </bookViews>
  <sheets>
    <sheet name="Notes" sheetId="1" r:id="rId1"/>
    <sheet name="ImageJ" sheetId="8" r:id="rId2"/>
    <sheet name="ROISize" sheetId="11" r:id="rId3"/>
    <sheet name="Transmission" sheetId="10" r:id="rId4"/>
  </sheets>
  <definedNames>
    <definedName name="TRANSMISSION_10X">ImageJ!$B$80</definedName>
    <definedName name="TRANSMISSION_10X_FFF">ImageJ!$B$60</definedName>
    <definedName name="TRANSMISSION_6X">ImageJ!$B$20</definedName>
    <definedName name="TRANSMISSION_6X_FFF">ImageJ!$B$40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1" i="11" l="1"/>
  <c r="R52" i="11"/>
  <c r="R53" i="11"/>
  <c r="R54" i="11"/>
  <c r="R55" i="11"/>
  <c r="R56" i="11"/>
  <c r="R57" i="11"/>
  <c r="R58" i="11"/>
  <c r="R59" i="11"/>
  <c r="R50" i="11"/>
  <c r="P51" i="11"/>
  <c r="P52" i="11"/>
  <c r="P53" i="11"/>
  <c r="P54" i="11"/>
  <c r="P55" i="11"/>
  <c r="P56" i="11"/>
  <c r="P57" i="11"/>
  <c r="P58" i="11"/>
  <c r="P59" i="11"/>
  <c r="P50" i="11"/>
  <c r="P37" i="11"/>
  <c r="P38" i="11"/>
  <c r="P39" i="11"/>
  <c r="P40" i="11"/>
  <c r="P41" i="11"/>
  <c r="P42" i="11"/>
  <c r="P43" i="11"/>
  <c r="P44" i="11"/>
  <c r="P45" i="11"/>
  <c r="P36" i="11"/>
  <c r="R22" i="11"/>
  <c r="R23" i="11"/>
  <c r="R24" i="11"/>
  <c r="R25" i="11"/>
  <c r="R26" i="11"/>
  <c r="R27" i="11"/>
  <c r="R28" i="11"/>
  <c r="R29" i="11"/>
  <c r="R21" i="11"/>
  <c r="P22" i="11"/>
  <c r="P23" i="11"/>
  <c r="P24" i="11"/>
  <c r="P25" i="11"/>
  <c r="P26" i="11"/>
  <c r="P27" i="11"/>
  <c r="P28" i="11"/>
  <c r="P29" i="11"/>
  <c r="P21" i="11"/>
  <c r="P9" i="11"/>
  <c r="P10" i="11"/>
  <c r="P11" i="11"/>
  <c r="P12" i="11"/>
  <c r="P13" i="11"/>
  <c r="P14" i="11"/>
  <c r="P15" i="11"/>
  <c r="P16" i="11"/>
  <c r="P8" i="11"/>
  <c r="E170" i="8"/>
  <c r="L157" i="8"/>
  <c r="L158" i="8"/>
  <c r="L159" i="8"/>
  <c r="L160" i="8"/>
  <c r="L161" i="8"/>
  <c r="L162" i="8"/>
  <c r="L163" i="8"/>
  <c r="B173" i="8" s="1" a="1"/>
  <c r="C173" i="8" s="1"/>
  <c r="L164" i="8"/>
  <c r="L165" i="8"/>
  <c r="B168" i="8"/>
  <c r="H173" i="8"/>
  <c r="F173" i="8"/>
  <c r="B170" i="8"/>
  <c r="K157" i="8"/>
  <c r="K158" i="8"/>
  <c r="K159" i="8"/>
  <c r="K160" i="8"/>
  <c r="K161" i="8"/>
  <c r="K162" i="8"/>
  <c r="K163" i="8"/>
  <c r="K164" i="8"/>
  <c r="K165" i="8"/>
  <c r="K136" i="8"/>
  <c r="B149" i="8" s="1"/>
  <c r="K137" i="8"/>
  <c r="K138" i="8"/>
  <c r="K139" i="8"/>
  <c r="K140" i="8"/>
  <c r="K141" i="8"/>
  <c r="K142" i="8"/>
  <c r="K143" i="8"/>
  <c r="K144" i="8"/>
  <c r="K114" i="8"/>
  <c r="K115" i="8"/>
  <c r="K116" i="8"/>
  <c r="K117" i="8"/>
  <c r="K118" i="8"/>
  <c r="K119" i="8"/>
  <c r="K120" i="8"/>
  <c r="K121" i="8"/>
  <c r="K122" i="8"/>
  <c r="B173" i="8" l="1"/>
  <c r="G173" i="8" s="1"/>
  <c r="H152" i="8"/>
  <c r="F152" i="8"/>
  <c r="B127" i="8"/>
  <c r="H130" i="8" s="1"/>
  <c r="F130" i="8"/>
  <c r="D173" i="8" l="1"/>
  <c r="E173" i="8" s="1"/>
  <c r="I173" i="8" s="1"/>
  <c r="K92" i="8" l="1"/>
  <c r="K93" i="8"/>
  <c r="K94" i="8"/>
  <c r="K95" i="8"/>
  <c r="K96" i="8"/>
  <c r="K97" i="8"/>
  <c r="K98" i="8"/>
  <c r="K99" i="8"/>
  <c r="K100" i="8"/>
  <c r="B105" i="8" l="1"/>
  <c r="H108" i="8"/>
  <c r="F108" i="8"/>
  <c r="O28" i="8"/>
  <c r="O29" i="8"/>
  <c r="O30" i="8"/>
  <c r="O31" i="8"/>
  <c r="O32" i="8"/>
  <c r="O33" i="8"/>
  <c r="O34" i="8"/>
  <c r="B125" i="8" s="1"/>
  <c r="O35" i="8"/>
  <c r="O36" i="8"/>
  <c r="O37" i="8"/>
  <c r="O8" i="8"/>
  <c r="O9" i="8"/>
  <c r="O10" i="8"/>
  <c r="O11" i="8"/>
  <c r="O12" i="8"/>
  <c r="O13" i="8"/>
  <c r="O14" i="8"/>
  <c r="B103" i="8" s="1"/>
  <c r="O15" i="8"/>
  <c r="O16" i="8"/>
  <c r="O17" i="8"/>
  <c r="B83" i="8" a="1"/>
  <c r="B83" i="8" s="1"/>
  <c r="O68" i="8"/>
  <c r="O69" i="8"/>
  <c r="O70" i="8"/>
  <c r="O71" i="8"/>
  <c r="O72" i="8"/>
  <c r="O73" i="8"/>
  <c r="O74" i="8"/>
  <c r="B147" i="8" s="1"/>
  <c r="O75" i="8"/>
  <c r="O76" i="8"/>
  <c r="O77" i="8"/>
  <c r="B80" i="8" s="1"/>
  <c r="D80" i="8" s="1"/>
  <c r="F17" i="10"/>
  <c r="F15" i="10"/>
  <c r="F16" i="10"/>
  <c r="F14" i="10"/>
  <c r="B20" i="8" l="1" a="1"/>
  <c r="L137" i="8"/>
  <c r="L143" i="8"/>
  <c r="L142" i="8"/>
  <c r="L138" i="8"/>
  <c r="L140" i="8"/>
  <c r="L144" i="8"/>
  <c r="L141" i="8"/>
  <c r="L139" i="8"/>
  <c r="L136" i="8"/>
  <c r="L115" i="8"/>
  <c r="L114" i="8"/>
  <c r="L116" i="8"/>
  <c r="L118" i="8"/>
  <c r="L119" i="8"/>
  <c r="L120" i="8"/>
  <c r="L121" i="8"/>
  <c r="L122" i="8"/>
  <c r="L117" i="8"/>
  <c r="B40" i="8"/>
  <c r="D40" i="8" s="1"/>
  <c r="L94" i="8"/>
  <c r="L92" i="8"/>
  <c r="L93" i="8"/>
  <c r="L95" i="8"/>
  <c r="L96" i="8"/>
  <c r="L97" i="8"/>
  <c r="L98" i="8"/>
  <c r="L99" i="8"/>
  <c r="L100" i="8"/>
  <c r="B43" i="8" a="1"/>
  <c r="B43" i="8" s="1"/>
  <c r="B20" i="8"/>
  <c r="C83" i="8"/>
  <c r="D83" i="8" s="1"/>
  <c r="E83" i="8" s="1"/>
  <c r="E149" i="8" s="1"/>
  <c r="O48" i="8"/>
  <c r="O49" i="8"/>
  <c r="O50" i="8"/>
  <c r="O51" i="8"/>
  <c r="O52" i="8"/>
  <c r="O53" i="8"/>
  <c r="O54" i="8"/>
  <c r="O55" i="8"/>
  <c r="O56" i="8"/>
  <c r="O57" i="8"/>
  <c r="B152" i="8" l="1" a="1"/>
  <c r="B152" i="8" s="1"/>
  <c r="G152" i="8" s="1"/>
  <c r="B130" i="8" a="1"/>
  <c r="B108" i="8" a="1"/>
  <c r="C43" i="8"/>
  <c r="B63" i="8" a="1"/>
  <c r="D20" i="8"/>
  <c r="B60" i="8"/>
  <c r="D60" i="8" s="1"/>
  <c r="B23" i="8" a="1"/>
  <c r="B23" i="8" s="1"/>
  <c r="C152" i="8" l="1"/>
  <c r="D152" i="8" s="1"/>
  <c r="E152" i="8" s="1"/>
  <c r="I152" i="8" s="1"/>
  <c r="C130" i="8"/>
  <c r="B130" i="8"/>
  <c r="G130" i="8" s="1"/>
  <c r="B108" i="8"/>
  <c r="G108" i="8" s="1"/>
  <c r="C108" i="8"/>
  <c r="D108" i="8" s="1"/>
  <c r="E108" i="8" s="1"/>
  <c r="C63" i="8"/>
  <c r="B63" i="8"/>
  <c r="C23" i="8"/>
  <c r="D23" i="8" s="1"/>
  <c r="E23" i="8" s="1"/>
  <c r="E105" i="8" s="1"/>
  <c r="D43" i="8"/>
  <c r="E43" i="8" s="1"/>
  <c r="E127" i="8" s="1"/>
  <c r="D130" i="8" l="1"/>
  <c r="E130" i="8" s="1"/>
  <c r="I130" i="8" s="1"/>
  <c r="I108" i="8"/>
  <c r="D63" i="8"/>
  <c r="E63" i="8" s="1"/>
</calcChain>
</file>

<file path=xl/sharedStrings.xml><?xml version="1.0" encoding="utf-8"?>
<sst xmlns="http://schemas.openxmlformats.org/spreadsheetml/2006/main" count="472" uniqueCount="158">
  <si>
    <t>References:</t>
  </si>
  <si>
    <t>Hernandez, V. et al. (2018) ‘A new method for modelling the tongue-and-groove in treatment planning systems’, Physics in Medicine &amp; Biology, 63(24), p. 245005. Available at: https://doi.org/10.1088/1361-6560/aaf098.</t>
  </si>
  <si>
    <t>LINAC:</t>
  </si>
  <si>
    <t>DATE:</t>
  </si>
  <si>
    <t>DETECTOR:</t>
  </si>
  <si>
    <t>ELECTROMETER:</t>
  </si>
  <si>
    <t>DICOM Files:</t>
  </si>
  <si>
    <t xml:space="preserve">SETUP: </t>
  </si>
  <si>
    <t>d [cm]</t>
  </si>
  <si>
    <t>R2</t>
  </si>
  <si>
    <t>R3</t>
  </si>
  <si>
    <t>LA8</t>
  </si>
  <si>
    <t>NOTES:</t>
  </si>
  <si>
    <t>MLC_A</t>
  </si>
  <si>
    <t>MLC_B</t>
  </si>
  <si>
    <t xml:space="preserve">MACRO: </t>
  </si>
  <si>
    <t>C:\Program Files\ImageJ\macros\SweepingGapTools.ijm</t>
  </si>
  <si>
    <t>Label</t>
  </si>
  <si>
    <t>Area</t>
  </si>
  <si>
    <t>Mean</t>
  </si>
  <si>
    <t>StdDev</t>
  </si>
  <si>
    <t>Mode</t>
  </si>
  <si>
    <t>Min</t>
  </si>
  <si>
    <t>Max</t>
  </si>
  <si>
    <t>X</t>
  </si>
  <si>
    <t>Y</t>
  </si>
  <si>
    <t>IntDen</t>
  </si>
  <si>
    <t>Median</t>
  </si>
  <si>
    <t>%Area</t>
  </si>
  <si>
    <t>RawIntDen</t>
  </si>
  <si>
    <t>6X DLG</t>
  </si>
  <si>
    <t>DLG</t>
  </si>
  <si>
    <t>Gap [cm]</t>
  </si>
  <si>
    <t>TRANS_A</t>
  </si>
  <si>
    <t>TRANS_B</t>
  </si>
  <si>
    <t>TRANSMISSION 6X</t>
  </si>
  <si>
    <t>EPID</t>
  </si>
  <si>
    <t>RayStation</t>
  </si>
  <si>
    <t>INTERCEPT</t>
  </si>
  <si>
    <t>(1-T)</t>
  </si>
  <si>
    <t>DLG 6X</t>
  </si>
  <si>
    <t>DLG [cm]</t>
  </si>
  <si>
    <t>OPEN</t>
  </si>
  <si>
    <r>
      <t>GRADIENT [cm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]</t>
    </r>
  </si>
  <si>
    <t>TRANSMISSION 6X FFF</t>
  </si>
  <si>
    <t>DLG 6X FFF</t>
  </si>
  <si>
    <t>EPID Signal</t>
  </si>
  <si>
    <t>TRANSMISSION 10X FFF</t>
  </si>
  <si>
    <t>DLG 10X FFF</t>
  </si>
  <si>
    <t>INTER/GRAD</t>
  </si>
  <si>
    <t>LA7</t>
  </si>
  <si>
    <t>U:\Liam Stubbington\beam-model\sweeping_gap\varian_dcm</t>
  </si>
  <si>
    <t>E13</t>
  </si>
  <si>
    <t>6X</t>
  </si>
  <si>
    <t>R1</t>
  </si>
  <si>
    <t xml:space="preserve">AVERAGE [nC] </t>
  </si>
  <si>
    <t>TRANSMISSION [%]</t>
  </si>
  <si>
    <t>6X FFF</t>
  </si>
  <si>
    <t>10X</t>
  </si>
  <si>
    <t>10X FFF</t>
  </si>
  <si>
    <t>U:\Liam Stubbington\beam-model\sweeping_gap\varian_dcm\</t>
  </si>
  <si>
    <t xml:space="preserve">10×10cm square field. 
Fields delivered to the EPID in Dosimetry mode. </t>
  </si>
  <si>
    <t xml:space="preserve">10×10cm square field. 
Chamber @ +5.0cm depth in blocks.
Chamber orientated perpendicular to the direction of MLC travel. 
For closed MLC fields, plan MU overridden in service to 500MU. Factor 0.2 applied in calculated transmission. </t>
  </si>
  <si>
    <t xml:space="preserve"> 2mm :  10x [MV], 400 [MU/min]  </t>
  </si>
  <si>
    <t xml:space="preserve"> 20mm:  10x [MV], 400 [MU/min]  </t>
  </si>
  <si>
    <t xml:space="preserve"> 14mm:  10x [MV], 400 [MU/min]  </t>
  </si>
  <si>
    <t xml:space="preserve"> TransmB :  10x [MV], 400 [MU/min]  </t>
  </si>
  <si>
    <t xml:space="preserve"> 6mm :  10x [MV], 400 [MU/min]  </t>
  </si>
  <si>
    <t xml:space="preserve"> 4mm :  10x [MV], 400 [MU/min]  </t>
  </si>
  <si>
    <t xml:space="preserve"> 10mm:  10x [MV], 400 [MU/min]  </t>
  </si>
  <si>
    <t xml:space="preserve"> TransmA :  10x [MV], 400 [MU/min]  </t>
  </si>
  <si>
    <t xml:space="preserve"> 16mm:  10x [MV], 400 [MU/min]  </t>
  </si>
  <si>
    <t xml:space="preserve"> Open:  10x [MV], 400 [MU/min]  </t>
  </si>
  <si>
    <t xml:space="preserve">TRANSMISSION 10X </t>
  </si>
  <si>
    <t>DLG 10X</t>
  </si>
  <si>
    <t xml:space="preserve"> 16mm:  6x [MV], 400 [MU/min]  </t>
  </si>
  <si>
    <t xml:space="preserve"> TransmA :  6x [MV], 400 [MU/min]  </t>
  </si>
  <si>
    <t xml:space="preserve"> 14mm:  6x [MV], 400 [MU/min]  </t>
  </si>
  <si>
    <t xml:space="preserve"> 20mm:  6x [MV], 400 [MU/min]  </t>
  </si>
  <si>
    <t xml:space="preserve"> 2mm :  6x [MV], 400 [MU/min]  </t>
  </si>
  <si>
    <t xml:space="preserve"> TransmB :  6x [MV], 400 [MU/min]  </t>
  </si>
  <si>
    <t xml:space="preserve"> Open:  6x [MV], 400 [MU/min]  </t>
  </si>
  <si>
    <t xml:space="preserve"> 6mm :  6x [MV], 400 [MU/min]  </t>
  </si>
  <si>
    <t xml:space="preserve"> 4mm :  6x [MV], 400 [MU/min]  </t>
  </si>
  <si>
    <t xml:space="preserve"> 10mm:  6x [MV], 400 [MU/min]  </t>
  </si>
  <si>
    <t xml:space="preserve"> 4mm :  6xFFF [MV], 400 [MU/min]  </t>
  </si>
  <si>
    <t xml:space="preserve"> Open:  6xFFF [MV], 400 [MU/min]  </t>
  </si>
  <si>
    <t xml:space="preserve"> 6mm :  6xFFF [MV], 400 [MU/min]  </t>
  </si>
  <si>
    <t xml:space="preserve"> TransmB :  6xFFF [MV], 400 [MU/min]  </t>
  </si>
  <si>
    <t xml:space="preserve"> 16mm:  6xFFF [MV], 400 [MU/min]  </t>
  </si>
  <si>
    <t xml:space="preserve"> 14mm:  6xFFF [MV], 400 [MU/min]  </t>
  </si>
  <si>
    <t xml:space="preserve"> 2mm :  6xFFF [MV], 400 [MU/min]  </t>
  </si>
  <si>
    <t xml:space="preserve"> TransmA :  6xFFF [MV], 400 [MU/min]  </t>
  </si>
  <si>
    <t xml:space="preserve"> 10mm:  6xFFF [MV], 400 [MU/min]  </t>
  </si>
  <si>
    <t xml:space="preserve"> 20mm:  6xFFF [MV], 400 [MU/min]  </t>
  </si>
  <si>
    <t xml:space="preserve"> 2mm :  10xFFF [MV], 400 [MU/min]  </t>
  </si>
  <si>
    <t xml:space="preserve"> 4mm :  10xFFF [MV], 400 [MU/min]  </t>
  </si>
  <si>
    <t xml:space="preserve"> 6mm :  10xFFF [MV], 400 [MU/min]  </t>
  </si>
  <si>
    <t xml:space="preserve"> 10mm:  10xFFF [MV], 400 [MU/min]  </t>
  </si>
  <si>
    <t xml:space="preserve"> 14mm:  10xFFF [MV], 400 [MU/min]  </t>
  </si>
  <si>
    <t xml:space="preserve"> 16mm:  10xFFF [MV], 400 [MU/min]  </t>
  </si>
  <si>
    <t xml:space="preserve"> 20mm:  10xFFF [MV], 400 [MU/min]  </t>
  </si>
  <si>
    <t xml:space="preserve"> Open:  10xFFF [MV], 400 [MU/min]  </t>
  </si>
  <si>
    <t xml:space="preserve"> TransmB :  10xFFF [MV], 400 [MU/min]  </t>
  </si>
  <si>
    <t xml:space="preserve"> TransmA :  10xFFF [MV], 400 [MU/min]  </t>
  </si>
  <si>
    <t>aSG</t>
  </si>
  <si>
    <t>6X aSG</t>
  </si>
  <si>
    <t xml:space="preserve"> aSG_10mm:  6x [MV], 400 [MU/min]  </t>
  </si>
  <si>
    <t xml:space="preserve"> aSG_7mm :  6x [MV], 400 [MU/min]  </t>
  </si>
  <si>
    <t xml:space="preserve"> aSG_5mm :  6x [MV], 400 [MU/min]  </t>
  </si>
  <si>
    <t xml:space="preserve"> aSG_3mm :  6x [MV], 400 [MU/min]  </t>
  </si>
  <si>
    <t xml:space="preserve"> aSG_2mm :  6x [MV], 400 [MU/min]  </t>
  </si>
  <si>
    <t xml:space="preserve"> aSG_1mm :  6x [MV], 400 [MU/min]  </t>
  </si>
  <si>
    <t>s [cm]</t>
  </si>
  <si>
    <t>Delta</t>
  </si>
  <si>
    <t>GRADIENT</t>
  </si>
  <si>
    <t xml:space="preserve">INTERCEPT </t>
  </si>
  <si>
    <t xml:space="preserve">INTERCEPT/GRADIENT </t>
  </si>
  <si>
    <r>
      <t>l</t>
    </r>
    <r>
      <rPr>
        <vertAlign val="subscript"/>
        <sz val="12"/>
        <color theme="1"/>
        <rFont val="Calibri"/>
        <family val="2"/>
        <scheme val="minor"/>
      </rPr>
      <t>tip</t>
    </r>
    <r>
      <rPr>
        <sz val="12"/>
        <color theme="1"/>
        <rFont val="Calibri"/>
        <family val="2"/>
        <scheme val="minor"/>
      </rPr>
      <t xml:space="preserve"> [cm]</t>
    </r>
  </si>
  <si>
    <t>1 - 2SQRT(T) + T</t>
  </si>
  <si>
    <r>
      <t>w</t>
    </r>
    <r>
      <rPr>
        <vertAlign val="subscript"/>
        <sz val="12"/>
        <color theme="1"/>
        <rFont val="Calibri"/>
        <family val="2"/>
        <scheme val="minor"/>
      </rPr>
      <t>TG</t>
    </r>
    <r>
      <rPr>
        <sz val="12"/>
        <color theme="1"/>
        <rFont val="Calibri"/>
        <family val="2"/>
        <scheme val="minor"/>
      </rPr>
      <t xml:space="preserve"> [cm]</t>
    </r>
  </si>
  <si>
    <t xml:space="preserve">SQRT(T) - T / (1 - T) </t>
  </si>
  <si>
    <t>C [cm]</t>
  </si>
  <si>
    <r>
      <t xml:space="preserve">0 &lt; s </t>
    </r>
    <r>
      <rPr>
        <sz val="12"/>
        <color theme="1"/>
        <rFont val="Calibri"/>
        <family val="2"/>
      </rPr>
      <t>≤</t>
    </r>
    <r>
      <rPr>
        <sz val="12"/>
        <color theme="1"/>
        <rFont val="Calibri"/>
        <family val="2"/>
        <scheme val="minor"/>
      </rPr>
      <t xml:space="preserve"> 1.0 cm</t>
    </r>
  </si>
  <si>
    <t xml:space="preserve">20mm </t>
  </si>
  <si>
    <t>6FFF aSG</t>
  </si>
  <si>
    <t xml:space="preserve"> aSG_10mm:  6xFFF [MV], 400 [MU/min]  </t>
  </si>
  <si>
    <t xml:space="preserve"> aSG_5mm :  6xFFF [MV], 400 [MU/min]  </t>
  </si>
  <si>
    <t xml:space="preserve"> aSG_3mm :  6xFFF [MV], 400 [MU/min]  </t>
  </si>
  <si>
    <t xml:space="preserve"> aSG_1mm :  6xFFF [MV], 400 [MU/min]  </t>
  </si>
  <si>
    <t xml:space="preserve"> aSG_2mm :  6xFFF [MV], 400 [MU/min]  </t>
  </si>
  <si>
    <t xml:space="preserve"> aSG_7mm :  6xFFF [MV], 400 [MU/min]  </t>
  </si>
  <si>
    <t>DLG 6FFF</t>
  </si>
  <si>
    <t>TRANSMISSION 6FFF</t>
  </si>
  <si>
    <t>10X aSG</t>
  </si>
  <si>
    <t xml:space="preserve"> aSG_7mm :  10x [MV], 400 [MU/min]  </t>
  </si>
  <si>
    <t xml:space="preserve"> aSG_1mm :  10x [MV], 400 [MU/min]  </t>
  </si>
  <si>
    <t xml:space="preserve"> aSG_3mm :  10x [MV], 400 [MU/min]  </t>
  </si>
  <si>
    <t xml:space="preserve"> aSG_2mm :  10x [MV], 400 [MU/min]  </t>
  </si>
  <si>
    <t xml:space="preserve"> aSG_10mm:  10x [MV], 400 [MU/min]  </t>
  </si>
  <si>
    <t xml:space="preserve"> aSG_5mm :  10x [MV], 400 [MU/min]  </t>
  </si>
  <si>
    <t>Absolute value taken…</t>
  </si>
  <si>
    <t>10FFF aSG</t>
  </si>
  <si>
    <t xml:space="preserve"> aSG_10mm:  10xFFF [MV], 400 [MU/min]  </t>
  </si>
  <si>
    <t xml:space="preserve"> aSG_7mm :  10xFFF [MV], 400 [MU/min]  </t>
  </si>
  <si>
    <t xml:space="preserve"> aSG_5mm :  10xFFF [MV], 400 [MU/min]  </t>
  </si>
  <si>
    <t xml:space="preserve"> aSG_3mm :  10xFFF [MV], 400 [MU/min]  </t>
  </si>
  <si>
    <t xml:space="preserve"> aSG_2mm :  10xFFF [MV], 400 [MU/min]  </t>
  </si>
  <si>
    <t xml:space="preserve"> aSG_1mm :  10xFFF [MV], 400 [MU/min]  </t>
  </si>
  <si>
    <t>TRANSMISSION 10X</t>
  </si>
  <si>
    <t>TRANSMISSION 10FFF</t>
  </si>
  <si>
    <t>DLG 10FFF</t>
  </si>
  <si>
    <t xml:space="preserve">Use different ROI areas… </t>
  </si>
  <si>
    <t>aSG 10FFF</t>
  </si>
  <si>
    <t>ERROR [%]</t>
  </si>
  <si>
    <t>SMALL ROI</t>
  </si>
  <si>
    <t>LARGE ROI</t>
  </si>
  <si>
    <t>SG 10FFF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</si>
</sst>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"/>
    <numFmt numFmtId="166" formatCode="0.0000"/>
    <numFmt numFmtId="167" formatCode="0.000%"/>
  </numFmts>
  <fonts count="13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rgb="FFFA7D00"/>
      <name val="Calibri"/>
      <family val="2"/>
      <scheme val="minor"/>
    </font>
    <font>
      <u/>
      <sz val="12"/>
      <color theme="1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0" applyNumberFormat="0" applyFill="0" applyBorder="0" applyAlignment="0" applyProtection="0"/>
    <xf numFmtId="0" fontId="5" fillId="3" borderId="2" applyNumberFormat="0" applyAlignment="0" applyProtection="0"/>
    <xf numFmtId="0" fontId="6" fillId="0" borderId="3" applyNumberFormat="0" applyFill="0" applyAlignment="0" applyProtection="0"/>
    <xf numFmtId="0" fontId="8" fillId="2" borderId="5" applyNumberFormat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</cellStyleXfs>
  <cellXfs count="34">
    <xf numFmtId="0" fontId="0" fillId="0" borderId="0" xfId="0"/>
    <xf numFmtId="0" fontId="3" fillId="0" borderId="0" xfId="3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1" fontId="0" fillId="0" borderId="0" xfId="0" applyNumberFormat="1"/>
    <xf numFmtId="0" fontId="2" fillId="2" borderId="2" xfId="2"/>
    <xf numFmtId="0" fontId="5" fillId="3" borderId="2" xfId="4"/>
    <xf numFmtId="10" fontId="2" fillId="2" borderId="2" xfId="2" applyNumberFormat="1"/>
    <xf numFmtId="165" fontId="2" fillId="2" borderId="2" xfId="2" applyNumberFormat="1"/>
    <xf numFmtId="0" fontId="0" fillId="0" borderId="0" xfId="0" applyAlignment="1">
      <alignment horizontal="center" wrapText="1"/>
    </xf>
    <xf numFmtId="164" fontId="0" fillId="0" borderId="0" xfId="0" applyNumberFormat="1"/>
    <xf numFmtId="166" fontId="2" fillId="2" borderId="2" xfId="2" applyNumberFormat="1"/>
    <xf numFmtId="0" fontId="7" fillId="4" borderId="4" xfId="0" applyFont="1" applyFill="1" applyBorder="1"/>
    <xf numFmtId="165" fontId="0" fillId="0" borderId="0" xfId="0" applyNumberFormat="1"/>
    <xf numFmtId="167" fontId="0" fillId="0" borderId="0" xfId="0" applyNumberFormat="1"/>
    <xf numFmtId="167" fontId="2" fillId="2" borderId="2" xfId="2" applyNumberFormat="1"/>
    <xf numFmtId="0" fontId="0" fillId="0" borderId="0" xfId="0" applyAlignment="1"/>
    <xf numFmtId="0" fontId="6" fillId="0" borderId="3" xfId="5" applyAlignment="1">
      <alignment horizontal="center"/>
    </xf>
    <xf numFmtId="0" fontId="1" fillId="0" borderId="1" xfId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0" xfId="0" applyBorder="1" applyAlignment="1">
      <alignment horizontal="center"/>
    </xf>
    <xf numFmtId="11" fontId="8" fillId="2" borderId="5" xfId="6" applyNumberFormat="1"/>
    <xf numFmtId="0" fontId="9" fillId="0" borderId="0" xfId="7"/>
    <xf numFmtId="10" fontId="0" fillId="0" borderId="0" xfId="0" applyNumberFormat="1"/>
    <xf numFmtId="165" fontId="8" fillId="2" borderId="5" xfId="6" applyNumberFormat="1"/>
    <xf numFmtId="0" fontId="2" fillId="2" borderId="6" xfId="2" applyBorder="1"/>
    <xf numFmtId="165" fontId="10" fillId="5" borderId="6" xfId="8" applyNumberFormat="1" applyBorder="1"/>
    <xf numFmtId="2" fontId="0" fillId="0" borderId="6" xfId="0" applyNumberFormat="1" applyBorder="1"/>
    <xf numFmtId="0" fontId="0" fillId="0" borderId="0" xfId="0" applyAlignment="1">
      <alignment horizontal="center"/>
    </xf>
  </cellXfs>
  <cellStyles count="9">
    <cellStyle name="60% - Accent1" xfId="8" builtinId="32"/>
    <cellStyle name="Calculation" xfId="2" builtinId="22"/>
    <cellStyle name="Explanatory Text" xfId="7" builtinId="53"/>
    <cellStyle name="Heading 1" xfId="5" builtinId="16"/>
    <cellStyle name="Heading 2" xfId="1" builtinId="17"/>
    <cellStyle name="Hyperlink" xfId="3" builtinId="8"/>
    <cellStyle name="Input" xfId="4" builtinId="20"/>
    <cellStyle name="Normal" xfId="0" builtinId="0"/>
    <cellStyle name="Output" xfId="6" builtinId="21"/>
  </cellStyles>
  <dxfs count="96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647700</xdr:colOff>
      <xdr:row>9</xdr:row>
      <xdr:rowOff>95250</xdr:rowOff>
    </xdr:from>
    <xdr:to>
      <xdr:col>2</xdr:col>
      <xdr:colOff>10706100</xdr:colOff>
      <xdr:row>23</xdr:row>
      <xdr:rowOff>123825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450" y="2295525"/>
          <a:ext cx="10058400" cy="28289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7:O17" totalsRowShown="0">
  <autoFilter ref="A7:O17"/>
  <tableColumns count="15">
    <tableColumn id="1" name="Label"/>
    <tableColumn id="2" name="Area" dataDxfId="95"/>
    <tableColumn id="3" name="Mean" dataDxfId="94"/>
    <tableColumn id="4" name="StdDev" dataDxfId="93"/>
    <tableColumn id="5" name="Mode" dataDxfId="92"/>
    <tableColumn id="6" name="Min" dataDxfId="91"/>
    <tableColumn id="7" name="Max" dataDxfId="90"/>
    <tableColumn id="8" name="X" dataDxfId="89"/>
    <tableColumn id="9" name="Y" dataDxfId="88"/>
    <tableColumn id="10" name="IntDen" dataDxfId="87"/>
    <tableColumn id="11" name="Median" dataDxfId="86"/>
    <tableColumn id="12" name="%Area" dataDxfId="85"/>
    <tableColumn id="13" name="RawIntDen" dataDxfId="84"/>
    <tableColumn id="14" name="Gap [cm]" dataDxfId="83"/>
    <tableColumn id="15" name="EPID Signal" dataDxfId="82">
      <calculatedColumnFormula>Table2[[#This Row],[IntDen]]/$J$15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27:O37" totalsRowShown="0">
  <autoFilter ref="A27:O37"/>
  <sortState ref="A26:O35">
    <sortCondition descending="1" ref="A25:A35"/>
  </sortState>
  <tableColumns count="15">
    <tableColumn id="1" name="Label"/>
    <tableColumn id="2" name="Area" dataDxfId="81"/>
    <tableColumn id="3" name="Mean" dataDxfId="80"/>
    <tableColumn id="4" name="StdDev" dataDxfId="79"/>
    <tableColumn id="5" name="Mode" dataDxfId="78"/>
    <tableColumn id="6" name="Min" dataDxfId="77"/>
    <tableColumn id="7" name="Max" dataDxfId="76"/>
    <tableColumn id="8" name="X" dataDxfId="75"/>
    <tableColumn id="9" name="Y" dataDxfId="74"/>
    <tableColumn id="10" name="IntDen" dataDxfId="73"/>
    <tableColumn id="11" name="Median" dataDxfId="72"/>
    <tableColumn id="12" name="%Area" dataDxfId="71"/>
    <tableColumn id="13" name="RawIntDen" dataDxfId="70"/>
    <tableColumn id="14" name="Gap [cm]"/>
    <tableColumn id="15" name="EPID Signal" dataDxfId="69">
      <calculatedColumnFormula>Table3[[#This Row],[IntDen]]/$J$35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47:O57" totalsRowShown="0">
  <autoFilter ref="A47:O57"/>
  <sortState ref="A45:O54">
    <sortCondition ref="A44:A54"/>
  </sortState>
  <tableColumns count="15">
    <tableColumn id="1" name="Label"/>
    <tableColumn id="2" name="Area" dataDxfId="68"/>
    <tableColumn id="3" name="Mean" dataDxfId="67"/>
    <tableColumn id="4" name="StdDev" dataDxfId="66"/>
    <tableColumn id="5" name="Mode" dataDxfId="65"/>
    <tableColumn id="6" name="Min" dataDxfId="64"/>
    <tableColumn id="7" name="Max" dataDxfId="63"/>
    <tableColumn id="8" name="X" dataDxfId="62"/>
    <tableColumn id="9" name="Y" dataDxfId="61"/>
    <tableColumn id="10" name="IntDen" dataDxfId="60"/>
    <tableColumn id="11" name="Median" dataDxfId="59"/>
    <tableColumn id="12" name="%Area" dataDxfId="58"/>
    <tableColumn id="13" name="RawIntDen" dataDxfId="57"/>
    <tableColumn id="14" name="Gap [cm]"/>
    <tableColumn id="15" name="EPID Signal" dataDxfId="56">
      <calculatedColumnFormula>Table4[[#This Row],[IntDen]]/$J$55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67:O77" totalsRowShown="0">
  <autoFilter ref="A67:O77"/>
  <sortState ref="A64:O73">
    <sortCondition ref="A63:A73"/>
  </sortState>
  <tableColumns count="15">
    <tableColumn id="1" name="Label"/>
    <tableColumn id="2" name="Area" dataDxfId="55"/>
    <tableColumn id="3" name="Mean" dataDxfId="54"/>
    <tableColumn id="4" name="StdDev" dataDxfId="53"/>
    <tableColumn id="5" name="Mode" dataDxfId="52"/>
    <tableColumn id="6" name="Min" dataDxfId="51"/>
    <tableColumn id="7" name="Max" dataDxfId="50"/>
    <tableColumn id="8" name="X" dataDxfId="49"/>
    <tableColumn id="9" name="Y" dataDxfId="48"/>
    <tableColumn id="10" name="IntDen" dataDxfId="47"/>
    <tableColumn id="11" name="Median" dataDxfId="46"/>
    <tableColumn id="12" name="%Area" dataDxfId="45"/>
    <tableColumn id="13" name="RawIntDen" dataDxfId="44"/>
    <tableColumn id="14" name="Gap [cm]"/>
    <tableColumn id="15" name="EPID Signal" dataDxfId="43">
      <calculatedColumnFormula>J68/$J$75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91:L100" totalsRowShown="0">
  <autoFilter ref="A91:L100"/>
  <tableColumns count="12">
    <tableColumn id="1" name="Label"/>
    <tableColumn id="2" name="Area" dataDxfId="42"/>
    <tableColumn id="3" name="Mean" dataDxfId="41"/>
    <tableColumn id="4" name="StdDev" dataDxfId="40"/>
    <tableColumn id="5" name="Mode" dataDxfId="39"/>
    <tableColumn id="6" name="IntDen" dataDxfId="38"/>
    <tableColumn id="7" name="Median" dataDxfId="37"/>
    <tableColumn id="8" name="%Area" dataDxfId="36"/>
    <tableColumn id="9" name="RawIntDen" dataDxfId="35"/>
    <tableColumn id="10" name="s [cm]"/>
    <tableColumn id="11" name="EPID Signal" dataDxfId="34">
      <calculatedColumnFormula>Table5[[#This Row],[IntDen]]/F$100</calculatedColumnFormula>
    </tableColumn>
    <tableColumn id="12" name="Delta" dataDxfId="33">
      <calculatedColumnFormula>B$103-Table5[[#This Row],[EPID Signal]]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13:L122" totalsRowShown="0">
  <autoFilter ref="A113:L122"/>
  <tableColumns count="12">
    <tableColumn id="1" name="Label"/>
    <tableColumn id="2" name="Area" dataDxfId="32"/>
    <tableColumn id="3" name="Mean" dataDxfId="31"/>
    <tableColumn id="4" name="StdDev" dataDxfId="30"/>
    <tableColumn id="5" name="Mode" dataDxfId="29"/>
    <tableColumn id="10" name="IntDen" dataDxfId="28"/>
    <tableColumn id="11" name="Median" dataDxfId="27"/>
    <tableColumn id="12" name="%Area" dataDxfId="26"/>
    <tableColumn id="13" name="RawIntDen" dataDxfId="25"/>
    <tableColumn id="14" name="s [cm]" dataDxfId="24"/>
    <tableColumn id="15" name="EPID Signal" dataDxfId="23">
      <calculatedColumnFormula>Table6[[#This Row],[IntDen]]/F$122</calculatedColumnFormula>
    </tableColumn>
    <tableColumn id="16" name="Delta" dataDxfId="22">
      <calculatedColumnFormula>B$125-Table6[[#This Row],[EPID Signal]]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35:L144" totalsRowShown="0">
  <autoFilter ref="A135:L144"/>
  <tableColumns count="12">
    <tableColumn id="1" name="Label"/>
    <tableColumn id="2" name="Area" dataDxfId="21"/>
    <tableColumn id="3" name="Mean" dataDxfId="20"/>
    <tableColumn id="4" name="StdDev" dataDxfId="19"/>
    <tableColumn id="5" name="Mode" dataDxfId="18"/>
    <tableColumn id="10" name="IntDen" dataDxfId="17"/>
    <tableColumn id="11" name="Median" dataDxfId="16"/>
    <tableColumn id="12" name="%Area" dataDxfId="15"/>
    <tableColumn id="13" name="RawIntDen" dataDxfId="14"/>
    <tableColumn id="14" name="s [cm]" dataDxfId="13"/>
    <tableColumn id="15" name="EPID Signal" dataDxfId="12">
      <calculatedColumnFormula>Table7[[#This Row],[IntDen]]/F$144</calculatedColumnFormula>
    </tableColumn>
    <tableColumn id="16" name="Delta" dataDxfId="11">
      <calculatedColumnFormula>B$147-Table7[[#This Row],[EPID Signal]]</calculatedColumnFormula>
    </tableColumn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56:L165" totalsRowShown="0">
  <autoFilter ref="A156:L165"/>
  <tableColumns count="12">
    <tableColumn id="1" name="Label"/>
    <tableColumn id="2" name="Area" dataDxfId="10"/>
    <tableColumn id="3" name="Mean" dataDxfId="9"/>
    <tableColumn id="4" name="StdDev" dataDxfId="8"/>
    <tableColumn id="5" name="Mode" dataDxfId="7"/>
    <tableColumn id="10" name="IntDen" dataDxfId="6"/>
    <tableColumn id="11" name="Median" dataDxfId="5"/>
    <tableColumn id="12" name="%Area" dataDxfId="4"/>
    <tableColumn id="13" name="RawIntDen" dataDxfId="3"/>
    <tableColumn id="14" name="s [cm]" dataDxfId="2"/>
    <tableColumn id="15" name="EPID Signal" dataDxfId="1">
      <calculatedColumnFormula>Table8[[#This Row],[IntDen]]/F$165</calculatedColumnFormula>
    </tableColumn>
    <tableColumn id="16" name="Delta" dataDxfId="0">
      <calculatedColumnFormula>B$168-Table8[[#This Row],[EPID Signal]]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88/1361-6560/aaf09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0" sqref="C10"/>
    </sheetView>
  </sheetViews>
  <sheetFormatPr defaultColWidth="11" defaultRowHeight="15.75" x14ac:dyDescent="0.25"/>
  <cols>
    <col min="1" max="1" width="2.875" customWidth="1"/>
    <col min="2" max="2" width="20.875" customWidth="1"/>
    <col min="3" max="3" width="150.875" customWidth="1"/>
    <col min="4" max="4" width="2.875" customWidth="1"/>
  </cols>
  <sheetData>
    <row r="1" spans="2:3" ht="31.5" x14ac:dyDescent="0.25">
      <c r="B1" t="s">
        <v>0</v>
      </c>
      <c r="C1" s="1" t="s">
        <v>1</v>
      </c>
    </row>
    <row r="3" spans="2:3" x14ac:dyDescent="0.25">
      <c r="B3" t="s">
        <v>2</v>
      </c>
      <c r="C3" s="5" t="s">
        <v>11</v>
      </c>
    </row>
    <row r="4" spans="2:3" x14ac:dyDescent="0.25">
      <c r="B4" t="s">
        <v>3</v>
      </c>
      <c r="C4" s="6">
        <v>44928</v>
      </c>
    </row>
    <row r="6" spans="2:3" x14ac:dyDescent="0.25">
      <c r="B6" t="s">
        <v>6</v>
      </c>
      <c r="C6" t="s">
        <v>60</v>
      </c>
    </row>
    <row r="8" spans="2:3" ht="31.5" x14ac:dyDescent="0.25">
      <c r="B8" s="3" t="s">
        <v>7</v>
      </c>
      <c r="C8" s="2" t="s">
        <v>61</v>
      </c>
    </row>
    <row r="10" spans="2:3" x14ac:dyDescent="0.25">
      <c r="B10" s="3" t="s">
        <v>12</v>
      </c>
      <c r="C10" s="2"/>
    </row>
  </sheetData>
  <hyperlinks>
    <hyperlink ref="C1" r:id="rId1" display="https://doi.org/10.1088/1361-6560/aaf098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3"/>
  <sheetViews>
    <sheetView topLeftCell="A142" zoomScale="71" zoomScaleNormal="71" workbookViewId="0">
      <selection activeCell="D171" sqref="D171"/>
    </sheetView>
  </sheetViews>
  <sheetFormatPr defaultRowHeight="15.75" x14ac:dyDescent="0.25"/>
  <cols>
    <col min="1" max="1" width="42.625" bestFit="1" customWidth="1"/>
    <col min="2" max="15" width="13.125" customWidth="1"/>
    <col min="17" max="17" width="41.5" bestFit="1" customWidth="1"/>
    <col min="18" max="18" width="8.75" customWidth="1"/>
    <col min="19" max="23" width="8.375" customWidth="1"/>
    <col min="24" max="26" width="8.75" customWidth="1"/>
    <col min="27" max="27" width="8.375" customWidth="1"/>
    <col min="28" max="28" width="8.75" customWidth="1"/>
    <col min="29" max="29" width="10.375" bestFit="1" customWidth="1"/>
  </cols>
  <sheetData>
    <row r="1" spans="1:29" x14ac:dyDescent="0.25">
      <c r="A1" t="s">
        <v>15</v>
      </c>
      <c r="B1" t="s">
        <v>16</v>
      </c>
    </row>
    <row r="3" spans="1:29" ht="20.25" thickBot="1" x14ac:dyDescent="0.35">
      <c r="A3" s="20" t="s">
        <v>31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29" ht="16.5" thickTop="1" x14ac:dyDescent="0.25"/>
    <row r="5" spans="1:29" ht="18" thickBot="1" x14ac:dyDescent="0.35">
      <c r="A5" s="21" t="s">
        <v>30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1:29" ht="16.5" thickTop="1" x14ac:dyDescent="0.25"/>
    <row r="7" spans="1:29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32</v>
      </c>
      <c r="O7" t="s">
        <v>46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t="s">
        <v>79</v>
      </c>
      <c r="B8" s="7">
        <v>22500</v>
      </c>
      <c r="C8" s="7">
        <v>1.1950000000000001E-2</v>
      </c>
      <c r="D8" s="7">
        <v>4.75E-4</v>
      </c>
      <c r="E8" s="7">
        <v>1.1860000000000001E-2</v>
      </c>
      <c r="F8" s="7">
        <v>1.051E-2</v>
      </c>
      <c r="G8" s="7">
        <v>2.051E-2</v>
      </c>
      <c r="H8" s="7">
        <v>595</v>
      </c>
      <c r="I8" s="7">
        <v>595</v>
      </c>
      <c r="J8" s="7">
        <v>268.89999999999998</v>
      </c>
      <c r="K8" s="7">
        <v>1.1900000000000001E-2</v>
      </c>
      <c r="L8" s="7">
        <v>100</v>
      </c>
      <c r="M8" s="7">
        <v>268.89999999999998</v>
      </c>
      <c r="N8" s="13">
        <v>0.2</v>
      </c>
      <c r="O8" s="7">
        <f>Table2[[#This Row],[IntDen]]/$J$15</f>
        <v>2.6597428288822944E-2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t="s">
        <v>83</v>
      </c>
      <c r="B9" s="7">
        <v>22500</v>
      </c>
      <c r="C9" s="7">
        <v>1.915E-2</v>
      </c>
      <c r="D9" s="7">
        <v>4.7830000000000003E-4</v>
      </c>
      <c r="E9" s="7">
        <v>1.9089999999999999E-2</v>
      </c>
      <c r="F9" s="7">
        <v>1.7690000000000001E-2</v>
      </c>
      <c r="G9" s="7">
        <v>2.7539999999999999E-2</v>
      </c>
      <c r="H9" s="7">
        <v>595</v>
      </c>
      <c r="I9" s="7">
        <v>595</v>
      </c>
      <c r="J9" s="7">
        <v>430.9</v>
      </c>
      <c r="K9" s="7">
        <v>1.9099999999999999E-2</v>
      </c>
      <c r="L9" s="7">
        <v>100</v>
      </c>
      <c r="M9" s="7">
        <v>430.9</v>
      </c>
      <c r="N9" s="13">
        <v>0.4</v>
      </c>
      <c r="O9" s="7">
        <f>Table2[[#This Row],[IntDen]]/$J$15</f>
        <v>4.2621167161226506E-2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t="s">
        <v>82</v>
      </c>
      <c r="B10" s="7">
        <v>22500</v>
      </c>
      <c r="C10" s="7">
        <v>2.6530000000000001E-2</v>
      </c>
      <c r="D10" s="7">
        <v>4.6890000000000001E-4</v>
      </c>
      <c r="E10" s="7">
        <v>2.6419999999999999E-2</v>
      </c>
      <c r="F10" s="7">
        <v>2.5080000000000002E-2</v>
      </c>
      <c r="G10" s="7">
        <v>3.4720000000000001E-2</v>
      </c>
      <c r="H10" s="7">
        <v>595</v>
      </c>
      <c r="I10" s="7">
        <v>595</v>
      </c>
      <c r="J10" s="7">
        <v>596.9</v>
      </c>
      <c r="K10" s="7">
        <v>2.648E-2</v>
      </c>
      <c r="L10" s="7">
        <v>100</v>
      </c>
      <c r="M10" s="7">
        <v>596.9</v>
      </c>
      <c r="N10" s="13">
        <v>0.6</v>
      </c>
      <c r="O10" s="7">
        <f>Table2[[#This Row],[IntDen]]/$J$15</f>
        <v>5.9040553907022744E-2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t="s">
        <v>84</v>
      </c>
      <c r="B11" s="7">
        <v>22500</v>
      </c>
      <c r="C11" s="7">
        <v>4.1390000000000003E-2</v>
      </c>
      <c r="D11" s="7">
        <v>4.618E-4</v>
      </c>
      <c r="E11" s="7">
        <v>4.1300000000000003E-2</v>
      </c>
      <c r="F11" s="7">
        <v>3.9910000000000001E-2</v>
      </c>
      <c r="G11" s="7">
        <v>4.9399999999999999E-2</v>
      </c>
      <c r="H11" s="7">
        <v>595</v>
      </c>
      <c r="I11" s="7">
        <v>595</v>
      </c>
      <c r="J11" s="7">
        <v>931.3</v>
      </c>
      <c r="K11" s="7">
        <v>4.1340000000000002E-2</v>
      </c>
      <c r="L11" s="7">
        <v>100</v>
      </c>
      <c r="M11" s="7">
        <v>931.3</v>
      </c>
      <c r="N11" s="13">
        <v>1</v>
      </c>
      <c r="O11" s="7">
        <f>Table2[[#This Row],[IntDen]]/$J$15</f>
        <v>9.2116716122650835E-2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t="s">
        <v>77</v>
      </c>
      <c r="B12" s="7">
        <v>22500</v>
      </c>
      <c r="C12" s="7">
        <v>5.6230000000000002E-2</v>
      </c>
      <c r="D12" s="7">
        <v>4.5879999999999998E-4</v>
      </c>
      <c r="E12" s="7">
        <v>5.6120000000000003E-2</v>
      </c>
      <c r="F12" s="7">
        <v>5.4679999999999999E-2</v>
      </c>
      <c r="G12" s="7">
        <v>6.4460000000000003E-2</v>
      </c>
      <c r="H12" s="7">
        <v>595</v>
      </c>
      <c r="I12" s="7">
        <v>595</v>
      </c>
      <c r="J12" s="7">
        <v>1265</v>
      </c>
      <c r="K12" s="7">
        <v>5.6189999999999997E-2</v>
      </c>
      <c r="L12" s="7">
        <v>100</v>
      </c>
      <c r="M12" s="7">
        <v>1265</v>
      </c>
      <c r="N12" s="13">
        <v>1.4</v>
      </c>
      <c r="O12" s="7">
        <f>Table2[[#This Row],[IntDen]]/$J$15</f>
        <v>0.12512363996043521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t="s">
        <v>75</v>
      </c>
      <c r="B13" s="7">
        <v>22500</v>
      </c>
      <c r="C13" s="7">
        <v>6.3670000000000004E-2</v>
      </c>
      <c r="D13" s="7">
        <v>4.5780000000000001E-4</v>
      </c>
      <c r="E13" s="7">
        <v>6.3519999999999993E-2</v>
      </c>
      <c r="F13" s="7">
        <v>6.2100000000000002E-2</v>
      </c>
      <c r="G13" s="7">
        <v>7.2319999999999995E-2</v>
      </c>
      <c r="H13" s="7">
        <v>595</v>
      </c>
      <c r="I13" s="7">
        <v>595</v>
      </c>
      <c r="J13" s="7">
        <v>1432</v>
      </c>
      <c r="K13" s="7">
        <v>6.3630000000000006E-2</v>
      </c>
      <c r="L13" s="7">
        <v>100</v>
      </c>
      <c r="M13" s="7">
        <v>1432</v>
      </c>
      <c r="N13" s="13">
        <v>1.6</v>
      </c>
      <c r="O13" s="7">
        <f>Table2[[#This Row],[IntDen]]/$J$15</f>
        <v>0.14164193867457964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t="s">
        <v>78</v>
      </c>
      <c r="B14" s="7">
        <v>22500</v>
      </c>
      <c r="C14" s="7">
        <v>7.8479999999999994E-2</v>
      </c>
      <c r="D14" s="7">
        <v>4.6069999999999998E-4</v>
      </c>
      <c r="E14" s="7">
        <v>7.8450000000000006E-2</v>
      </c>
      <c r="F14" s="7">
        <v>7.6880000000000004E-2</v>
      </c>
      <c r="G14" s="7">
        <v>8.7540000000000007E-2</v>
      </c>
      <c r="H14" s="7">
        <v>595</v>
      </c>
      <c r="I14" s="7">
        <v>595</v>
      </c>
      <c r="J14" s="7">
        <v>1766</v>
      </c>
      <c r="K14" s="7">
        <v>7.8450000000000006E-2</v>
      </c>
      <c r="L14" s="7">
        <v>100</v>
      </c>
      <c r="M14" s="7">
        <v>1766</v>
      </c>
      <c r="N14" s="13">
        <v>2</v>
      </c>
      <c r="O14" s="7">
        <f>Table2[[#This Row],[IntDen]]/$J$15</f>
        <v>0.17467853610286846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t="s">
        <v>81</v>
      </c>
      <c r="B15" s="7">
        <v>22500</v>
      </c>
      <c r="C15" s="7">
        <v>0.44929999999999998</v>
      </c>
      <c r="D15" s="7">
        <v>9.1850000000000005E-4</v>
      </c>
      <c r="E15" s="7">
        <v>0.4496</v>
      </c>
      <c r="F15" s="7">
        <v>0.443</v>
      </c>
      <c r="G15" s="7">
        <v>0.45619999999999999</v>
      </c>
      <c r="H15" s="7">
        <v>595</v>
      </c>
      <c r="I15" s="7">
        <v>595</v>
      </c>
      <c r="J15" s="7">
        <v>10110</v>
      </c>
      <c r="K15" s="7">
        <v>0.44940000000000002</v>
      </c>
      <c r="L15" s="7">
        <v>100</v>
      </c>
      <c r="M15" s="7">
        <v>10110</v>
      </c>
      <c r="N15" t="s">
        <v>42</v>
      </c>
      <c r="O15" s="7">
        <f>Table2[[#This Row],[IntDen]]/$J$15</f>
        <v>1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t="s">
        <v>76</v>
      </c>
      <c r="B16" s="7">
        <v>22500</v>
      </c>
      <c r="C16" s="7">
        <v>4.006E-3</v>
      </c>
      <c r="D16" s="7">
        <v>5.8980000000000002E-4</v>
      </c>
      <c r="E16" s="7">
        <v>3.8379999999999998E-3</v>
      </c>
      <c r="F16" s="7">
        <v>2.3649999999999999E-3</v>
      </c>
      <c r="G16" s="7">
        <v>1.269E-2</v>
      </c>
      <c r="H16" s="7">
        <v>595</v>
      </c>
      <c r="I16" s="7">
        <v>595</v>
      </c>
      <c r="J16" s="7">
        <v>90.13</v>
      </c>
      <c r="K16" s="7">
        <v>3.9449999999999997E-3</v>
      </c>
      <c r="L16" s="7">
        <v>100</v>
      </c>
      <c r="M16" s="7">
        <v>90.13</v>
      </c>
      <c r="N16" t="s">
        <v>33</v>
      </c>
      <c r="O16" s="7">
        <f>Table2[[#This Row],[IntDen]]/$J$15</f>
        <v>8.9149357072205726E-3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t="s">
        <v>80</v>
      </c>
      <c r="B17" s="7">
        <v>22500</v>
      </c>
      <c r="C17" s="7">
        <v>3.8539999999999998E-3</v>
      </c>
      <c r="D17" s="7">
        <v>5.3569999999999996E-4</v>
      </c>
      <c r="E17" s="7">
        <v>3.7230000000000002E-3</v>
      </c>
      <c r="F17" s="7">
        <v>2.4069999999999999E-3</v>
      </c>
      <c r="G17" s="7">
        <v>1.217E-2</v>
      </c>
      <c r="H17" s="7">
        <v>595</v>
      </c>
      <c r="I17" s="7">
        <v>595</v>
      </c>
      <c r="J17" s="7">
        <v>86.72</v>
      </c>
      <c r="K17" s="7">
        <v>3.79E-3</v>
      </c>
      <c r="L17" s="7">
        <v>100</v>
      </c>
      <c r="M17" s="7">
        <v>86.72</v>
      </c>
      <c r="N17" t="s">
        <v>34</v>
      </c>
      <c r="O17" s="7">
        <f>Table2[[#This Row],[IntDen]]/$J$15</f>
        <v>8.5776458951533126E-3</v>
      </c>
    </row>
    <row r="19" spans="1:29" x14ac:dyDescent="0.25">
      <c r="B19" s="5" t="s">
        <v>36</v>
      </c>
      <c r="C19" s="5" t="s">
        <v>37</v>
      </c>
      <c r="D19" s="5" t="s">
        <v>39</v>
      </c>
      <c r="E19" s="5" t="s">
        <v>8</v>
      </c>
    </row>
    <row r="20" spans="1:29" x14ac:dyDescent="0.25">
      <c r="A20" t="s">
        <v>35</v>
      </c>
      <c r="B20" s="10">
        <f t="array" ref="B20">AVERAGE(O16:O17)</f>
        <v>8.7462908011869435E-3</v>
      </c>
      <c r="C20" s="9">
        <v>1.46E-2</v>
      </c>
      <c r="D20" s="8">
        <f>1-TRANSMISSION_6X</f>
        <v>0.99125370919881306</v>
      </c>
      <c r="E20" s="9">
        <v>12</v>
      </c>
    </row>
    <row r="22" spans="1:29" ht="18" x14ac:dyDescent="0.25">
      <c r="B22" s="5" t="s">
        <v>43</v>
      </c>
      <c r="C22" s="5" t="s">
        <v>38</v>
      </c>
      <c r="D22" s="12" t="s">
        <v>49</v>
      </c>
      <c r="E22" s="5" t="s">
        <v>41</v>
      </c>
    </row>
    <row r="23" spans="1:29" x14ac:dyDescent="0.25">
      <c r="A23" t="s">
        <v>40</v>
      </c>
      <c r="B23" s="8">
        <f t="array" ref="B23:C23">LINEST(O8:O14,N8:N14)</f>
        <v>8.2391027754529278E-2</v>
      </c>
      <c r="C23" s="8">
        <v>9.8006543407136437E-3</v>
      </c>
      <c r="D23" s="8">
        <f>C23/B23</f>
        <v>0.11895293222841091</v>
      </c>
      <c r="E23" s="11">
        <f>D23 - (E20*TRANSMISSION_6X/D20)</f>
        <v>1.307137169526118E-2</v>
      </c>
    </row>
    <row r="25" spans="1:29" ht="18" thickBot="1" x14ac:dyDescent="0.35">
      <c r="A25" s="21" t="s">
        <v>57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</row>
    <row r="26" spans="1:29" ht="16.5" thickTop="1" x14ac:dyDescent="0.25"/>
    <row r="27" spans="1:29" x14ac:dyDescent="0.25">
      <c r="A27" t="s">
        <v>17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24</v>
      </c>
      <c r="I27" t="s">
        <v>25</v>
      </c>
      <c r="J27" t="s">
        <v>26</v>
      </c>
      <c r="K27" t="s">
        <v>27</v>
      </c>
      <c r="L27" t="s">
        <v>28</v>
      </c>
      <c r="M27" t="s">
        <v>29</v>
      </c>
      <c r="N27" t="s">
        <v>32</v>
      </c>
      <c r="O27" t="s">
        <v>46</v>
      </c>
    </row>
    <row r="28" spans="1:29" x14ac:dyDescent="0.25">
      <c r="A28" t="s">
        <v>91</v>
      </c>
      <c r="B28" s="7">
        <v>22500</v>
      </c>
      <c r="C28" s="7">
        <v>9.9979999999999999E-3</v>
      </c>
      <c r="D28" s="7">
        <v>3.3320000000000002E-4</v>
      </c>
      <c r="E28" s="7">
        <v>9.8689999999999993E-3</v>
      </c>
      <c r="F28" s="7">
        <v>9.0270000000000003E-3</v>
      </c>
      <c r="G28" s="7">
        <v>1.609E-2</v>
      </c>
      <c r="H28" s="7">
        <v>595</v>
      </c>
      <c r="I28" s="7">
        <v>595</v>
      </c>
      <c r="J28" s="7">
        <v>225</v>
      </c>
      <c r="K28" s="7">
        <v>9.9699999999999997E-3</v>
      </c>
      <c r="L28" s="7">
        <v>100</v>
      </c>
      <c r="M28" s="7">
        <v>225</v>
      </c>
      <c r="N28" s="13">
        <v>0.2</v>
      </c>
      <c r="O28" s="7">
        <f>Table3[[#This Row],[IntDen]]/$J$35</f>
        <v>2.1469465648854963E-2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t="s">
        <v>85</v>
      </c>
      <c r="B29" s="7">
        <v>22500</v>
      </c>
      <c r="C29" s="7">
        <v>1.7489999999999999E-2</v>
      </c>
      <c r="D29" s="7">
        <v>3.5490000000000001E-4</v>
      </c>
      <c r="E29" s="7">
        <v>1.7489999999999999E-2</v>
      </c>
      <c r="F29" s="7">
        <v>1.634E-2</v>
      </c>
      <c r="G29" s="7">
        <v>2.3609999999999999E-2</v>
      </c>
      <c r="H29" s="7">
        <v>595</v>
      </c>
      <c r="I29" s="7">
        <v>595</v>
      </c>
      <c r="J29" s="7">
        <v>393.5</v>
      </c>
      <c r="K29" s="7">
        <v>1.7469999999999999E-2</v>
      </c>
      <c r="L29" s="7">
        <v>100</v>
      </c>
      <c r="M29" s="7">
        <v>393.5</v>
      </c>
      <c r="N29" s="13">
        <v>0.4</v>
      </c>
      <c r="O29" s="7">
        <f>Table3[[#This Row],[IntDen]]/$J$35</f>
        <v>3.7547709923664123E-2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x14ac:dyDescent="0.25">
      <c r="A30" t="s">
        <v>87</v>
      </c>
      <c r="B30" s="7">
        <v>22500</v>
      </c>
      <c r="C30" s="7">
        <v>2.5149999999999999E-2</v>
      </c>
      <c r="D30" s="7">
        <v>3.903E-4</v>
      </c>
      <c r="E30" s="7">
        <v>2.5049999999999999E-2</v>
      </c>
      <c r="F30" s="7">
        <v>2.385E-2</v>
      </c>
      <c r="G30" s="7">
        <v>3.108E-2</v>
      </c>
      <c r="H30" s="7">
        <v>595</v>
      </c>
      <c r="I30" s="7">
        <v>595</v>
      </c>
      <c r="J30" s="7">
        <v>565.9</v>
      </c>
      <c r="K30" s="7">
        <v>2.5139999999999999E-2</v>
      </c>
      <c r="L30" s="7">
        <v>100</v>
      </c>
      <c r="M30" s="7">
        <v>565.9</v>
      </c>
      <c r="N30" s="13">
        <v>0.6</v>
      </c>
      <c r="O30" s="7">
        <f>Table3[[#This Row],[IntDen]]/$J$35</f>
        <v>5.3998091603053432E-2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x14ac:dyDescent="0.25">
      <c r="A31" t="s">
        <v>93</v>
      </c>
      <c r="B31" s="7">
        <v>22500</v>
      </c>
      <c r="C31" s="7">
        <v>4.0629999999999999E-2</v>
      </c>
      <c r="D31" s="7">
        <v>4.8450000000000001E-4</v>
      </c>
      <c r="E31" s="7">
        <v>4.0739999999999998E-2</v>
      </c>
      <c r="F31" s="7">
        <v>3.9170000000000003E-2</v>
      </c>
      <c r="G31" s="7">
        <v>4.6050000000000001E-2</v>
      </c>
      <c r="H31" s="7">
        <v>595</v>
      </c>
      <c r="I31" s="7">
        <v>595</v>
      </c>
      <c r="J31" s="7">
        <v>914.1</v>
      </c>
      <c r="K31" s="7">
        <v>4.0640000000000003E-2</v>
      </c>
      <c r="L31" s="7">
        <v>100</v>
      </c>
      <c r="M31" s="7">
        <v>914.1</v>
      </c>
      <c r="N31" s="13">
        <v>1</v>
      </c>
      <c r="O31" s="7">
        <f>Table3[[#This Row],[IntDen]]/$J$35</f>
        <v>8.7223282442748087E-2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x14ac:dyDescent="0.25">
      <c r="A32" t="s">
        <v>90</v>
      </c>
      <c r="B32" s="7">
        <v>22500</v>
      </c>
      <c r="C32" s="7">
        <v>5.6059999999999999E-2</v>
      </c>
      <c r="D32" s="7">
        <v>5.9310000000000005E-4</v>
      </c>
      <c r="E32" s="7">
        <v>5.6270000000000001E-2</v>
      </c>
      <c r="F32" s="7">
        <v>5.4219999999999997E-2</v>
      </c>
      <c r="G32" s="7">
        <v>6.1350000000000002E-2</v>
      </c>
      <c r="H32" s="7">
        <v>595</v>
      </c>
      <c r="I32" s="7">
        <v>595</v>
      </c>
      <c r="J32" s="7">
        <v>1261</v>
      </c>
      <c r="K32" s="7">
        <v>5.611E-2</v>
      </c>
      <c r="L32" s="7">
        <v>100</v>
      </c>
      <c r="M32" s="7">
        <v>1261</v>
      </c>
      <c r="N32" s="13">
        <v>1.4</v>
      </c>
      <c r="O32" s="7">
        <f>Table3[[#This Row],[IntDen]]/$J$35</f>
        <v>0.12032442748091603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x14ac:dyDescent="0.25">
      <c r="A33" t="s">
        <v>89</v>
      </c>
      <c r="B33" s="7">
        <v>22500</v>
      </c>
      <c r="C33" s="7">
        <v>6.3799999999999996E-2</v>
      </c>
      <c r="D33" s="7">
        <v>6.5720000000000004E-4</v>
      </c>
      <c r="E33" s="7">
        <v>6.4019999999999994E-2</v>
      </c>
      <c r="F33" s="7">
        <v>6.1830000000000003E-2</v>
      </c>
      <c r="G33" s="7">
        <v>6.9260000000000002E-2</v>
      </c>
      <c r="H33" s="7">
        <v>595</v>
      </c>
      <c r="I33" s="7">
        <v>595</v>
      </c>
      <c r="J33" s="7">
        <v>1435</v>
      </c>
      <c r="K33" s="7">
        <v>6.386E-2</v>
      </c>
      <c r="L33" s="7">
        <v>100</v>
      </c>
      <c r="M33" s="7">
        <v>1435</v>
      </c>
      <c r="N33" s="13">
        <v>1.6</v>
      </c>
      <c r="O33" s="7">
        <f>Table3[[#This Row],[IntDen]]/$J$35</f>
        <v>0.13692748091603055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x14ac:dyDescent="0.25">
      <c r="A34" t="s">
        <v>94</v>
      </c>
      <c r="B34" s="7">
        <v>22500</v>
      </c>
      <c r="C34" s="7">
        <v>7.9219999999999999E-2</v>
      </c>
      <c r="D34" s="7">
        <v>7.8209999999999998E-4</v>
      </c>
      <c r="E34" s="7">
        <v>7.9729999999999995E-2</v>
      </c>
      <c r="F34" s="7">
        <v>7.689E-2</v>
      </c>
      <c r="G34" s="7">
        <v>8.4419999999999995E-2</v>
      </c>
      <c r="H34" s="7">
        <v>595</v>
      </c>
      <c r="I34" s="7">
        <v>595</v>
      </c>
      <c r="J34" s="7">
        <v>1782</v>
      </c>
      <c r="K34" s="7">
        <v>7.9310000000000005E-2</v>
      </c>
      <c r="L34" s="7">
        <v>100</v>
      </c>
      <c r="M34" s="7">
        <v>1782</v>
      </c>
      <c r="N34" s="13">
        <v>2</v>
      </c>
      <c r="O34" s="7">
        <f>Table3[[#This Row],[IntDen]]/$J$35</f>
        <v>0.17003816793893128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x14ac:dyDescent="0.25">
      <c r="A35" t="s">
        <v>86</v>
      </c>
      <c r="B35" s="7">
        <v>22500</v>
      </c>
      <c r="C35" s="7">
        <v>0.46579999999999999</v>
      </c>
      <c r="D35" s="7">
        <v>4.2290000000000001E-3</v>
      </c>
      <c r="E35" s="7">
        <v>0.46929999999999999</v>
      </c>
      <c r="F35" s="7">
        <v>0.45500000000000002</v>
      </c>
      <c r="G35" s="7">
        <v>0.4763</v>
      </c>
      <c r="H35" s="7">
        <v>595</v>
      </c>
      <c r="I35" s="7">
        <v>595</v>
      </c>
      <c r="J35" s="7">
        <v>10480</v>
      </c>
      <c r="K35" s="7">
        <v>0.46629999999999999</v>
      </c>
      <c r="L35" s="7">
        <v>100</v>
      </c>
      <c r="M35" s="7">
        <v>10480</v>
      </c>
      <c r="N35" t="s">
        <v>42</v>
      </c>
      <c r="O35" s="7">
        <f>Table3[[#This Row],[IntDen]]/$J$35</f>
        <v>1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 x14ac:dyDescent="0.25">
      <c r="A36" t="s">
        <v>92</v>
      </c>
      <c r="B36" s="7">
        <v>22500</v>
      </c>
      <c r="C36" s="7">
        <v>2.6870000000000002E-3</v>
      </c>
      <c r="D36" s="7">
        <v>3.836E-4</v>
      </c>
      <c r="E36" s="7">
        <v>2.4989999999999999E-3</v>
      </c>
      <c r="F36" s="7">
        <v>1.622E-3</v>
      </c>
      <c r="G36" s="7">
        <v>9.2280000000000001E-3</v>
      </c>
      <c r="H36" s="7">
        <v>595</v>
      </c>
      <c r="I36" s="7">
        <v>595</v>
      </c>
      <c r="J36" s="7">
        <v>60.45</v>
      </c>
      <c r="K36" s="7">
        <v>2.6359999999999999E-3</v>
      </c>
      <c r="L36" s="7">
        <v>100</v>
      </c>
      <c r="M36" s="7">
        <v>60.45</v>
      </c>
      <c r="N36" t="s">
        <v>33</v>
      </c>
      <c r="O36" s="7">
        <f>Table3[[#This Row],[IntDen]]/$J$35</f>
        <v>5.7681297709923666E-3</v>
      </c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x14ac:dyDescent="0.25">
      <c r="A37" t="s">
        <v>88</v>
      </c>
      <c r="B37" s="7">
        <v>22500</v>
      </c>
      <c r="C37" s="7">
        <v>2.5490000000000001E-3</v>
      </c>
      <c r="D37" s="7">
        <v>3.4440000000000002E-4</v>
      </c>
      <c r="E37" s="7">
        <v>2.4329999999999998E-3</v>
      </c>
      <c r="F37" s="7">
        <v>1.5889999999999999E-3</v>
      </c>
      <c r="G37" s="7">
        <v>8.6770000000000007E-3</v>
      </c>
      <c r="H37" s="7">
        <v>595</v>
      </c>
      <c r="I37" s="7">
        <v>595</v>
      </c>
      <c r="J37" s="7">
        <v>57.35</v>
      </c>
      <c r="K37" s="7">
        <v>2.4979999999999998E-3</v>
      </c>
      <c r="L37" s="7">
        <v>100</v>
      </c>
      <c r="M37" s="7">
        <v>57.35</v>
      </c>
      <c r="N37" t="s">
        <v>34</v>
      </c>
      <c r="O37" s="7">
        <f>Table3[[#This Row],[IntDen]]/$J$35</f>
        <v>5.472328244274809E-3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x14ac:dyDescent="0.25"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x14ac:dyDescent="0.25">
      <c r="B39" s="5" t="s">
        <v>36</v>
      </c>
      <c r="C39" s="5" t="s">
        <v>37</v>
      </c>
      <c r="D39" s="5" t="s">
        <v>39</v>
      </c>
      <c r="E39" s="5" t="s">
        <v>8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x14ac:dyDescent="0.25">
      <c r="A40" t="s">
        <v>44</v>
      </c>
      <c r="B40" s="10">
        <f>AVERAGE(O36:O37)</f>
        <v>5.6202290076335874E-3</v>
      </c>
      <c r="C40" s="9"/>
      <c r="D40" s="8">
        <f>1-TRANSMISSION_6X_FFF</f>
        <v>0.99437977099236641</v>
      </c>
      <c r="E40" s="9">
        <v>12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2" spans="1:29" ht="18" x14ac:dyDescent="0.25">
      <c r="B42" s="5" t="s">
        <v>43</v>
      </c>
      <c r="C42" s="5" t="s">
        <v>38</v>
      </c>
      <c r="D42" s="12" t="s">
        <v>49</v>
      </c>
      <c r="E42" s="5" t="s">
        <v>41</v>
      </c>
    </row>
    <row r="43" spans="1:29" x14ac:dyDescent="0.25">
      <c r="A43" t="s">
        <v>45</v>
      </c>
      <c r="B43" s="8">
        <f t="array" ref="B43:C43">LINEST(O28:O34,N28:N34)</f>
        <v>8.2673142167417002E-2</v>
      </c>
      <c r="C43" s="8">
        <v>4.6117146212565768E-3</v>
      </c>
      <c r="D43" s="8">
        <f>C43/B43</f>
        <v>5.5782500826176869E-2</v>
      </c>
      <c r="E43" s="11">
        <f>D43 - (E40*TRANSMISSION_6X_FFF/D40)</f>
        <v>-1.2041433307455864E-2</v>
      </c>
    </row>
    <row r="45" spans="1:29" ht="18" thickBot="1" x14ac:dyDescent="0.35">
      <c r="A45" s="21" t="s">
        <v>59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</row>
    <row r="46" spans="1:29" ht="16.5" thickTop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</row>
    <row r="47" spans="1:29" x14ac:dyDescent="0.25">
      <c r="A47" t="s">
        <v>17</v>
      </c>
      <c r="B47" t="s">
        <v>18</v>
      </c>
      <c r="C47" t="s">
        <v>19</v>
      </c>
      <c r="D47" t="s">
        <v>20</v>
      </c>
      <c r="E47" t="s">
        <v>21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 t="s">
        <v>27</v>
      </c>
      <c r="L47" t="s">
        <v>28</v>
      </c>
      <c r="M47" t="s">
        <v>29</v>
      </c>
      <c r="N47" t="s">
        <v>32</v>
      </c>
      <c r="O47" t="s">
        <v>46</v>
      </c>
    </row>
    <row r="48" spans="1:29" x14ac:dyDescent="0.25">
      <c r="A48" t="s">
        <v>95</v>
      </c>
      <c r="B48" s="7">
        <v>22500</v>
      </c>
      <c r="C48" s="7">
        <v>1.559E-2</v>
      </c>
      <c r="D48" s="7">
        <v>5.8100000000000003E-4</v>
      </c>
      <c r="E48" s="7">
        <v>1.549E-2</v>
      </c>
      <c r="F48" s="7">
        <v>1.3780000000000001E-2</v>
      </c>
      <c r="G48" s="7">
        <v>2.3189999999999999E-2</v>
      </c>
      <c r="H48" s="7">
        <v>595</v>
      </c>
      <c r="I48" s="7">
        <v>595</v>
      </c>
      <c r="J48" s="7">
        <v>350.8</v>
      </c>
      <c r="K48" s="7">
        <v>1.555E-2</v>
      </c>
      <c r="L48" s="7">
        <v>100</v>
      </c>
      <c r="M48" s="7">
        <v>350.8</v>
      </c>
      <c r="N48" s="13">
        <v>0.2</v>
      </c>
      <c r="O48" s="7">
        <f>Table4[[#This Row],[IntDen]]/$J$55</f>
        <v>2.9728813559322036E-2</v>
      </c>
    </row>
    <row r="49" spans="1:15" x14ac:dyDescent="0.25">
      <c r="A49" t="s">
        <v>96</v>
      </c>
      <c r="B49" s="7">
        <v>22500</v>
      </c>
      <c r="C49" s="7">
        <v>2.3990000000000001E-2</v>
      </c>
      <c r="D49" s="7">
        <v>6.6089999999999996E-4</v>
      </c>
      <c r="E49" s="7">
        <v>2.385E-2</v>
      </c>
      <c r="F49" s="7">
        <v>2.198E-2</v>
      </c>
      <c r="G49" s="7">
        <v>3.1489999999999997E-2</v>
      </c>
      <c r="H49" s="7">
        <v>595</v>
      </c>
      <c r="I49" s="7">
        <v>595</v>
      </c>
      <c r="J49" s="7">
        <v>539.79999999999995</v>
      </c>
      <c r="K49" s="7">
        <v>2.3970000000000002E-2</v>
      </c>
      <c r="L49" s="7">
        <v>100</v>
      </c>
      <c r="M49" s="7">
        <v>539.79999999999995</v>
      </c>
      <c r="N49" s="13">
        <v>0.4</v>
      </c>
      <c r="O49" s="7">
        <f>Table4[[#This Row],[IntDen]]/$J$55</f>
        <v>4.5745762711864403E-2</v>
      </c>
    </row>
    <row r="50" spans="1:15" x14ac:dyDescent="0.25">
      <c r="A50" t="s">
        <v>97</v>
      </c>
      <c r="B50" s="7">
        <v>22500</v>
      </c>
      <c r="C50" s="7">
        <v>3.2570000000000002E-2</v>
      </c>
      <c r="D50" s="7">
        <v>7.5040000000000003E-4</v>
      </c>
      <c r="E50" s="7">
        <v>3.2710000000000003E-2</v>
      </c>
      <c r="F50" s="7">
        <v>3.0450000000000001E-2</v>
      </c>
      <c r="G50" s="7">
        <v>3.9710000000000002E-2</v>
      </c>
      <c r="H50" s="7">
        <v>595</v>
      </c>
      <c r="I50" s="7">
        <v>595</v>
      </c>
      <c r="J50" s="7">
        <v>732.9</v>
      </c>
      <c r="K50" s="7">
        <v>3.2570000000000002E-2</v>
      </c>
      <c r="L50" s="7">
        <v>100</v>
      </c>
      <c r="M50" s="7">
        <v>732.9</v>
      </c>
      <c r="N50" s="13">
        <v>0.6</v>
      </c>
      <c r="O50" s="7">
        <f>Table4[[#This Row],[IntDen]]/$J$55</f>
        <v>6.2110169491525424E-2</v>
      </c>
    </row>
    <row r="51" spans="1:15" x14ac:dyDescent="0.25">
      <c r="A51" t="s">
        <v>98</v>
      </c>
      <c r="B51" s="7">
        <v>22500</v>
      </c>
      <c r="C51" s="7">
        <v>4.9889999999999997E-2</v>
      </c>
      <c r="D51" s="7">
        <v>9.794999999999999E-4</v>
      </c>
      <c r="E51" s="7">
        <v>5.0169999999999999E-2</v>
      </c>
      <c r="F51" s="7">
        <v>4.7169999999999997E-2</v>
      </c>
      <c r="G51" s="7">
        <v>5.6579999999999998E-2</v>
      </c>
      <c r="H51" s="7">
        <v>595</v>
      </c>
      <c r="I51" s="7">
        <v>595</v>
      </c>
      <c r="J51" s="7">
        <v>1123</v>
      </c>
      <c r="K51" s="7">
        <v>4.9939999999999998E-2</v>
      </c>
      <c r="L51" s="7">
        <v>100</v>
      </c>
      <c r="M51" s="7">
        <v>1123</v>
      </c>
      <c r="N51" s="13">
        <v>1</v>
      </c>
      <c r="O51" s="7">
        <f>Table4[[#This Row],[IntDen]]/$J$55</f>
        <v>9.5169491525423727E-2</v>
      </c>
    </row>
    <row r="52" spans="1:15" x14ac:dyDescent="0.25">
      <c r="A52" t="s">
        <v>99</v>
      </c>
      <c r="B52" s="7">
        <v>22500</v>
      </c>
      <c r="C52" s="7">
        <v>6.7129999999999995E-2</v>
      </c>
      <c r="D52" s="7">
        <v>1.2340000000000001E-3</v>
      </c>
      <c r="E52" s="7">
        <v>6.7849999999999994E-2</v>
      </c>
      <c r="F52" s="7">
        <v>6.3829999999999998E-2</v>
      </c>
      <c r="G52" s="7">
        <v>7.3669999999999999E-2</v>
      </c>
      <c r="H52" s="7">
        <v>595</v>
      </c>
      <c r="I52" s="7">
        <v>595</v>
      </c>
      <c r="J52" s="7">
        <v>1510</v>
      </c>
      <c r="K52" s="7">
        <v>6.7229999999999998E-2</v>
      </c>
      <c r="L52" s="7">
        <v>100</v>
      </c>
      <c r="M52" s="7">
        <v>1510</v>
      </c>
      <c r="N52" s="13">
        <v>1.4</v>
      </c>
      <c r="O52" s="7">
        <f>Table4[[#This Row],[IntDen]]/$J$55</f>
        <v>0.12796610169491526</v>
      </c>
    </row>
    <row r="53" spans="1:15" x14ac:dyDescent="0.25">
      <c r="A53" t="s">
        <v>100</v>
      </c>
      <c r="B53" s="7">
        <v>22500</v>
      </c>
      <c r="C53" s="7">
        <v>7.5759999999999994E-2</v>
      </c>
      <c r="D53" s="7">
        <v>1.354E-3</v>
      </c>
      <c r="E53" s="7">
        <v>7.6310000000000003E-2</v>
      </c>
      <c r="F53" s="7">
        <v>7.2120000000000004E-2</v>
      </c>
      <c r="G53" s="7">
        <v>8.1570000000000004E-2</v>
      </c>
      <c r="H53" s="7">
        <v>595</v>
      </c>
      <c r="I53" s="7">
        <v>595</v>
      </c>
      <c r="J53" s="7">
        <v>1705</v>
      </c>
      <c r="K53" s="7">
        <v>7.5889999999999999E-2</v>
      </c>
      <c r="L53" s="7">
        <v>100</v>
      </c>
      <c r="M53" s="7">
        <v>1705</v>
      </c>
      <c r="N53" s="13">
        <v>1.6</v>
      </c>
      <c r="O53" s="7">
        <f>Table4[[#This Row],[IntDen]]/$J$55</f>
        <v>0.14449152542372881</v>
      </c>
    </row>
    <row r="54" spans="1:15" x14ac:dyDescent="0.25">
      <c r="A54" t="s">
        <v>101</v>
      </c>
      <c r="B54" s="7">
        <v>22500</v>
      </c>
      <c r="C54" s="7">
        <v>9.3039999999999998E-2</v>
      </c>
      <c r="D54" s="7">
        <v>1.6180000000000001E-3</v>
      </c>
      <c r="E54" s="7">
        <v>9.3649999999999997E-2</v>
      </c>
      <c r="F54" s="7">
        <v>8.8830000000000006E-2</v>
      </c>
      <c r="G54" s="7">
        <v>9.8430000000000004E-2</v>
      </c>
      <c r="H54" s="7">
        <v>595</v>
      </c>
      <c r="I54" s="7">
        <v>595</v>
      </c>
      <c r="J54" s="7">
        <v>2093</v>
      </c>
      <c r="K54" s="7">
        <v>9.3219999999999997E-2</v>
      </c>
      <c r="L54" s="7">
        <v>100</v>
      </c>
      <c r="M54" s="7">
        <v>2093</v>
      </c>
      <c r="N54" s="13">
        <v>2</v>
      </c>
      <c r="O54" s="7">
        <f>Table4[[#This Row],[IntDen]]/$J$55</f>
        <v>0.17737288135593221</v>
      </c>
    </row>
    <row r="55" spans="1:15" x14ac:dyDescent="0.25">
      <c r="A55" t="s">
        <v>102</v>
      </c>
      <c r="B55" s="7">
        <v>22500</v>
      </c>
      <c r="C55" s="7">
        <v>0.52459999999999996</v>
      </c>
      <c r="D55" s="7">
        <v>8.5959999999999995E-3</v>
      </c>
      <c r="E55" s="7">
        <v>0.52910000000000001</v>
      </c>
      <c r="F55" s="7">
        <v>0.50429999999999997</v>
      </c>
      <c r="G55" s="7">
        <v>0.5474</v>
      </c>
      <c r="H55" s="7">
        <v>595</v>
      </c>
      <c r="I55" s="7">
        <v>595</v>
      </c>
      <c r="J55" s="7">
        <v>11800</v>
      </c>
      <c r="K55" s="7">
        <v>0.52529999999999999</v>
      </c>
      <c r="L55" s="7">
        <v>100</v>
      </c>
      <c r="M55" s="7">
        <v>11800</v>
      </c>
      <c r="N55" t="s">
        <v>42</v>
      </c>
      <c r="O55" s="7">
        <f>Table4[[#This Row],[IntDen]]/$J$55</f>
        <v>1</v>
      </c>
    </row>
    <row r="56" spans="1:15" x14ac:dyDescent="0.25">
      <c r="A56" t="s">
        <v>103</v>
      </c>
      <c r="B56" s="7">
        <v>22500</v>
      </c>
      <c r="C56" s="7">
        <v>6.1850000000000004E-3</v>
      </c>
      <c r="D56" s="7">
        <v>5.687E-4</v>
      </c>
      <c r="E56" s="7">
        <v>5.9360000000000003E-3</v>
      </c>
      <c r="F56" s="7">
        <v>4.581E-3</v>
      </c>
      <c r="G56" s="7">
        <v>1.383E-2</v>
      </c>
      <c r="H56" s="7">
        <v>595</v>
      </c>
      <c r="I56" s="7">
        <v>595</v>
      </c>
      <c r="J56" s="7">
        <v>139.19999999999999</v>
      </c>
      <c r="K56" s="7">
        <v>6.1190000000000003E-3</v>
      </c>
      <c r="L56" s="7">
        <v>100</v>
      </c>
      <c r="M56" s="7">
        <v>139.19999999999999</v>
      </c>
      <c r="N56" t="s">
        <v>34</v>
      </c>
      <c r="O56" s="7">
        <f>Table4[[#This Row],[IntDen]]/$J$55</f>
        <v>1.1796610169491524E-2</v>
      </c>
    </row>
    <row r="57" spans="1:15" x14ac:dyDescent="0.25">
      <c r="A57" t="s">
        <v>104</v>
      </c>
      <c r="B57" s="7">
        <v>22500</v>
      </c>
      <c r="C57" s="7">
        <v>6.352E-3</v>
      </c>
      <c r="D57" s="7">
        <v>6.3259999999999998E-4</v>
      </c>
      <c r="E57" s="7">
        <v>6.0260000000000001E-3</v>
      </c>
      <c r="F57" s="7">
        <v>4.666E-3</v>
      </c>
      <c r="G57" s="7">
        <v>1.447E-2</v>
      </c>
      <c r="H57" s="7">
        <v>595</v>
      </c>
      <c r="I57" s="7">
        <v>595</v>
      </c>
      <c r="J57" s="7">
        <v>142.9</v>
      </c>
      <c r="K57" s="7">
        <v>6.2690000000000003E-3</v>
      </c>
      <c r="L57" s="7">
        <v>100</v>
      </c>
      <c r="M57" s="7">
        <v>142.9</v>
      </c>
      <c r="N57" t="s">
        <v>33</v>
      </c>
      <c r="O57" s="7">
        <f>Table4[[#This Row],[IntDen]]/$J$55</f>
        <v>1.2110169491525425E-2</v>
      </c>
    </row>
    <row r="59" spans="1:15" x14ac:dyDescent="0.25">
      <c r="B59" s="5" t="s">
        <v>36</v>
      </c>
      <c r="C59" s="5" t="s">
        <v>37</v>
      </c>
      <c r="D59" s="5" t="s">
        <v>39</v>
      </c>
      <c r="E59" s="5" t="s">
        <v>8</v>
      </c>
    </row>
    <row r="60" spans="1:15" x14ac:dyDescent="0.25">
      <c r="A60" t="s">
        <v>47</v>
      </c>
      <c r="B60" s="10">
        <f>AVERAGE(O56,O57)</f>
        <v>1.1953389830508475E-2</v>
      </c>
      <c r="C60" s="9"/>
      <c r="D60" s="8">
        <f>1-TRANSMISSION_10X_FFF</f>
        <v>0.98804661016949158</v>
      </c>
      <c r="E60" s="9">
        <v>12</v>
      </c>
    </row>
    <row r="62" spans="1:15" ht="18" x14ac:dyDescent="0.25">
      <c r="B62" s="5" t="s">
        <v>43</v>
      </c>
      <c r="C62" s="5" t="s">
        <v>38</v>
      </c>
      <c r="D62" s="12" t="s">
        <v>49</v>
      </c>
      <c r="E62" s="5" t="s">
        <v>41</v>
      </c>
    </row>
    <row r="63" spans="1:15" x14ac:dyDescent="0.25">
      <c r="A63" t="s">
        <v>48</v>
      </c>
      <c r="B63" s="14">
        <f t="array" ref="B63:C63">LINEST(O48:O54,N48:N54)</f>
        <v>8.2144266985368697E-2</v>
      </c>
      <c r="C63" s="14">
        <v>1.3020860495436742E-2</v>
      </c>
      <c r="D63" s="14">
        <f>C63/B63</f>
        <v>0.15851210283191133</v>
      </c>
      <c r="E63" s="14">
        <f>D63 - (E60*TRANSMISSION_10X_FFF/D60)</f>
        <v>1.3336079262035838E-2</v>
      </c>
    </row>
    <row r="65" spans="1:15" ht="18" thickBot="1" x14ac:dyDescent="0.35">
      <c r="A65" s="21" t="s">
        <v>58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6.5" thickTop="1" x14ac:dyDescent="0.25"/>
    <row r="67" spans="1:15" x14ac:dyDescent="0.25">
      <c r="A67" t="s">
        <v>17</v>
      </c>
      <c r="B67" t="s">
        <v>18</v>
      </c>
      <c r="C67" t="s">
        <v>19</v>
      </c>
      <c r="D67" t="s">
        <v>20</v>
      </c>
      <c r="E67" t="s">
        <v>21</v>
      </c>
      <c r="F67" t="s">
        <v>22</v>
      </c>
      <c r="G67" t="s">
        <v>23</v>
      </c>
      <c r="H67" t="s">
        <v>24</v>
      </c>
      <c r="I67" t="s">
        <v>25</v>
      </c>
      <c r="J67" t="s">
        <v>26</v>
      </c>
      <c r="K67" t="s">
        <v>27</v>
      </c>
      <c r="L67" t="s">
        <v>28</v>
      </c>
      <c r="M67" t="s">
        <v>29</v>
      </c>
      <c r="N67" t="s">
        <v>32</v>
      </c>
      <c r="O67" s="15" t="s">
        <v>46</v>
      </c>
    </row>
    <row r="68" spans="1:15" x14ac:dyDescent="0.25">
      <c r="A68" t="s">
        <v>63</v>
      </c>
      <c r="B68" s="7">
        <v>22500</v>
      </c>
      <c r="C68" s="7">
        <v>1.426E-2</v>
      </c>
      <c r="D68" s="7">
        <v>5.0679999999999996E-4</v>
      </c>
      <c r="E68" s="7">
        <v>1.404E-2</v>
      </c>
      <c r="F68" s="7">
        <v>1.26E-2</v>
      </c>
      <c r="G68" s="7">
        <v>2.3300000000000001E-2</v>
      </c>
      <c r="H68" s="7">
        <v>595</v>
      </c>
      <c r="I68" s="7">
        <v>595</v>
      </c>
      <c r="J68" s="7">
        <v>320.8</v>
      </c>
      <c r="K68" s="7">
        <v>1.421E-2</v>
      </c>
      <c r="L68" s="7">
        <v>100</v>
      </c>
      <c r="M68" s="7">
        <v>320.8</v>
      </c>
      <c r="N68" s="13">
        <v>0.2</v>
      </c>
      <c r="O68" s="7">
        <f t="shared" ref="O68:O77" si="0">J68/$J$75</f>
        <v>3.1952191235059761E-2</v>
      </c>
    </row>
    <row r="69" spans="1:15" x14ac:dyDescent="0.25">
      <c r="A69" t="s">
        <v>68</v>
      </c>
      <c r="B69" s="7">
        <v>22500</v>
      </c>
      <c r="C69" s="7">
        <v>2.1389999999999999E-2</v>
      </c>
      <c r="D69" s="7">
        <v>5.0390000000000005E-4</v>
      </c>
      <c r="E69" s="7">
        <v>2.1129999999999999E-2</v>
      </c>
      <c r="F69" s="7">
        <v>1.9689999999999999E-2</v>
      </c>
      <c r="G69" s="7">
        <v>3.0030000000000001E-2</v>
      </c>
      <c r="H69" s="7">
        <v>595</v>
      </c>
      <c r="I69" s="7">
        <v>595</v>
      </c>
      <c r="J69" s="7">
        <v>481.3</v>
      </c>
      <c r="K69" s="7">
        <v>2.1340000000000001E-2</v>
      </c>
      <c r="L69" s="7">
        <v>100</v>
      </c>
      <c r="M69" s="7">
        <v>481.3</v>
      </c>
      <c r="N69" s="13">
        <v>0.4</v>
      </c>
      <c r="O69" s="7">
        <f t="shared" si="0"/>
        <v>4.7938247011952193E-2</v>
      </c>
    </row>
    <row r="70" spans="1:15" x14ac:dyDescent="0.25">
      <c r="A70" t="s">
        <v>67</v>
      </c>
      <c r="B70" s="7">
        <v>22500</v>
      </c>
      <c r="C70" s="7">
        <v>2.869E-2</v>
      </c>
      <c r="D70" s="7">
        <v>5.0049999999999997E-4</v>
      </c>
      <c r="E70" s="7">
        <v>2.8539999999999999E-2</v>
      </c>
      <c r="F70" s="7">
        <v>2.699E-2</v>
      </c>
      <c r="G70" s="7">
        <v>3.73E-2</v>
      </c>
      <c r="H70" s="7">
        <v>595</v>
      </c>
      <c r="I70" s="7">
        <v>595</v>
      </c>
      <c r="J70" s="7">
        <v>645.6</v>
      </c>
      <c r="K70" s="7">
        <v>2.8639999999999999E-2</v>
      </c>
      <c r="L70" s="7">
        <v>100</v>
      </c>
      <c r="M70" s="7">
        <v>645.6</v>
      </c>
      <c r="N70" s="13">
        <v>0.6</v>
      </c>
      <c r="O70" s="7">
        <f t="shared" si="0"/>
        <v>6.4302788844621511E-2</v>
      </c>
    </row>
    <row r="71" spans="1:15" x14ac:dyDescent="0.25">
      <c r="A71" t="s">
        <v>69</v>
      </c>
      <c r="B71" s="7">
        <v>22500</v>
      </c>
      <c r="C71" s="7">
        <v>4.3400000000000001E-2</v>
      </c>
      <c r="D71" s="7">
        <v>4.975E-4</v>
      </c>
      <c r="E71" s="7">
        <v>4.3290000000000002E-2</v>
      </c>
      <c r="F71" s="7">
        <v>4.1660000000000003E-2</v>
      </c>
      <c r="G71" s="7">
        <v>5.2209999999999999E-2</v>
      </c>
      <c r="H71" s="7">
        <v>595</v>
      </c>
      <c r="I71" s="7">
        <v>595</v>
      </c>
      <c r="J71" s="7">
        <v>976.4</v>
      </c>
      <c r="K71" s="7">
        <v>4.335E-2</v>
      </c>
      <c r="L71" s="7">
        <v>100</v>
      </c>
      <c r="M71" s="7">
        <v>976.4</v>
      </c>
      <c r="N71" s="13">
        <v>1</v>
      </c>
      <c r="O71" s="7">
        <f t="shared" si="0"/>
        <v>9.7250996015936259E-2</v>
      </c>
    </row>
    <row r="72" spans="1:15" x14ac:dyDescent="0.25">
      <c r="A72" t="s">
        <v>65</v>
      </c>
      <c r="B72" s="7">
        <v>22500</v>
      </c>
      <c r="C72" s="7">
        <v>5.8069999999999997E-2</v>
      </c>
      <c r="D72" s="7">
        <v>4.9240000000000004E-4</v>
      </c>
      <c r="E72" s="7">
        <v>5.808E-2</v>
      </c>
      <c r="F72" s="7">
        <v>5.636E-2</v>
      </c>
      <c r="G72" s="7">
        <v>6.6720000000000002E-2</v>
      </c>
      <c r="H72" s="7">
        <v>595</v>
      </c>
      <c r="I72" s="7">
        <v>595</v>
      </c>
      <c r="J72" s="7">
        <v>1307</v>
      </c>
      <c r="K72" s="7">
        <v>5.8029999999999998E-2</v>
      </c>
      <c r="L72" s="7">
        <v>100</v>
      </c>
      <c r="M72" s="7">
        <v>1307</v>
      </c>
      <c r="N72" s="13">
        <v>1.4</v>
      </c>
      <c r="O72" s="7">
        <f t="shared" si="0"/>
        <v>0.1301792828685259</v>
      </c>
    </row>
    <row r="73" spans="1:15" x14ac:dyDescent="0.25">
      <c r="A73" t="s">
        <v>71</v>
      </c>
      <c r="B73" s="7">
        <v>22500</v>
      </c>
      <c r="C73" s="7">
        <v>6.5430000000000002E-2</v>
      </c>
      <c r="D73" s="7">
        <v>4.862E-4</v>
      </c>
      <c r="E73" s="7">
        <v>6.5360000000000001E-2</v>
      </c>
      <c r="F73" s="7">
        <v>6.3799999999999996E-2</v>
      </c>
      <c r="G73" s="7">
        <v>7.4200000000000002E-2</v>
      </c>
      <c r="H73" s="7">
        <v>595</v>
      </c>
      <c r="I73" s="7">
        <v>595</v>
      </c>
      <c r="J73" s="7">
        <v>1472</v>
      </c>
      <c r="K73" s="7">
        <v>6.5390000000000004E-2</v>
      </c>
      <c r="L73" s="7">
        <v>100</v>
      </c>
      <c r="M73" s="7">
        <v>1472</v>
      </c>
      <c r="N73" s="13">
        <v>1.6</v>
      </c>
      <c r="O73" s="7">
        <f t="shared" si="0"/>
        <v>0.14661354581673305</v>
      </c>
    </row>
    <row r="74" spans="1:15" x14ac:dyDescent="0.25">
      <c r="A74" t="s">
        <v>64</v>
      </c>
      <c r="B74" s="7">
        <v>22500</v>
      </c>
      <c r="C74" s="7">
        <v>8.0070000000000002E-2</v>
      </c>
      <c r="D74" s="7">
        <v>4.8440000000000001E-4</v>
      </c>
      <c r="E74" s="7">
        <v>7.9969999999999999E-2</v>
      </c>
      <c r="F74" s="7">
        <v>7.8390000000000001E-2</v>
      </c>
      <c r="G74" s="7">
        <v>8.8599999999999998E-2</v>
      </c>
      <c r="H74" s="7">
        <v>595</v>
      </c>
      <c r="I74" s="7">
        <v>595</v>
      </c>
      <c r="J74" s="7">
        <v>1802</v>
      </c>
      <c r="K74" s="7">
        <v>8.0030000000000004E-2</v>
      </c>
      <c r="L74" s="7">
        <v>100</v>
      </c>
      <c r="M74" s="7">
        <v>1802</v>
      </c>
      <c r="N74" s="13">
        <v>2</v>
      </c>
      <c r="O74" s="7">
        <f t="shared" si="0"/>
        <v>0.17948207171314742</v>
      </c>
    </row>
    <row r="75" spans="1:15" x14ac:dyDescent="0.25">
      <c r="A75" t="s">
        <v>72</v>
      </c>
      <c r="B75" s="7">
        <v>22500</v>
      </c>
      <c r="C75" s="7">
        <v>0.44640000000000002</v>
      </c>
      <c r="D75" s="7">
        <v>8.9400000000000005E-4</v>
      </c>
      <c r="E75" s="7">
        <v>0.44679999999999997</v>
      </c>
      <c r="F75" s="7">
        <v>0.44059999999999999</v>
      </c>
      <c r="G75" s="7">
        <v>0.45419999999999999</v>
      </c>
      <c r="H75" s="7">
        <v>595</v>
      </c>
      <c r="I75" s="7">
        <v>595</v>
      </c>
      <c r="J75" s="7">
        <v>10040</v>
      </c>
      <c r="K75" s="7">
        <v>0.44650000000000001</v>
      </c>
      <c r="L75" s="7">
        <v>100</v>
      </c>
      <c r="M75" s="7">
        <v>10040</v>
      </c>
      <c r="N75" t="s">
        <v>42</v>
      </c>
      <c r="O75" s="7">
        <f t="shared" si="0"/>
        <v>1</v>
      </c>
    </row>
    <row r="76" spans="1:15" x14ac:dyDescent="0.25">
      <c r="A76" t="s">
        <v>66</v>
      </c>
      <c r="B76" s="7">
        <v>22500</v>
      </c>
      <c r="C76" s="7">
        <v>5.5979999999999997E-3</v>
      </c>
      <c r="D76" s="7">
        <v>5.7010000000000003E-4</v>
      </c>
      <c r="E76" s="7">
        <v>5.509E-3</v>
      </c>
      <c r="F76" s="7">
        <v>3.7789999999999998E-3</v>
      </c>
      <c r="G76" s="7">
        <v>1.4449999999999999E-2</v>
      </c>
      <c r="H76" s="7">
        <v>595</v>
      </c>
      <c r="I76" s="7">
        <v>595</v>
      </c>
      <c r="J76" s="7">
        <v>126</v>
      </c>
      <c r="K76" s="7">
        <v>5.5380000000000004E-3</v>
      </c>
      <c r="L76" s="7">
        <v>100</v>
      </c>
      <c r="M76" s="7">
        <v>126</v>
      </c>
      <c r="N76" t="s">
        <v>34</v>
      </c>
      <c r="O76" s="7">
        <f t="shared" si="0"/>
        <v>1.2549800796812749E-2</v>
      </c>
    </row>
    <row r="77" spans="1:15" x14ac:dyDescent="0.25">
      <c r="A77" t="s">
        <v>70</v>
      </c>
      <c r="B77" s="7">
        <v>22500</v>
      </c>
      <c r="C77" s="7">
        <v>5.7619999999999998E-3</v>
      </c>
      <c r="D77" s="7">
        <v>6.2790000000000003E-4</v>
      </c>
      <c r="E77" s="7">
        <v>5.6990000000000001E-3</v>
      </c>
      <c r="F77" s="7">
        <v>3.8930000000000002E-3</v>
      </c>
      <c r="G77" s="7">
        <v>1.5310000000000001E-2</v>
      </c>
      <c r="H77" s="7">
        <v>595</v>
      </c>
      <c r="I77" s="7">
        <v>595</v>
      </c>
      <c r="J77" s="7">
        <v>129.69999999999999</v>
      </c>
      <c r="K77" s="7">
        <v>5.6979999999999999E-3</v>
      </c>
      <c r="L77" s="7">
        <v>100</v>
      </c>
      <c r="M77" s="7">
        <v>129.69999999999999</v>
      </c>
      <c r="N77" t="s">
        <v>33</v>
      </c>
      <c r="O77" s="7">
        <f t="shared" si="0"/>
        <v>1.2918326693227091E-2</v>
      </c>
    </row>
    <row r="79" spans="1:15" x14ac:dyDescent="0.25">
      <c r="B79" s="5" t="s">
        <v>36</v>
      </c>
      <c r="C79" s="5" t="s">
        <v>37</v>
      </c>
      <c r="D79" s="5" t="s">
        <v>39</v>
      </c>
      <c r="E79" s="5" t="s">
        <v>8</v>
      </c>
    </row>
    <row r="80" spans="1:15" x14ac:dyDescent="0.25">
      <c r="A80" t="s">
        <v>73</v>
      </c>
      <c r="B80" s="18">
        <f>AVERAGE(O76,O77)</f>
        <v>1.2734063745019921E-2</v>
      </c>
      <c r="C80" s="9"/>
      <c r="D80" s="18">
        <f>1-B80</f>
        <v>0.98726593625498005</v>
      </c>
      <c r="E80" s="9">
        <v>12</v>
      </c>
    </row>
    <row r="82" spans="1:15" ht="18" x14ac:dyDescent="0.25">
      <c r="B82" s="5" t="s">
        <v>43</v>
      </c>
      <c r="C82" s="5" t="s">
        <v>38</v>
      </c>
      <c r="D82" s="12" t="s">
        <v>49</v>
      </c>
      <c r="E82" s="5" t="s">
        <v>41</v>
      </c>
    </row>
    <row r="83" spans="1:15" x14ac:dyDescent="0.25">
      <c r="A83" t="s">
        <v>74</v>
      </c>
      <c r="B83" s="14">
        <f t="array" ref="B83:C83">LINEST(O68:O74,N68:N74)</f>
        <v>8.2093421187046683E-2</v>
      </c>
      <c r="C83" s="14">
        <v>1.5235212994177127E-2</v>
      </c>
      <c r="D83" s="14">
        <f>C83/B83</f>
        <v>0.18558384793666088</v>
      </c>
      <c r="E83" s="14">
        <f>D83-(E80*TRANSMISSION_10X/D80)</f>
        <v>3.0804107920619966E-2</v>
      </c>
    </row>
    <row r="87" spans="1:15" ht="20.25" thickBot="1" x14ac:dyDescent="0.35">
      <c r="A87" s="20" t="s">
        <v>105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</row>
    <row r="88" spans="1:15" ht="16.5" thickTop="1" x14ac:dyDescent="0.25"/>
    <row r="89" spans="1:15" ht="18" thickBot="1" x14ac:dyDescent="0.35">
      <c r="A89" s="21" t="s">
        <v>106</v>
      </c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</row>
    <row r="90" spans="1:15" ht="16.5" thickTop="1" x14ac:dyDescent="0.25"/>
    <row r="91" spans="1:15" x14ac:dyDescent="0.25">
      <c r="A91" t="s">
        <v>17</v>
      </c>
      <c r="B91" t="s">
        <v>18</v>
      </c>
      <c r="C91" t="s">
        <v>19</v>
      </c>
      <c r="D91" t="s">
        <v>20</v>
      </c>
      <c r="E91" t="s">
        <v>21</v>
      </c>
      <c r="F91" t="s">
        <v>26</v>
      </c>
      <c r="G91" t="s">
        <v>27</v>
      </c>
      <c r="H91" t="s">
        <v>28</v>
      </c>
      <c r="I91" t="s">
        <v>29</v>
      </c>
      <c r="J91" t="s">
        <v>113</v>
      </c>
      <c r="K91" t="s">
        <v>46</v>
      </c>
      <c r="L91" t="s">
        <v>114</v>
      </c>
    </row>
    <row r="92" spans="1:15" x14ac:dyDescent="0.25">
      <c r="A92" t="s">
        <v>80</v>
      </c>
      <c r="B92" s="7">
        <v>22500</v>
      </c>
      <c r="C92" s="7">
        <v>3.8340000000000002E-3</v>
      </c>
      <c r="D92" s="7">
        <v>5.3439999999999998E-4</v>
      </c>
      <c r="E92" s="7">
        <v>3.679E-3</v>
      </c>
      <c r="F92" s="7">
        <v>86.27</v>
      </c>
      <c r="G92" s="7">
        <v>3.7699999999999999E-3</v>
      </c>
      <c r="H92" s="7">
        <v>100</v>
      </c>
      <c r="I92" s="7">
        <v>86.27</v>
      </c>
      <c r="J92" t="s">
        <v>34</v>
      </c>
      <c r="K92">
        <f>Table5[[#This Row],[IntDen]]/F$100</f>
        <v>8.5415841584158408E-3</v>
      </c>
      <c r="L92" s="7">
        <f>B$103-Table5[[#This Row],[EPID Signal]]</f>
        <v>0.1661369519444526</v>
      </c>
    </row>
    <row r="93" spans="1:15" x14ac:dyDescent="0.25">
      <c r="A93" t="s">
        <v>76</v>
      </c>
      <c r="B93" s="7">
        <v>22500</v>
      </c>
      <c r="C93" s="7">
        <v>3.9839999999999997E-3</v>
      </c>
      <c r="D93" s="7">
        <v>5.8469999999999996E-4</v>
      </c>
      <c r="E93" s="7">
        <v>3.784E-3</v>
      </c>
      <c r="F93" s="7">
        <v>89.64</v>
      </c>
      <c r="G93" s="7">
        <v>3.921E-3</v>
      </c>
      <c r="H93" s="7">
        <v>100</v>
      </c>
      <c r="I93" s="7">
        <v>89.64</v>
      </c>
      <c r="J93" t="s">
        <v>33</v>
      </c>
      <c r="K93">
        <f>Table5[[#This Row],[IntDen]]/F$100</f>
        <v>8.8752475247524752E-3</v>
      </c>
      <c r="L93" s="7">
        <f>B$103-Table5[[#This Row],[EPID Signal]]</f>
        <v>0.16580328857811599</v>
      </c>
    </row>
    <row r="94" spans="1:15" x14ac:dyDescent="0.25">
      <c r="A94" t="s">
        <v>107</v>
      </c>
      <c r="B94" s="7">
        <v>22500</v>
      </c>
      <c r="C94" s="7">
        <v>5.8610000000000002E-2</v>
      </c>
      <c r="D94" s="7">
        <v>2.8570000000000002E-3</v>
      </c>
      <c r="E94" s="7">
        <v>5.9180000000000003E-2</v>
      </c>
      <c r="F94" s="7">
        <v>1319</v>
      </c>
      <c r="G94" s="7">
        <v>5.9020000000000003E-2</v>
      </c>
      <c r="H94" s="7">
        <v>100</v>
      </c>
      <c r="I94" s="7">
        <v>1319</v>
      </c>
      <c r="J94">
        <v>1</v>
      </c>
      <c r="K94">
        <f>Table5[[#This Row],[IntDen]]/F$100</f>
        <v>0.1305940594059406</v>
      </c>
      <c r="L94" s="7">
        <f>B$103-Table5[[#This Row],[EPID Signal]]</f>
        <v>4.408447669692786E-2</v>
      </c>
    </row>
    <row r="95" spans="1:15" x14ac:dyDescent="0.25">
      <c r="A95" t="s">
        <v>108</v>
      </c>
      <c r="B95" s="7">
        <v>22500</v>
      </c>
      <c r="C95" s="7">
        <v>6.4960000000000004E-2</v>
      </c>
      <c r="D95" s="7">
        <v>1.952E-3</v>
      </c>
      <c r="E95" s="7">
        <v>6.5390000000000004E-2</v>
      </c>
      <c r="F95" s="7">
        <v>1462</v>
      </c>
      <c r="G95" s="7">
        <v>6.5269999999999995E-2</v>
      </c>
      <c r="H95" s="7">
        <v>100</v>
      </c>
      <c r="I95" s="7">
        <v>1462</v>
      </c>
      <c r="J95">
        <v>0.7</v>
      </c>
      <c r="K95">
        <f>Table5[[#This Row],[IntDen]]/F$100</f>
        <v>0.14475247524752474</v>
      </c>
      <c r="L95" s="7">
        <f>B$103-Table5[[#This Row],[EPID Signal]]</f>
        <v>2.9926060855343717E-2</v>
      </c>
    </row>
    <row r="96" spans="1:15" x14ac:dyDescent="0.25">
      <c r="A96" t="s">
        <v>109</v>
      </c>
      <c r="B96" s="7">
        <v>22500</v>
      </c>
      <c r="C96" s="7">
        <v>6.9290000000000004E-2</v>
      </c>
      <c r="D96" s="7">
        <v>1.3550000000000001E-3</v>
      </c>
      <c r="E96" s="7">
        <v>6.9879999999999998E-2</v>
      </c>
      <c r="F96" s="7">
        <v>1559</v>
      </c>
      <c r="G96" s="7">
        <v>6.9519999999999998E-2</v>
      </c>
      <c r="H96" s="7">
        <v>100</v>
      </c>
      <c r="I96" s="7">
        <v>1559</v>
      </c>
      <c r="J96">
        <v>0.5</v>
      </c>
      <c r="K96">
        <f>Table5[[#This Row],[IntDen]]/F$100</f>
        <v>0.15435643564356435</v>
      </c>
      <c r="L96" s="7">
        <f>B$103-Table5[[#This Row],[EPID Signal]]</f>
        <v>2.0322100459304104E-2</v>
      </c>
    </row>
    <row r="97" spans="1:15" x14ac:dyDescent="0.25">
      <c r="A97" t="s">
        <v>110</v>
      </c>
      <c r="B97" s="7">
        <v>22500</v>
      </c>
      <c r="C97" s="7">
        <v>7.349E-2</v>
      </c>
      <c r="D97" s="7">
        <v>8.4730000000000005E-4</v>
      </c>
      <c r="E97" s="7">
        <v>7.3730000000000004E-2</v>
      </c>
      <c r="F97" s="7">
        <v>1654</v>
      </c>
      <c r="G97" s="7">
        <v>7.3599999999999999E-2</v>
      </c>
      <c r="H97" s="7">
        <v>100</v>
      </c>
      <c r="I97" s="7">
        <v>1654</v>
      </c>
      <c r="J97">
        <v>0.3</v>
      </c>
      <c r="K97">
        <f>Table5[[#This Row],[IntDen]]/F$100</f>
        <v>0.16376237623762377</v>
      </c>
      <c r="L97" s="7">
        <f>B$103-Table5[[#This Row],[EPID Signal]]</f>
        <v>1.091615986524469E-2</v>
      </c>
    </row>
    <row r="98" spans="1:15" x14ac:dyDescent="0.25">
      <c r="A98" t="s">
        <v>111</v>
      </c>
      <c r="B98" s="7">
        <v>22500</v>
      </c>
      <c r="C98" s="7">
        <v>7.5509999999999994E-2</v>
      </c>
      <c r="D98" s="7">
        <v>6.3469999999999998E-4</v>
      </c>
      <c r="E98" s="7">
        <v>7.5600000000000001E-2</v>
      </c>
      <c r="F98" s="7">
        <v>1699</v>
      </c>
      <c r="G98" s="7">
        <v>7.5539999999999996E-2</v>
      </c>
      <c r="H98" s="7">
        <v>100</v>
      </c>
      <c r="I98" s="7">
        <v>1699</v>
      </c>
      <c r="J98">
        <v>0.2</v>
      </c>
      <c r="K98">
        <f>Table5[[#This Row],[IntDen]]/F$100</f>
        <v>0.16821782178217823</v>
      </c>
      <c r="L98" s="7">
        <f>B$103-Table5[[#This Row],[EPID Signal]]</f>
        <v>6.4607143206902307E-3</v>
      </c>
    </row>
    <row r="99" spans="1:15" x14ac:dyDescent="0.25">
      <c r="A99" t="s">
        <v>112</v>
      </c>
      <c r="B99" s="7">
        <v>22500</v>
      </c>
      <c r="C99" s="7">
        <v>7.7240000000000003E-2</v>
      </c>
      <c r="D99" s="7">
        <v>4.9910000000000004E-4</v>
      </c>
      <c r="E99" s="7">
        <v>7.7160000000000006E-2</v>
      </c>
      <c r="F99" s="7">
        <v>1738</v>
      </c>
      <c r="G99" s="7">
        <v>7.7210000000000001E-2</v>
      </c>
      <c r="H99" s="7">
        <v>100</v>
      </c>
      <c r="I99" s="7">
        <v>1738</v>
      </c>
      <c r="J99">
        <v>0.1</v>
      </c>
      <c r="K99">
        <f>Table5[[#This Row],[IntDen]]/F$100</f>
        <v>0.17207920792079207</v>
      </c>
      <c r="L99" s="7">
        <f>B$103-Table5[[#This Row],[EPID Signal]]</f>
        <v>2.5993281820763936E-3</v>
      </c>
    </row>
    <row r="100" spans="1:15" x14ac:dyDescent="0.25">
      <c r="A100" t="s">
        <v>81</v>
      </c>
      <c r="B100" s="7">
        <v>22500</v>
      </c>
      <c r="C100" s="7">
        <v>0.44879999999999998</v>
      </c>
      <c r="D100" s="7">
        <v>9.2679999999999998E-4</v>
      </c>
      <c r="E100" s="7">
        <v>0.4491</v>
      </c>
      <c r="F100" s="7">
        <v>10100</v>
      </c>
      <c r="G100" s="7">
        <v>0.44890000000000002</v>
      </c>
      <c r="H100" s="7">
        <v>100</v>
      </c>
      <c r="I100" s="7">
        <v>10100</v>
      </c>
      <c r="J100" t="s">
        <v>42</v>
      </c>
      <c r="K100">
        <f>Table5[[#This Row],[IntDen]]/F$100</f>
        <v>1</v>
      </c>
      <c r="L100" s="7">
        <f>B$103-Table5[[#This Row],[EPID Signal]]</f>
        <v>-0.82532146389713157</v>
      </c>
    </row>
    <row r="102" spans="1:15" x14ac:dyDescent="0.25">
      <c r="B102" t="s">
        <v>46</v>
      </c>
    </row>
    <row r="103" spans="1:15" x14ac:dyDescent="0.25">
      <c r="A103" t="s">
        <v>124</v>
      </c>
      <c r="B103" s="26">
        <f>O14</f>
        <v>0.17467853610286846</v>
      </c>
    </row>
    <row r="105" spans="1:15" x14ac:dyDescent="0.25">
      <c r="A105" t="s">
        <v>35</v>
      </c>
      <c r="B105" s="10">
        <f>AVERAGE(K92:K93)</f>
        <v>8.7084158415841571E-3</v>
      </c>
      <c r="D105" t="s">
        <v>40</v>
      </c>
      <c r="E105" s="29">
        <f>E23</f>
        <v>1.307137169526118E-2</v>
      </c>
    </row>
    <row r="107" spans="1:15" ht="33" x14ac:dyDescent="0.35">
      <c r="B107" s="23" t="s">
        <v>115</v>
      </c>
      <c r="C107" s="23" t="s">
        <v>116</v>
      </c>
      <c r="D107" s="24" t="s">
        <v>117</v>
      </c>
      <c r="E107" s="23" t="s">
        <v>118</v>
      </c>
      <c r="F107" s="24" t="s">
        <v>119</v>
      </c>
      <c r="G107" s="23" t="s">
        <v>120</v>
      </c>
      <c r="H107" s="24" t="s">
        <v>121</v>
      </c>
      <c r="I107" s="23" t="s">
        <v>122</v>
      </c>
    </row>
    <row r="108" spans="1:15" x14ac:dyDescent="0.25">
      <c r="A108" s="25" t="s">
        <v>123</v>
      </c>
      <c r="B108" s="30">
        <f t="array" ref="B108:C108">LINEST(L94:L99,J94:J99)</f>
        <v>4.6528897075754097E-2</v>
      </c>
      <c r="C108" s="30">
        <v>-2.6620119054207476E-3</v>
      </c>
      <c r="D108" s="30">
        <f>C108/B108</f>
        <v>-5.7212013882183867E-2</v>
      </c>
      <c r="E108" s="31">
        <f>-1*D108</f>
        <v>5.7212013882183867E-2</v>
      </c>
      <c r="F108" s="32">
        <f>1-2*SQRT(B105)+B105</f>
        <v>0.8220706292967993</v>
      </c>
      <c r="G108" s="31">
        <f>B108/F108</f>
        <v>5.6599634408000928E-2</v>
      </c>
      <c r="H108" s="32">
        <f>SQRT(B105)-B105/(1-B105)</f>
        <v>8.4533974706804627E-2</v>
      </c>
      <c r="I108" s="31">
        <f>-H108*E108+0.5*E105</f>
        <v>1.6993269131887036E-3</v>
      </c>
    </row>
    <row r="111" spans="1:15" ht="18" thickBot="1" x14ac:dyDescent="0.35">
      <c r="A111" s="21" t="s">
        <v>125</v>
      </c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</row>
    <row r="112" spans="1:15" ht="16.5" thickTop="1" x14ac:dyDescent="0.25"/>
    <row r="113" spans="1:12" x14ac:dyDescent="0.25">
      <c r="A113" t="s">
        <v>17</v>
      </c>
      <c r="B113" t="s">
        <v>18</v>
      </c>
      <c r="C113" t="s">
        <v>19</v>
      </c>
      <c r="D113" t="s">
        <v>20</v>
      </c>
      <c r="E113" t="s">
        <v>21</v>
      </c>
      <c r="F113" t="s">
        <v>26</v>
      </c>
      <c r="G113" t="s">
        <v>27</v>
      </c>
      <c r="H113" t="s">
        <v>28</v>
      </c>
      <c r="I113" t="s">
        <v>29</v>
      </c>
      <c r="J113" t="s">
        <v>113</v>
      </c>
      <c r="K113" t="s">
        <v>46</v>
      </c>
      <c r="L113" t="s">
        <v>114</v>
      </c>
    </row>
    <row r="114" spans="1:12" x14ac:dyDescent="0.25">
      <c r="A114" t="s">
        <v>88</v>
      </c>
      <c r="B114" s="7">
        <v>22500</v>
      </c>
      <c r="C114" s="7">
        <v>2.5950000000000001E-3</v>
      </c>
      <c r="D114" s="7">
        <v>3.4499999999999998E-4</v>
      </c>
      <c r="E114" s="7">
        <v>2.5530000000000001E-3</v>
      </c>
      <c r="F114" s="7">
        <v>58.39</v>
      </c>
      <c r="G114" s="7">
        <v>2.545E-3</v>
      </c>
      <c r="H114" s="7">
        <v>100</v>
      </c>
      <c r="I114" s="7">
        <v>58.39</v>
      </c>
      <c r="J114" t="s">
        <v>34</v>
      </c>
      <c r="K114" s="7">
        <f>Table6[[#This Row],[IntDen]]/F$122</f>
        <v>5.5715648854961835E-3</v>
      </c>
      <c r="L114" s="7">
        <f>B$125-Table6[[#This Row],[EPID Signal]]</f>
        <v>0.16446660305343511</v>
      </c>
    </row>
    <row r="115" spans="1:12" x14ac:dyDescent="0.25">
      <c r="A115" t="s">
        <v>92</v>
      </c>
      <c r="B115" s="7">
        <v>22500</v>
      </c>
      <c r="C115" s="7">
        <v>2.7260000000000001E-3</v>
      </c>
      <c r="D115" s="7">
        <v>3.838E-4</v>
      </c>
      <c r="E115" s="7">
        <v>2.555E-3</v>
      </c>
      <c r="F115" s="7">
        <v>61.34</v>
      </c>
      <c r="G115" s="7">
        <v>2.6749999999999999E-3</v>
      </c>
      <c r="H115" s="7">
        <v>100</v>
      </c>
      <c r="I115" s="7">
        <v>61.34</v>
      </c>
      <c r="J115" t="s">
        <v>33</v>
      </c>
      <c r="K115" s="7">
        <f>Table6[[#This Row],[IntDen]]/F$122</f>
        <v>5.8530534351145039E-3</v>
      </c>
      <c r="L115" s="7">
        <f>B$125-Table6[[#This Row],[EPID Signal]]</f>
        <v>0.16418511450381679</v>
      </c>
    </row>
    <row r="116" spans="1:12" x14ac:dyDescent="0.25">
      <c r="A116" t="s">
        <v>126</v>
      </c>
      <c r="B116" s="7">
        <v>22500</v>
      </c>
      <c r="C116" s="7">
        <v>5.799E-2</v>
      </c>
      <c r="D116" s="7">
        <v>3.2720000000000002E-3</v>
      </c>
      <c r="E116" s="7">
        <v>5.8840000000000003E-2</v>
      </c>
      <c r="F116" s="7">
        <v>1305</v>
      </c>
      <c r="G116" s="7">
        <v>5.815E-2</v>
      </c>
      <c r="H116" s="7">
        <v>100</v>
      </c>
      <c r="I116" s="7">
        <v>1305</v>
      </c>
      <c r="J116">
        <v>1</v>
      </c>
      <c r="K116" s="7">
        <f>Table6[[#This Row],[IntDen]]/F$122</f>
        <v>0.12452290076335878</v>
      </c>
      <c r="L116" s="7">
        <f>B$125-Table6[[#This Row],[EPID Signal]]</f>
        <v>4.5515267175572499E-2</v>
      </c>
    </row>
    <row r="117" spans="1:12" x14ac:dyDescent="0.25">
      <c r="A117" t="s">
        <v>131</v>
      </c>
      <c r="B117" s="7">
        <v>22500</v>
      </c>
      <c r="C117" s="7">
        <v>6.4570000000000002E-2</v>
      </c>
      <c r="D117" s="7">
        <v>2.2910000000000001E-3</v>
      </c>
      <c r="E117" s="7">
        <v>6.4610000000000001E-2</v>
      </c>
      <c r="F117" s="7">
        <v>1453</v>
      </c>
      <c r="G117" s="7">
        <v>6.4699999999999994E-2</v>
      </c>
      <c r="H117" s="7">
        <v>100</v>
      </c>
      <c r="I117" s="7">
        <v>1453</v>
      </c>
      <c r="J117">
        <v>0.7</v>
      </c>
      <c r="K117" s="7">
        <f>Table6[[#This Row],[IntDen]]/F$122</f>
        <v>0.13864503816793894</v>
      </c>
      <c r="L117" s="7">
        <f>B$125-Table6[[#This Row],[EPID Signal]]</f>
        <v>3.1393129770992345E-2</v>
      </c>
    </row>
    <row r="118" spans="1:12" x14ac:dyDescent="0.25">
      <c r="A118" t="s">
        <v>127</v>
      </c>
      <c r="B118" s="7">
        <v>22500</v>
      </c>
      <c r="C118" s="7">
        <v>6.9089999999999999E-2</v>
      </c>
      <c r="D118" s="7">
        <v>1.6509999999999999E-3</v>
      </c>
      <c r="E118" s="7">
        <v>6.9290000000000004E-2</v>
      </c>
      <c r="F118" s="7">
        <v>1555</v>
      </c>
      <c r="G118" s="7">
        <v>6.9190000000000002E-2</v>
      </c>
      <c r="H118" s="7">
        <v>100</v>
      </c>
      <c r="I118" s="7">
        <v>1555</v>
      </c>
      <c r="J118">
        <v>0.5</v>
      </c>
      <c r="K118" s="7">
        <f>Table6[[#This Row],[IntDen]]/F$122</f>
        <v>0.14837786259541985</v>
      </c>
      <c r="L118" s="7">
        <f>B$125-Table6[[#This Row],[EPID Signal]]</f>
        <v>2.1660305343511432E-2</v>
      </c>
    </row>
    <row r="119" spans="1:12" x14ac:dyDescent="0.25">
      <c r="A119" t="s">
        <v>128</v>
      </c>
      <c r="B119" s="7">
        <v>22500</v>
      </c>
      <c r="C119" s="7">
        <v>7.3580000000000007E-2</v>
      </c>
      <c r="D119" s="7">
        <v>1.106E-3</v>
      </c>
      <c r="E119" s="7">
        <v>7.3679999999999995E-2</v>
      </c>
      <c r="F119" s="7">
        <v>1656</v>
      </c>
      <c r="G119" s="7">
        <v>7.3639999999999997E-2</v>
      </c>
      <c r="H119" s="7">
        <v>100</v>
      </c>
      <c r="I119" s="7">
        <v>1656</v>
      </c>
      <c r="J119">
        <v>0.3</v>
      </c>
      <c r="K119" s="7">
        <f>Table6[[#This Row],[IntDen]]/F$122</f>
        <v>0.15801526717557252</v>
      </c>
      <c r="L119" s="7">
        <f>B$125-Table6[[#This Row],[EPID Signal]]</f>
        <v>1.2022900763358768E-2</v>
      </c>
    </row>
    <row r="120" spans="1:12" x14ac:dyDescent="0.25">
      <c r="A120" t="s">
        <v>130</v>
      </c>
      <c r="B120" s="7">
        <v>22500</v>
      </c>
      <c r="C120" s="7">
        <v>7.571E-2</v>
      </c>
      <c r="D120" s="7">
        <v>9.0950000000000004E-4</v>
      </c>
      <c r="E120" s="7">
        <v>7.5889999999999999E-2</v>
      </c>
      <c r="F120" s="7">
        <v>1703</v>
      </c>
      <c r="G120" s="7">
        <v>7.5759999999999994E-2</v>
      </c>
      <c r="H120" s="7">
        <v>100</v>
      </c>
      <c r="I120" s="7">
        <v>1703</v>
      </c>
      <c r="J120">
        <v>0.2</v>
      </c>
      <c r="K120" s="7">
        <f>Table6[[#This Row],[IntDen]]/F$122</f>
        <v>0.16250000000000001</v>
      </c>
      <c r="L120" s="7">
        <f>B$125-Table6[[#This Row],[EPID Signal]]</f>
        <v>7.5381679389312783E-3</v>
      </c>
    </row>
    <row r="121" spans="1:12" x14ac:dyDescent="0.25">
      <c r="A121" t="s">
        <v>129</v>
      </c>
      <c r="B121" s="7">
        <v>22500</v>
      </c>
      <c r="C121" s="7">
        <v>7.7689999999999995E-2</v>
      </c>
      <c r="D121" s="7">
        <v>8.0380000000000002E-4</v>
      </c>
      <c r="E121" s="7">
        <v>7.8100000000000003E-2</v>
      </c>
      <c r="F121" s="7">
        <v>1748</v>
      </c>
      <c r="G121" s="7">
        <v>7.7759999999999996E-2</v>
      </c>
      <c r="H121" s="7">
        <v>100</v>
      </c>
      <c r="I121" s="7">
        <v>1748</v>
      </c>
      <c r="J121">
        <v>0.1</v>
      </c>
      <c r="K121" s="7">
        <f>Table6[[#This Row],[IntDen]]/F$122</f>
        <v>0.166793893129771</v>
      </c>
      <c r="L121" s="7">
        <f>B$125-Table6[[#This Row],[EPID Signal]]</f>
        <v>3.2442748091602858E-3</v>
      </c>
    </row>
    <row r="122" spans="1:12" x14ac:dyDescent="0.25">
      <c r="A122" t="s">
        <v>86</v>
      </c>
      <c r="B122" s="7">
        <v>22500</v>
      </c>
      <c r="C122" s="7">
        <v>0.46579999999999999</v>
      </c>
      <c r="D122" s="7">
        <v>4.2249999999999996E-3</v>
      </c>
      <c r="E122" s="7">
        <v>0.46910000000000002</v>
      </c>
      <c r="F122" s="7">
        <v>10480</v>
      </c>
      <c r="G122" s="7">
        <v>0.4662</v>
      </c>
      <c r="H122" s="7">
        <v>100</v>
      </c>
      <c r="I122" s="7">
        <v>10480</v>
      </c>
      <c r="J122" t="s">
        <v>42</v>
      </c>
      <c r="K122" s="7">
        <f>Table6[[#This Row],[IntDen]]/F$122</f>
        <v>1</v>
      </c>
      <c r="L122" s="7">
        <f>B$125-Table6[[#This Row],[EPID Signal]]</f>
        <v>-0.82996183206106866</v>
      </c>
    </row>
    <row r="124" spans="1:12" x14ac:dyDescent="0.25">
      <c r="B124" t="s">
        <v>46</v>
      </c>
    </row>
    <row r="125" spans="1:12" x14ac:dyDescent="0.25">
      <c r="A125" t="s">
        <v>124</v>
      </c>
      <c r="B125" s="26">
        <f>O34</f>
        <v>0.17003816793893128</v>
      </c>
    </row>
    <row r="127" spans="1:12" x14ac:dyDescent="0.25">
      <c r="A127" t="s">
        <v>133</v>
      </c>
      <c r="B127" s="10">
        <f>AVERAGE(K114:K115)</f>
        <v>5.7123091603053441E-3</v>
      </c>
      <c r="D127" t="s">
        <v>132</v>
      </c>
      <c r="E127" s="29">
        <f>ABS(E43)</f>
        <v>1.2041433307455864E-2</v>
      </c>
      <c r="F127" s="27" t="s">
        <v>141</v>
      </c>
    </row>
    <row r="129" spans="1:15" ht="33" x14ac:dyDescent="0.35">
      <c r="B129" s="23" t="s">
        <v>115</v>
      </c>
      <c r="C129" s="23" t="s">
        <v>116</v>
      </c>
      <c r="D129" s="24" t="s">
        <v>117</v>
      </c>
      <c r="E129" s="23" t="s">
        <v>118</v>
      </c>
      <c r="F129" s="24" t="s">
        <v>119</v>
      </c>
      <c r="G129" s="23" t="s">
        <v>120</v>
      </c>
      <c r="H129" s="24" t="s">
        <v>121</v>
      </c>
      <c r="I129" s="23" t="s">
        <v>122</v>
      </c>
    </row>
    <row r="130" spans="1:15" x14ac:dyDescent="0.25">
      <c r="A130" s="25" t="s">
        <v>123</v>
      </c>
      <c r="B130" s="30">
        <f t="array" ref="B130:C130">LINEST(L116:L121,J116:J121)</f>
        <v>4.7299396413988989E-2</v>
      </c>
      <c r="C130" s="30">
        <v>-1.8440440262737605E-3</v>
      </c>
      <c r="D130" s="30">
        <f>C130/B130</f>
        <v>-3.898662913441274E-2</v>
      </c>
      <c r="E130" s="31">
        <f>-1*D130</f>
        <v>3.898662913441274E-2</v>
      </c>
      <c r="F130" s="32">
        <f>1-2*SQRT(B127)+B127</f>
        <v>0.8545526695695026</v>
      </c>
      <c r="G130" s="31">
        <f>B130/F130</f>
        <v>5.5349890180340755E-2</v>
      </c>
      <c r="H130" s="32">
        <f>SQRT(B127)-B127/(1-B127)</f>
        <v>6.9834692692921405E-2</v>
      </c>
      <c r="I130" s="31">
        <f>-H130*E130+0.5*E127</f>
        <v>3.2980973889933218E-3</v>
      </c>
    </row>
    <row r="133" spans="1:15" ht="18" thickBot="1" x14ac:dyDescent="0.35">
      <c r="A133" s="21" t="s">
        <v>134</v>
      </c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</row>
    <row r="134" spans="1:15" ht="16.5" thickTop="1" x14ac:dyDescent="0.25"/>
    <row r="135" spans="1:15" x14ac:dyDescent="0.25">
      <c r="A135" t="s">
        <v>17</v>
      </c>
      <c r="B135" t="s">
        <v>18</v>
      </c>
      <c r="C135" t="s">
        <v>19</v>
      </c>
      <c r="D135" t="s">
        <v>20</v>
      </c>
      <c r="E135" t="s">
        <v>21</v>
      </c>
      <c r="F135" t="s">
        <v>26</v>
      </c>
      <c r="G135" t="s">
        <v>27</v>
      </c>
      <c r="H135" t="s">
        <v>28</v>
      </c>
      <c r="I135" t="s">
        <v>29</v>
      </c>
      <c r="J135" t="s">
        <v>113</v>
      </c>
      <c r="K135" t="s">
        <v>46</v>
      </c>
      <c r="L135" t="s">
        <v>114</v>
      </c>
    </row>
    <row r="136" spans="1:15" x14ac:dyDescent="0.25">
      <c r="A136" t="s">
        <v>66</v>
      </c>
      <c r="B136" s="7">
        <v>22500</v>
      </c>
      <c r="C136" s="7">
        <v>5.5640000000000004E-3</v>
      </c>
      <c r="D136" s="7">
        <v>5.6309999999999997E-4</v>
      </c>
      <c r="E136" s="7">
        <v>5.3439999999999998E-3</v>
      </c>
      <c r="F136" s="7">
        <v>125.2</v>
      </c>
      <c r="G136" s="7">
        <v>5.4999999999999997E-3</v>
      </c>
      <c r="H136" s="7">
        <v>100</v>
      </c>
      <c r="I136" s="7">
        <v>125.2</v>
      </c>
      <c r="J136" t="s">
        <v>34</v>
      </c>
      <c r="K136" s="7">
        <f>Table7[[#This Row],[IntDen]]/F$144</f>
        <v>1.247011952191235E-2</v>
      </c>
      <c r="L136" s="7">
        <f>B$147-Table7[[#This Row],[EPID Signal]]</f>
        <v>0.16701195219123507</v>
      </c>
    </row>
    <row r="137" spans="1:15" x14ac:dyDescent="0.25">
      <c r="A137" t="s">
        <v>70</v>
      </c>
      <c r="B137" s="7">
        <v>22500</v>
      </c>
      <c r="C137" s="7">
        <v>5.6699999999999997E-3</v>
      </c>
      <c r="D137" s="7">
        <v>6.198E-4</v>
      </c>
      <c r="E137" s="7">
        <v>5.5760000000000002E-3</v>
      </c>
      <c r="F137" s="7">
        <v>127.6</v>
      </c>
      <c r="G137" s="7">
        <v>5.5989999999999998E-3</v>
      </c>
      <c r="H137" s="7">
        <v>100</v>
      </c>
      <c r="I137" s="7">
        <v>127.6</v>
      </c>
      <c r="J137" t="s">
        <v>33</v>
      </c>
      <c r="K137" s="7">
        <f>Table7[[#This Row],[IntDen]]/F$144</f>
        <v>1.2709163346613546E-2</v>
      </c>
      <c r="L137" s="7">
        <f>B$147-Table7[[#This Row],[EPID Signal]]</f>
        <v>0.16677290836653388</v>
      </c>
    </row>
    <row r="138" spans="1:15" x14ac:dyDescent="0.25">
      <c r="A138" t="s">
        <v>139</v>
      </c>
      <c r="B138" s="7">
        <v>22500</v>
      </c>
      <c r="C138" s="7">
        <v>6.1179999999999998E-2</v>
      </c>
      <c r="D138" s="7">
        <v>2.2889999999999998E-3</v>
      </c>
      <c r="E138" s="7">
        <v>6.2370000000000002E-2</v>
      </c>
      <c r="F138" s="7">
        <v>1377</v>
      </c>
      <c r="G138" s="7">
        <v>6.1400000000000003E-2</v>
      </c>
      <c r="H138" s="7">
        <v>100</v>
      </c>
      <c r="I138" s="7">
        <v>1377</v>
      </c>
      <c r="J138">
        <v>1</v>
      </c>
      <c r="K138" s="7">
        <f>Table7[[#This Row],[IntDen]]/F$144</f>
        <v>0.13715139442231075</v>
      </c>
      <c r="L138" s="7">
        <f>B$147-Table7[[#This Row],[EPID Signal]]</f>
        <v>4.2330677290836671E-2</v>
      </c>
    </row>
    <row r="139" spans="1:15" x14ac:dyDescent="0.25">
      <c r="A139" t="s">
        <v>135</v>
      </c>
      <c r="B139" s="7">
        <v>22500</v>
      </c>
      <c r="C139" s="7">
        <v>6.7339999999999997E-2</v>
      </c>
      <c r="D139" s="7">
        <v>1.5759999999999999E-3</v>
      </c>
      <c r="E139" s="7">
        <v>6.8129999999999996E-2</v>
      </c>
      <c r="F139" s="7">
        <v>1515</v>
      </c>
      <c r="G139" s="7">
        <v>6.7530000000000007E-2</v>
      </c>
      <c r="H139" s="7">
        <v>100</v>
      </c>
      <c r="I139" s="7">
        <v>1515</v>
      </c>
      <c r="J139">
        <v>0.7</v>
      </c>
      <c r="K139" s="7">
        <f>Table7[[#This Row],[IntDen]]/F$144</f>
        <v>0.15089641434262949</v>
      </c>
      <c r="L139" s="7">
        <f>B$147-Table7[[#This Row],[EPID Signal]]</f>
        <v>2.8585657370517936E-2</v>
      </c>
    </row>
    <row r="140" spans="1:15" x14ac:dyDescent="0.25">
      <c r="A140" t="s">
        <v>140</v>
      </c>
      <c r="B140" s="7">
        <v>22500</v>
      </c>
      <c r="C140" s="7">
        <v>7.1459999999999996E-2</v>
      </c>
      <c r="D140" s="7">
        <v>1.114E-3</v>
      </c>
      <c r="E140" s="7">
        <v>7.1720000000000006E-2</v>
      </c>
      <c r="F140" s="7">
        <v>1608</v>
      </c>
      <c r="G140" s="7">
        <v>7.1590000000000001E-2</v>
      </c>
      <c r="H140" s="7">
        <v>100</v>
      </c>
      <c r="I140" s="7">
        <v>1608</v>
      </c>
      <c r="J140">
        <v>0.5</v>
      </c>
      <c r="K140" s="7">
        <f>Table7[[#This Row],[IntDen]]/F$144</f>
        <v>0.16015936254980079</v>
      </c>
      <c r="L140" s="7">
        <f>B$147-Table7[[#This Row],[EPID Signal]]</f>
        <v>1.9322709163346635E-2</v>
      </c>
    </row>
    <row r="141" spans="1:15" x14ac:dyDescent="0.25">
      <c r="A141" t="s">
        <v>137</v>
      </c>
      <c r="B141" s="7">
        <v>22500</v>
      </c>
      <c r="C141" s="7">
        <v>7.5499999999999998E-2</v>
      </c>
      <c r="D141" s="7">
        <v>7.3209999999999996E-4</v>
      </c>
      <c r="E141" s="7">
        <v>7.5749999999999998E-2</v>
      </c>
      <c r="F141" s="7">
        <v>1699</v>
      </c>
      <c r="G141" s="7">
        <v>7.5560000000000002E-2</v>
      </c>
      <c r="H141" s="7">
        <v>100</v>
      </c>
      <c r="I141" s="7">
        <v>1699</v>
      </c>
      <c r="J141">
        <v>0.3</v>
      </c>
      <c r="K141" s="7">
        <f>Table7[[#This Row],[IntDen]]/F$144</f>
        <v>0.16922310756972112</v>
      </c>
      <c r="L141" s="7">
        <f>B$147-Table7[[#This Row],[EPID Signal]]</f>
        <v>1.0258964143426308E-2</v>
      </c>
    </row>
    <row r="142" spans="1:15" x14ac:dyDescent="0.25">
      <c r="A142" t="s">
        <v>138</v>
      </c>
      <c r="B142" s="7">
        <v>22500</v>
      </c>
      <c r="C142" s="7">
        <v>7.739E-2</v>
      </c>
      <c r="D142" s="7">
        <v>5.886E-4</v>
      </c>
      <c r="E142" s="7">
        <v>7.739E-2</v>
      </c>
      <c r="F142" s="7">
        <v>1741</v>
      </c>
      <c r="G142" s="7">
        <v>7.739E-2</v>
      </c>
      <c r="H142" s="7">
        <v>100</v>
      </c>
      <c r="I142" s="7">
        <v>1741</v>
      </c>
      <c r="J142">
        <v>0.2</v>
      </c>
      <c r="K142" s="7">
        <f>Table7[[#This Row],[IntDen]]/F$144</f>
        <v>0.17340637450199203</v>
      </c>
      <c r="L142" s="7">
        <f>B$147-Table7[[#This Row],[EPID Signal]]</f>
        <v>6.0756972111553897E-3</v>
      </c>
    </row>
    <row r="143" spans="1:15" x14ac:dyDescent="0.25">
      <c r="A143" t="s">
        <v>136</v>
      </c>
      <c r="B143" s="7">
        <v>22500</v>
      </c>
      <c r="C143" s="7">
        <v>7.9020000000000007E-2</v>
      </c>
      <c r="D143" s="7">
        <v>5.0259999999999997E-4</v>
      </c>
      <c r="E143" s="7">
        <v>7.8969999999999999E-2</v>
      </c>
      <c r="F143" s="7">
        <v>1778</v>
      </c>
      <c r="G143" s="7">
        <v>7.8990000000000005E-2</v>
      </c>
      <c r="H143" s="7">
        <v>100</v>
      </c>
      <c r="I143" s="7">
        <v>1778</v>
      </c>
      <c r="J143">
        <v>0.1</v>
      </c>
      <c r="K143" s="7">
        <f>Table7[[#This Row],[IntDen]]/F$144</f>
        <v>0.17709163346613546</v>
      </c>
      <c r="L143" s="7">
        <f>B$147-Table7[[#This Row],[EPID Signal]]</f>
        <v>2.3904382470119612E-3</v>
      </c>
    </row>
    <row r="144" spans="1:15" x14ac:dyDescent="0.25">
      <c r="A144" t="s">
        <v>72</v>
      </c>
      <c r="B144" s="7">
        <v>22500</v>
      </c>
      <c r="C144" s="7">
        <v>0.44619999999999999</v>
      </c>
      <c r="D144" s="7">
        <v>9.0930000000000004E-4</v>
      </c>
      <c r="E144" s="7">
        <v>0.44650000000000001</v>
      </c>
      <c r="F144" s="7">
        <v>10040</v>
      </c>
      <c r="G144" s="7">
        <v>0.44629999999999997</v>
      </c>
      <c r="H144" s="7">
        <v>100</v>
      </c>
      <c r="I144" s="7">
        <v>10040</v>
      </c>
      <c r="J144" t="s">
        <v>42</v>
      </c>
      <c r="K144" s="7">
        <f>Table7[[#This Row],[IntDen]]/F$144</f>
        <v>1</v>
      </c>
      <c r="L144" s="7">
        <f>B$147-Table7[[#This Row],[EPID Signal]]</f>
        <v>-0.82051792828685255</v>
      </c>
    </row>
    <row r="146" spans="1:15" x14ac:dyDescent="0.25">
      <c r="B146" t="s">
        <v>46</v>
      </c>
    </row>
    <row r="147" spans="1:15" x14ac:dyDescent="0.25">
      <c r="A147" t="s">
        <v>124</v>
      </c>
      <c r="B147" s="26">
        <f>O74</f>
        <v>0.17948207171314742</v>
      </c>
    </row>
    <row r="149" spans="1:15" x14ac:dyDescent="0.25">
      <c r="A149" t="s">
        <v>149</v>
      </c>
      <c r="B149" s="10">
        <f>AVERAGE(K136:K137)</f>
        <v>1.2589641434262947E-2</v>
      </c>
      <c r="D149" t="s">
        <v>74</v>
      </c>
      <c r="E149" s="29">
        <f>E83</f>
        <v>3.0804107920619966E-2</v>
      </c>
    </row>
    <row r="151" spans="1:15" ht="33" x14ac:dyDescent="0.35">
      <c r="B151" s="23" t="s">
        <v>115</v>
      </c>
      <c r="C151" s="23" t="s">
        <v>116</v>
      </c>
      <c r="D151" s="24" t="s">
        <v>117</v>
      </c>
      <c r="E151" s="23" t="s">
        <v>118</v>
      </c>
      <c r="F151" s="24" t="s">
        <v>119</v>
      </c>
      <c r="G151" s="23" t="s">
        <v>120</v>
      </c>
      <c r="H151" s="24" t="s">
        <v>121</v>
      </c>
      <c r="I151" s="23" t="s">
        <v>122</v>
      </c>
    </row>
    <row r="152" spans="1:15" x14ac:dyDescent="0.25">
      <c r="A152" s="25" t="s">
        <v>123</v>
      </c>
      <c r="B152" s="30">
        <f t="array" ref="B152:C152">LINEST(L138:L143,J138:J143)</f>
        <v>4.4797553970165868E-2</v>
      </c>
      <c r="C152" s="30">
        <v>-2.744834615028259E-3</v>
      </c>
      <c r="D152" s="30">
        <f>C152/B152</f>
        <v>-6.1271975180972049E-2</v>
      </c>
      <c r="E152" s="31">
        <f>-1*D152</f>
        <v>6.1271975180972049E-2</v>
      </c>
      <c r="F152" s="32">
        <f>1-2*SQRT(B149)+B149</f>
        <v>0.78818249864007339</v>
      </c>
      <c r="G152" s="31">
        <f>B152/F152</f>
        <v>5.6836524596092113E-2</v>
      </c>
      <c r="H152" s="32">
        <f>SQRT(B149)-B149/(1-B149)</f>
        <v>9.9453410002646764E-2</v>
      </c>
      <c r="I152" s="31">
        <f>-H152*E152+0.5*E149</f>
        <v>9.3083470909647737E-3</v>
      </c>
    </row>
    <row r="154" spans="1:15" ht="18" thickBot="1" x14ac:dyDescent="0.35">
      <c r="A154" s="21" t="s">
        <v>142</v>
      </c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</row>
    <row r="155" spans="1:15" ht="16.5" thickTop="1" x14ac:dyDescent="0.25"/>
    <row r="156" spans="1:15" x14ac:dyDescent="0.25">
      <c r="A156" t="s">
        <v>17</v>
      </c>
      <c r="B156" t="s">
        <v>18</v>
      </c>
      <c r="C156" t="s">
        <v>19</v>
      </c>
      <c r="D156" t="s">
        <v>20</v>
      </c>
      <c r="E156" t="s">
        <v>21</v>
      </c>
      <c r="F156" t="s">
        <v>26</v>
      </c>
      <c r="G156" t="s">
        <v>27</v>
      </c>
      <c r="H156" t="s">
        <v>28</v>
      </c>
      <c r="I156" t="s">
        <v>29</v>
      </c>
      <c r="J156" t="s">
        <v>113</v>
      </c>
      <c r="K156" t="s">
        <v>46</v>
      </c>
      <c r="L156" t="s">
        <v>114</v>
      </c>
    </row>
    <row r="157" spans="1:15" x14ac:dyDescent="0.25">
      <c r="A157" t="s">
        <v>103</v>
      </c>
      <c r="B157" s="7">
        <v>22500</v>
      </c>
      <c r="C157" s="7">
        <v>6.2319999999999997E-3</v>
      </c>
      <c r="D157" s="7">
        <v>5.7019999999999998E-4</v>
      </c>
      <c r="E157" s="7">
        <v>6.0689999999999997E-3</v>
      </c>
      <c r="F157" s="7">
        <v>140.19999999999999</v>
      </c>
      <c r="G157" s="7">
        <v>6.1619999999999999E-3</v>
      </c>
      <c r="H157" s="7">
        <v>100</v>
      </c>
      <c r="I157" s="7">
        <v>140.19999999999999</v>
      </c>
      <c r="J157" t="s">
        <v>34</v>
      </c>
      <c r="K157" s="7">
        <f>Table8[[#This Row],[IntDen]]/F$165</f>
        <v>1.1891433418150974E-2</v>
      </c>
      <c r="L157" s="7">
        <f>B$168-Table8[[#This Row],[EPID Signal]]</f>
        <v>0.16548144793778125</v>
      </c>
    </row>
    <row r="158" spans="1:15" x14ac:dyDescent="0.25">
      <c r="A158" t="s">
        <v>104</v>
      </c>
      <c r="B158" s="7">
        <v>22500</v>
      </c>
      <c r="C158" s="7">
        <v>6.3870000000000003E-3</v>
      </c>
      <c r="D158" s="7">
        <v>6.3440000000000002E-4</v>
      </c>
      <c r="E158" s="7">
        <v>6.1760000000000001E-3</v>
      </c>
      <c r="F158" s="7">
        <v>143.69999999999999</v>
      </c>
      <c r="G158" s="7">
        <v>6.3029999999999996E-3</v>
      </c>
      <c r="H158" s="7">
        <v>100</v>
      </c>
      <c r="I158" s="7">
        <v>143.69999999999999</v>
      </c>
      <c r="J158" t="s">
        <v>33</v>
      </c>
      <c r="K158" s="7">
        <f>Table8[[#This Row],[IntDen]]/F$165</f>
        <v>1.2188295165394401E-2</v>
      </c>
      <c r="L158" s="7">
        <f>B$168-Table8[[#This Row],[EPID Signal]]</f>
        <v>0.1651845861905378</v>
      </c>
    </row>
    <row r="159" spans="1:15" x14ac:dyDescent="0.25">
      <c r="A159" t="s">
        <v>143</v>
      </c>
      <c r="B159" s="7">
        <v>22500</v>
      </c>
      <c r="C159" s="7">
        <v>7.0860000000000006E-2</v>
      </c>
      <c r="D159" s="7">
        <v>3.6600000000000001E-3</v>
      </c>
      <c r="E159" s="7">
        <v>7.1239999999999998E-2</v>
      </c>
      <c r="F159" s="7">
        <v>1594</v>
      </c>
      <c r="G159" s="7">
        <v>7.109E-2</v>
      </c>
      <c r="H159" s="7">
        <v>100</v>
      </c>
      <c r="I159" s="7">
        <v>1594</v>
      </c>
      <c r="J159">
        <v>1</v>
      </c>
      <c r="K159" s="7">
        <f>Table8[[#This Row],[IntDen]]/F$165</f>
        <v>0.13519932145886343</v>
      </c>
      <c r="L159" s="7">
        <f>B$168-Table8[[#This Row],[EPID Signal]]</f>
        <v>4.217355989706878E-2</v>
      </c>
    </row>
    <row r="160" spans="1:15" x14ac:dyDescent="0.25">
      <c r="A160" t="s">
        <v>144</v>
      </c>
      <c r="B160" s="7">
        <v>22500</v>
      </c>
      <c r="C160" s="7">
        <v>7.7939999999999995E-2</v>
      </c>
      <c r="D160" s="7">
        <v>2.6740000000000002E-3</v>
      </c>
      <c r="E160" s="7">
        <v>7.8439999999999996E-2</v>
      </c>
      <c r="F160" s="7">
        <v>1754</v>
      </c>
      <c r="G160" s="7">
        <v>7.8119999999999995E-2</v>
      </c>
      <c r="H160" s="7">
        <v>100</v>
      </c>
      <c r="I160" s="7">
        <v>1754</v>
      </c>
      <c r="J160">
        <v>0.7</v>
      </c>
      <c r="K160" s="7">
        <f>Table8[[#This Row],[IntDen]]/F$165</f>
        <v>0.14877014418999152</v>
      </c>
      <c r="L160" s="7">
        <f>B$168-Table8[[#This Row],[EPID Signal]]</f>
        <v>2.8602737165940695E-2</v>
      </c>
    </row>
    <row r="161" spans="1:12" x14ac:dyDescent="0.25">
      <c r="A161" t="s">
        <v>145</v>
      </c>
      <c r="B161" s="7">
        <v>22500</v>
      </c>
      <c r="C161" s="7">
        <v>8.2739999999999994E-2</v>
      </c>
      <c r="D161" s="7">
        <v>2.1090000000000002E-3</v>
      </c>
      <c r="E161" s="7">
        <v>8.3140000000000006E-2</v>
      </c>
      <c r="F161" s="7">
        <v>1862</v>
      </c>
      <c r="G161" s="7">
        <v>8.2830000000000001E-2</v>
      </c>
      <c r="H161" s="7">
        <v>100</v>
      </c>
      <c r="I161" s="7">
        <v>1862</v>
      </c>
      <c r="J161">
        <v>0.5</v>
      </c>
      <c r="K161" s="7">
        <f>Table8[[#This Row],[IntDen]]/F$165</f>
        <v>0.15793044953350296</v>
      </c>
      <c r="L161" s="7">
        <f>B$168-Table8[[#This Row],[EPID Signal]]</f>
        <v>1.9442431822429246E-2</v>
      </c>
    </row>
    <row r="162" spans="1:12" x14ac:dyDescent="0.25">
      <c r="A162" t="s">
        <v>146</v>
      </c>
      <c r="B162" s="7">
        <v>22500</v>
      </c>
      <c r="C162" s="7">
        <v>8.7410000000000002E-2</v>
      </c>
      <c r="D162" s="7">
        <v>1.7080000000000001E-3</v>
      </c>
      <c r="E162" s="7">
        <v>8.8499999999999995E-2</v>
      </c>
      <c r="F162" s="7">
        <v>1967</v>
      </c>
      <c r="G162" s="7">
        <v>8.7520000000000001E-2</v>
      </c>
      <c r="H162" s="7">
        <v>100</v>
      </c>
      <c r="I162" s="7">
        <v>1967</v>
      </c>
      <c r="J162">
        <v>0.3</v>
      </c>
      <c r="K162" s="7">
        <f>Table8[[#This Row],[IntDen]]/F$165</f>
        <v>0.16683630195080576</v>
      </c>
      <c r="L162" s="7">
        <f>B$168-Table8[[#This Row],[EPID Signal]]</f>
        <v>1.0536579405126451E-2</v>
      </c>
    </row>
    <row r="163" spans="1:12" x14ac:dyDescent="0.25">
      <c r="A163" t="s">
        <v>147</v>
      </c>
      <c r="B163" s="7">
        <v>22500</v>
      </c>
      <c r="C163" s="7">
        <v>8.9630000000000001E-2</v>
      </c>
      <c r="D163" s="7">
        <v>1.6130000000000001E-3</v>
      </c>
      <c r="E163" s="7">
        <v>9.0730000000000005E-2</v>
      </c>
      <c r="F163" s="7">
        <v>2017</v>
      </c>
      <c r="G163" s="7">
        <v>8.9789999999999995E-2</v>
      </c>
      <c r="H163" s="7">
        <v>100</v>
      </c>
      <c r="I163" s="7">
        <v>2017</v>
      </c>
      <c r="J163">
        <v>0.2</v>
      </c>
      <c r="K163" s="7">
        <f>Table8[[#This Row],[IntDen]]/F$165</f>
        <v>0.17107718405428329</v>
      </c>
      <c r="L163" s="7">
        <f>B$168-Table8[[#This Row],[EPID Signal]]</f>
        <v>6.2956973016489171E-3</v>
      </c>
    </row>
    <row r="164" spans="1:12" x14ac:dyDescent="0.25">
      <c r="A164" t="s">
        <v>148</v>
      </c>
      <c r="B164" s="7">
        <v>22500</v>
      </c>
      <c r="C164" s="7">
        <v>9.1600000000000001E-2</v>
      </c>
      <c r="D164" s="7">
        <v>1.5889999999999999E-3</v>
      </c>
      <c r="E164" s="7">
        <v>9.2549999999999993E-2</v>
      </c>
      <c r="F164" s="7">
        <v>2061</v>
      </c>
      <c r="G164" s="7">
        <v>9.1789999999999997E-2</v>
      </c>
      <c r="H164" s="7">
        <v>100</v>
      </c>
      <c r="I164" s="7">
        <v>2061</v>
      </c>
      <c r="J164">
        <v>0.1</v>
      </c>
      <c r="K164" s="7">
        <f>Table8[[#This Row],[IntDen]]/F$165</f>
        <v>0.17480916030534352</v>
      </c>
      <c r="L164" s="7">
        <f>B$168-Table8[[#This Row],[EPID Signal]]</f>
        <v>2.5637210505886909E-3</v>
      </c>
    </row>
    <row r="165" spans="1:12" x14ac:dyDescent="0.25">
      <c r="A165" t="s">
        <v>102</v>
      </c>
      <c r="B165" s="7">
        <v>22500</v>
      </c>
      <c r="C165" s="7">
        <v>0.5242</v>
      </c>
      <c r="D165" s="7">
        <v>8.6169999999999997E-3</v>
      </c>
      <c r="E165" s="7">
        <v>0.52949999999999997</v>
      </c>
      <c r="F165" s="7">
        <v>11790</v>
      </c>
      <c r="G165" s="7">
        <v>0.52490000000000003</v>
      </c>
      <c r="H165" s="7">
        <v>100</v>
      </c>
      <c r="I165" s="7">
        <v>11790</v>
      </c>
      <c r="J165" t="s">
        <v>42</v>
      </c>
      <c r="K165" s="7">
        <f>Table8[[#This Row],[IntDen]]/F$165</f>
        <v>1</v>
      </c>
      <c r="L165" s="7">
        <f>B$168-Table8[[#This Row],[EPID Signal]]</f>
        <v>-0.82262711864406779</v>
      </c>
    </row>
    <row r="167" spans="1:12" x14ac:dyDescent="0.25">
      <c r="B167" t="s">
        <v>46</v>
      </c>
    </row>
    <row r="168" spans="1:12" x14ac:dyDescent="0.25">
      <c r="A168" t="s">
        <v>124</v>
      </c>
      <c r="B168" s="26">
        <f>O54</f>
        <v>0.17737288135593221</v>
      </c>
    </row>
    <row r="170" spans="1:12" x14ac:dyDescent="0.25">
      <c r="A170" t="s">
        <v>150</v>
      </c>
      <c r="B170" s="10">
        <f>AVERAGE(K157:K158)</f>
        <v>1.2039864291772687E-2</v>
      </c>
      <c r="D170" t="s">
        <v>151</v>
      </c>
      <c r="E170" s="29">
        <f>E63</f>
        <v>1.3336079262035838E-2</v>
      </c>
    </row>
    <row r="172" spans="1:12" ht="33" x14ac:dyDescent="0.35">
      <c r="B172" s="23" t="s">
        <v>115</v>
      </c>
      <c r="C172" s="23" t="s">
        <v>116</v>
      </c>
      <c r="D172" s="24" t="s">
        <v>117</v>
      </c>
      <c r="E172" s="23" t="s">
        <v>118</v>
      </c>
      <c r="F172" s="24" t="s">
        <v>119</v>
      </c>
      <c r="G172" s="23" t="s">
        <v>120</v>
      </c>
      <c r="H172" s="24" t="s">
        <v>121</v>
      </c>
      <c r="I172" s="23" t="s">
        <v>122</v>
      </c>
    </row>
    <row r="173" spans="1:12" x14ac:dyDescent="0.25">
      <c r="A173" s="25" t="s">
        <v>123</v>
      </c>
      <c r="B173" s="30">
        <f t="array" ref="B173:C173">LINEST(L159:L164,J159:J164)</f>
        <v>4.4371461822198588E-2</v>
      </c>
      <c r="C173" s="30">
        <v>-2.4375610765588786E-3</v>
      </c>
      <c r="D173" s="30">
        <f>C173/B173</f>
        <v>-5.4935334029031058E-2</v>
      </c>
      <c r="E173" s="31">
        <f>-1*D173</f>
        <v>5.4935334029031058E-2</v>
      </c>
      <c r="F173" s="32">
        <f>1-2*SQRT(B170)+B170</f>
        <v>0.7925872334871028</v>
      </c>
      <c r="G173" s="31">
        <f>B173/F173</f>
        <v>5.5983064005434312E-2</v>
      </c>
      <c r="H173" s="32">
        <f>SQRT(B170)-B170/(1-B170)</f>
        <v>9.7539726230756879E-2</v>
      </c>
      <c r="I173" s="31">
        <f>-H173*E173+0.5*E170</f>
        <v>1.3096621894310477E-3</v>
      </c>
    </row>
  </sheetData>
  <mergeCells count="10">
    <mergeCell ref="A154:O154"/>
    <mergeCell ref="A87:O87"/>
    <mergeCell ref="A89:O89"/>
    <mergeCell ref="A111:O111"/>
    <mergeCell ref="A133:O133"/>
    <mergeCell ref="A3:O3"/>
    <mergeCell ref="A5:O5"/>
    <mergeCell ref="A25:O25"/>
    <mergeCell ref="A45:O45"/>
    <mergeCell ref="A65:O65"/>
  </mergeCells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9"/>
  <sheetViews>
    <sheetView tabSelected="1" workbookViewId="0">
      <selection activeCell="W50" sqref="W50"/>
    </sheetView>
  </sheetViews>
  <sheetFormatPr defaultRowHeight="15.75" x14ac:dyDescent="0.25"/>
  <cols>
    <col min="1" max="1" width="2.625" customWidth="1"/>
    <col min="2" max="2" width="36.125" bestFit="1" customWidth="1"/>
    <col min="19" max="19" width="2.625" customWidth="1"/>
  </cols>
  <sheetData>
    <row r="1" spans="2:19" x14ac:dyDescent="0.25">
      <c r="B1" t="s">
        <v>152</v>
      </c>
    </row>
    <row r="3" spans="2:19" x14ac:dyDescent="0.25">
      <c r="B3" s="33" t="s">
        <v>153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19"/>
    </row>
    <row r="5" spans="2:19" x14ac:dyDescent="0.25">
      <c r="B5" s="33" t="s">
        <v>155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19"/>
    </row>
    <row r="7" spans="2:19" x14ac:dyDescent="0.25"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P7" t="s">
        <v>36</v>
      </c>
    </row>
    <row r="8" spans="2:19" x14ac:dyDescent="0.25">
      <c r="B8" t="s">
        <v>103</v>
      </c>
      <c r="C8" s="7">
        <v>2500</v>
      </c>
      <c r="D8" s="7">
        <v>6.0109999999999999E-3</v>
      </c>
      <c r="E8" s="7">
        <v>5.8089999999999997E-4</v>
      </c>
      <c r="F8" s="7">
        <v>5.9290000000000002E-3</v>
      </c>
      <c r="G8" s="7">
        <v>4.6410000000000002E-3</v>
      </c>
      <c r="H8" s="7">
        <v>8.1320000000000003E-3</v>
      </c>
      <c r="I8" s="7">
        <v>595</v>
      </c>
      <c r="J8" s="7">
        <v>595</v>
      </c>
      <c r="K8" s="7">
        <v>15.03</v>
      </c>
      <c r="L8" s="7">
        <v>5.9160000000000003E-3</v>
      </c>
      <c r="M8" s="7">
        <v>100</v>
      </c>
      <c r="N8" s="7">
        <v>15.03</v>
      </c>
      <c r="P8" s="7">
        <f>K8/K$16</f>
        <v>1.1797488226059654E-2</v>
      </c>
    </row>
    <row r="9" spans="2:19" x14ac:dyDescent="0.25">
      <c r="B9" t="s">
        <v>104</v>
      </c>
      <c r="C9" s="7">
        <v>2500</v>
      </c>
      <c r="D9" s="7">
        <v>6.1590000000000004E-3</v>
      </c>
      <c r="E9" s="7">
        <v>5.8449999999999995E-4</v>
      </c>
      <c r="F9" s="7">
        <v>5.8609999999999999E-3</v>
      </c>
      <c r="G9" s="7">
        <v>4.8669999999999998E-3</v>
      </c>
      <c r="H9" s="7">
        <v>8.0289999999999997E-3</v>
      </c>
      <c r="I9" s="7">
        <v>595</v>
      </c>
      <c r="J9" s="7">
        <v>595</v>
      </c>
      <c r="K9" s="7">
        <v>15.4</v>
      </c>
      <c r="L9" s="7">
        <v>6.0720000000000001E-3</v>
      </c>
      <c r="M9" s="7">
        <v>100</v>
      </c>
      <c r="N9" s="7">
        <v>15.4</v>
      </c>
      <c r="P9" s="7">
        <f t="shared" ref="P9:P16" si="0">K9/K$16</f>
        <v>1.2087912087912088E-2</v>
      </c>
    </row>
    <row r="10" spans="2:19" x14ac:dyDescent="0.25">
      <c r="B10" t="s">
        <v>143</v>
      </c>
      <c r="C10" s="7">
        <v>2500</v>
      </c>
      <c r="D10" s="7">
        <v>6.8650000000000003E-2</v>
      </c>
      <c r="E10" s="7">
        <v>3.5820000000000001E-3</v>
      </c>
      <c r="F10" s="7">
        <v>7.0569999999999994E-2</v>
      </c>
      <c r="G10" s="7">
        <v>6.1650000000000003E-2</v>
      </c>
      <c r="H10" s="7">
        <v>7.5969999999999996E-2</v>
      </c>
      <c r="I10" s="7">
        <v>595</v>
      </c>
      <c r="J10" s="7">
        <v>595</v>
      </c>
      <c r="K10" s="7">
        <v>171.6</v>
      </c>
      <c r="L10" s="7">
        <v>6.8809999999999996E-2</v>
      </c>
      <c r="M10" s="7">
        <v>100</v>
      </c>
      <c r="N10" s="7">
        <v>171.6</v>
      </c>
      <c r="P10" s="7">
        <f t="shared" si="0"/>
        <v>0.13469387755102041</v>
      </c>
    </row>
    <row r="11" spans="2:19" x14ac:dyDescent="0.25">
      <c r="B11" t="s">
        <v>144</v>
      </c>
      <c r="C11" s="7">
        <v>2500</v>
      </c>
      <c r="D11" s="7">
        <v>7.5600000000000001E-2</v>
      </c>
      <c r="E11" s="7">
        <v>2.4160000000000002E-3</v>
      </c>
      <c r="F11" s="7">
        <v>7.6999999999999999E-2</v>
      </c>
      <c r="G11" s="7">
        <v>7.0690000000000003E-2</v>
      </c>
      <c r="H11" s="7">
        <v>8.0560000000000007E-2</v>
      </c>
      <c r="I11" s="7">
        <v>595</v>
      </c>
      <c r="J11" s="7">
        <v>595</v>
      </c>
      <c r="K11" s="7">
        <v>189</v>
      </c>
      <c r="L11" s="7">
        <v>7.5810000000000002E-2</v>
      </c>
      <c r="M11" s="7">
        <v>100</v>
      </c>
      <c r="N11" s="7">
        <v>189</v>
      </c>
      <c r="P11" s="7">
        <f t="shared" si="0"/>
        <v>0.14835164835164835</v>
      </c>
    </row>
    <row r="12" spans="2:19" x14ac:dyDescent="0.25">
      <c r="B12" t="s">
        <v>145</v>
      </c>
      <c r="C12" s="7">
        <v>2500</v>
      </c>
      <c r="D12" s="7">
        <v>8.029E-2</v>
      </c>
      <c r="E12" s="7">
        <v>1.653E-3</v>
      </c>
      <c r="F12" s="7">
        <v>8.0439999999999998E-2</v>
      </c>
      <c r="G12" s="7">
        <v>7.6509999999999995E-2</v>
      </c>
      <c r="H12" s="7">
        <v>8.4040000000000004E-2</v>
      </c>
      <c r="I12" s="7">
        <v>595</v>
      </c>
      <c r="J12" s="7">
        <v>595</v>
      </c>
      <c r="K12" s="7">
        <v>200.7</v>
      </c>
      <c r="L12" s="7">
        <v>8.0439999999999998E-2</v>
      </c>
      <c r="M12" s="7">
        <v>100</v>
      </c>
      <c r="N12" s="7">
        <v>200.7</v>
      </c>
      <c r="P12" s="7">
        <f t="shared" si="0"/>
        <v>0.15753532182103611</v>
      </c>
    </row>
    <row r="13" spans="2:19" x14ac:dyDescent="0.25">
      <c r="B13" t="s">
        <v>146</v>
      </c>
      <c r="C13" s="7">
        <v>2500</v>
      </c>
      <c r="D13" s="7">
        <v>8.4870000000000001E-2</v>
      </c>
      <c r="E13" s="7">
        <v>9.3849999999999999E-4</v>
      </c>
      <c r="F13" s="7">
        <v>8.5139999999999993E-2</v>
      </c>
      <c r="G13" s="7">
        <v>8.2400000000000001E-2</v>
      </c>
      <c r="H13" s="7">
        <v>8.7059999999999998E-2</v>
      </c>
      <c r="I13" s="7">
        <v>595</v>
      </c>
      <c r="J13" s="7">
        <v>595</v>
      </c>
      <c r="K13" s="7">
        <v>212.2</v>
      </c>
      <c r="L13" s="7">
        <v>8.4970000000000004E-2</v>
      </c>
      <c r="M13" s="7">
        <v>100</v>
      </c>
      <c r="N13" s="7">
        <v>212.2</v>
      </c>
      <c r="P13" s="7">
        <f t="shared" si="0"/>
        <v>0.16656200941915228</v>
      </c>
    </row>
    <row r="14" spans="2:19" x14ac:dyDescent="0.25">
      <c r="B14" t="s">
        <v>147</v>
      </c>
      <c r="C14" s="7">
        <v>2500</v>
      </c>
      <c r="D14" s="7">
        <v>8.7050000000000002E-2</v>
      </c>
      <c r="E14" s="7">
        <v>6.6779999999999997E-4</v>
      </c>
      <c r="F14" s="7">
        <v>8.7110000000000007E-2</v>
      </c>
      <c r="G14" s="7">
        <v>8.4870000000000001E-2</v>
      </c>
      <c r="H14" s="7">
        <v>8.8650000000000007E-2</v>
      </c>
      <c r="I14" s="7">
        <v>595</v>
      </c>
      <c r="J14" s="7">
        <v>595</v>
      </c>
      <c r="K14" s="7">
        <v>217.6</v>
      </c>
      <c r="L14" s="7">
        <v>8.7090000000000001E-2</v>
      </c>
      <c r="M14" s="7">
        <v>100</v>
      </c>
      <c r="N14" s="7">
        <v>217.6</v>
      </c>
      <c r="P14" s="7">
        <f t="shared" si="0"/>
        <v>0.17080062794348508</v>
      </c>
    </row>
    <row r="15" spans="2:19" x14ac:dyDescent="0.25">
      <c r="B15" t="s">
        <v>148</v>
      </c>
      <c r="C15" s="7">
        <v>2500</v>
      </c>
      <c r="D15" s="7">
        <v>8.899E-2</v>
      </c>
      <c r="E15" s="7">
        <v>5.4180000000000005E-4</v>
      </c>
      <c r="F15" s="7">
        <v>8.8940000000000005E-2</v>
      </c>
      <c r="G15" s="7">
        <v>8.7120000000000003E-2</v>
      </c>
      <c r="H15" s="7">
        <v>9.0740000000000001E-2</v>
      </c>
      <c r="I15" s="7">
        <v>595</v>
      </c>
      <c r="J15" s="7">
        <v>595</v>
      </c>
      <c r="K15" s="7">
        <v>222.5</v>
      </c>
      <c r="L15" s="7">
        <v>8.8980000000000004E-2</v>
      </c>
      <c r="M15" s="7">
        <v>100</v>
      </c>
      <c r="N15" s="7">
        <v>222.5</v>
      </c>
      <c r="P15" s="7">
        <f t="shared" si="0"/>
        <v>0.17464678178963894</v>
      </c>
    </row>
    <row r="16" spans="2:19" x14ac:dyDescent="0.25">
      <c r="B16" t="s">
        <v>102</v>
      </c>
      <c r="C16" s="7">
        <v>2500</v>
      </c>
      <c r="D16" s="7">
        <v>0.50980000000000003</v>
      </c>
      <c r="E16" s="7">
        <v>1.9449999999999999E-3</v>
      </c>
      <c r="F16" s="7">
        <v>0.51080000000000003</v>
      </c>
      <c r="G16" s="7">
        <v>0.50360000000000005</v>
      </c>
      <c r="H16" s="7">
        <v>0.51649999999999996</v>
      </c>
      <c r="I16" s="7">
        <v>595</v>
      </c>
      <c r="J16" s="7">
        <v>595</v>
      </c>
      <c r="K16" s="7">
        <v>1274</v>
      </c>
      <c r="L16" s="7">
        <v>0.50970000000000004</v>
      </c>
      <c r="M16" s="7">
        <v>100</v>
      </c>
      <c r="N16" s="7">
        <v>1274</v>
      </c>
      <c r="P16" s="7">
        <f t="shared" si="0"/>
        <v>1</v>
      </c>
    </row>
    <row r="18" spans="2:19" x14ac:dyDescent="0.25">
      <c r="B18" s="33" t="s">
        <v>156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</row>
    <row r="20" spans="2:19" x14ac:dyDescent="0.25"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29</v>
      </c>
      <c r="P20" t="s">
        <v>36</v>
      </c>
      <c r="R20" t="s">
        <v>154</v>
      </c>
    </row>
    <row r="21" spans="2:19" x14ac:dyDescent="0.25">
      <c r="B21" t="s">
        <v>103</v>
      </c>
      <c r="C21" s="7">
        <v>22500</v>
      </c>
      <c r="D21" s="7">
        <v>6.2319999999999997E-3</v>
      </c>
      <c r="E21" s="7">
        <v>5.7019999999999998E-4</v>
      </c>
      <c r="F21" s="7">
        <v>6.0689999999999997E-3</v>
      </c>
      <c r="G21" s="7">
        <v>4.6410000000000002E-3</v>
      </c>
      <c r="H21" s="7">
        <v>1.3899999999999999E-2</v>
      </c>
      <c r="I21" s="7">
        <v>595</v>
      </c>
      <c r="J21" s="7">
        <v>595</v>
      </c>
      <c r="K21" s="7">
        <v>140.19999999999999</v>
      </c>
      <c r="L21" s="7">
        <v>6.1619999999999999E-3</v>
      </c>
      <c r="M21" s="7">
        <v>100</v>
      </c>
      <c r="N21" s="7">
        <v>140.19999999999999</v>
      </c>
      <c r="P21" s="7">
        <f>K21/K$29</f>
        <v>1.1891433418150974E-2</v>
      </c>
      <c r="R21" s="28">
        <f>(P8-P21)/P21</f>
        <v>-7.9002411894198554E-3</v>
      </c>
    </row>
    <row r="22" spans="2:19" x14ac:dyDescent="0.25">
      <c r="B22" t="s">
        <v>104</v>
      </c>
      <c r="C22" s="7">
        <v>22500</v>
      </c>
      <c r="D22" s="7">
        <v>6.3870000000000003E-3</v>
      </c>
      <c r="E22" s="7">
        <v>6.3440000000000002E-4</v>
      </c>
      <c r="F22" s="7">
        <v>6.1760000000000001E-3</v>
      </c>
      <c r="G22" s="7">
        <v>4.8500000000000001E-3</v>
      </c>
      <c r="H22" s="7">
        <v>1.4409999999999999E-2</v>
      </c>
      <c r="I22" s="7">
        <v>595</v>
      </c>
      <c r="J22" s="7">
        <v>595</v>
      </c>
      <c r="K22" s="7">
        <v>143.69999999999999</v>
      </c>
      <c r="L22" s="7">
        <v>6.3029999999999996E-3</v>
      </c>
      <c r="M22" s="7">
        <v>100</v>
      </c>
      <c r="N22" s="7">
        <v>143.69999999999999</v>
      </c>
      <c r="P22" s="7">
        <f t="shared" ref="P22:P29" si="1">K22/K$29</f>
        <v>1.2188295165394401E-2</v>
      </c>
      <c r="R22" s="28">
        <f>(P9-P22)/P22</f>
        <v>-8.2360228498014627E-3</v>
      </c>
    </row>
    <row r="23" spans="2:19" x14ac:dyDescent="0.25">
      <c r="B23" t="s">
        <v>143</v>
      </c>
      <c r="C23" s="7">
        <v>22500</v>
      </c>
      <c r="D23" s="7">
        <v>7.0860000000000006E-2</v>
      </c>
      <c r="E23" s="7">
        <v>3.6600000000000001E-3</v>
      </c>
      <c r="F23" s="7">
        <v>7.1239999999999998E-2</v>
      </c>
      <c r="G23" s="7">
        <v>6.1650000000000003E-2</v>
      </c>
      <c r="H23" s="7">
        <v>7.9250000000000001E-2</v>
      </c>
      <c r="I23" s="7">
        <v>595</v>
      </c>
      <c r="J23" s="7">
        <v>595</v>
      </c>
      <c r="K23" s="7">
        <v>1594</v>
      </c>
      <c r="L23" s="7">
        <v>7.109E-2</v>
      </c>
      <c r="M23" s="7">
        <v>100</v>
      </c>
      <c r="N23" s="7">
        <v>1594</v>
      </c>
      <c r="P23" s="7">
        <f t="shared" si="1"/>
        <v>0.13519932145886343</v>
      </c>
      <c r="R23" s="28">
        <f>(P10-P23)/P23</f>
        <v>-3.7385092054386289E-3</v>
      </c>
    </row>
    <row r="24" spans="2:19" x14ac:dyDescent="0.25">
      <c r="B24" t="s">
        <v>144</v>
      </c>
      <c r="C24" s="7">
        <v>22500</v>
      </c>
      <c r="D24" s="7">
        <v>7.7939999999999995E-2</v>
      </c>
      <c r="E24" s="7">
        <v>2.6740000000000002E-3</v>
      </c>
      <c r="F24" s="7">
        <v>7.8439999999999996E-2</v>
      </c>
      <c r="G24" s="7">
        <v>7.0690000000000003E-2</v>
      </c>
      <c r="H24" s="7">
        <v>8.4409999999999999E-2</v>
      </c>
      <c r="I24" s="7">
        <v>595</v>
      </c>
      <c r="J24" s="7">
        <v>595</v>
      </c>
      <c r="K24" s="7">
        <v>1754</v>
      </c>
      <c r="L24" s="7">
        <v>7.8119999999999995E-2</v>
      </c>
      <c r="M24" s="7">
        <v>100</v>
      </c>
      <c r="N24" s="7">
        <v>1754</v>
      </c>
      <c r="P24" s="7">
        <f t="shared" si="1"/>
        <v>0.14877014418999152</v>
      </c>
      <c r="R24" s="28">
        <f>(P11-P24)/P24</f>
        <v>-2.8130364504366586E-3</v>
      </c>
    </row>
    <row r="25" spans="2:19" x14ac:dyDescent="0.25">
      <c r="B25" t="s">
        <v>145</v>
      </c>
      <c r="C25" s="7">
        <v>22500</v>
      </c>
      <c r="D25" s="7">
        <v>8.2739999999999994E-2</v>
      </c>
      <c r="E25" s="7">
        <v>2.1090000000000002E-3</v>
      </c>
      <c r="F25" s="7">
        <v>8.3140000000000006E-2</v>
      </c>
      <c r="G25" s="7">
        <v>7.6509999999999995E-2</v>
      </c>
      <c r="H25" s="7">
        <v>8.8099999999999998E-2</v>
      </c>
      <c r="I25" s="7">
        <v>595</v>
      </c>
      <c r="J25" s="7">
        <v>595</v>
      </c>
      <c r="K25" s="7">
        <v>1862</v>
      </c>
      <c r="L25" s="7">
        <v>8.2830000000000001E-2</v>
      </c>
      <c r="M25" s="7">
        <v>100</v>
      </c>
      <c r="N25" s="7">
        <v>1862</v>
      </c>
      <c r="P25" s="7">
        <f t="shared" si="1"/>
        <v>0.15793044953350296</v>
      </c>
      <c r="R25" s="28">
        <f>(P12-P25)/P25</f>
        <v>-2.5019096294222666E-3</v>
      </c>
    </row>
    <row r="26" spans="2:19" x14ac:dyDescent="0.25">
      <c r="B26" t="s">
        <v>146</v>
      </c>
      <c r="C26" s="7">
        <v>22500</v>
      </c>
      <c r="D26" s="7">
        <v>8.7410000000000002E-2</v>
      </c>
      <c r="E26" s="7">
        <v>1.7080000000000001E-3</v>
      </c>
      <c r="F26" s="7">
        <v>8.8499999999999995E-2</v>
      </c>
      <c r="G26" s="7">
        <v>8.2400000000000001E-2</v>
      </c>
      <c r="H26" s="7">
        <v>9.2850000000000002E-2</v>
      </c>
      <c r="I26" s="7">
        <v>595</v>
      </c>
      <c r="J26" s="7">
        <v>595</v>
      </c>
      <c r="K26" s="7">
        <v>1967</v>
      </c>
      <c r="L26" s="7">
        <v>8.7520000000000001E-2</v>
      </c>
      <c r="M26" s="7">
        <v>100</v>
      </c>
      <c r="N26" s="7">
        <v>1967</v>
      </c>
      <c r="P26" s="7">
        <f t="shared" si="1"/>
        <v>0.16683630195080576</v>
      </c>
      <c r="R26" s="28">
        <f>(P13-P26)/P26</f>
        <v>-1.6440818241965104E-3</v>
      </c>
    </row>
    <row r="27" spans="2:19" x14ac:dyDescent="0.25">
      <c r="B27" t="s">
        <v>147</v>
      </c>
      <c r="C27" s="7">
        <v>22500</v>
      </c>
      <c r="D27" s="7">
        <v>8.9630000000000001E-2</v>
      </c>
      <c r="E27" s="7">
        <v>1.6130000000000001E-3</v>
      </c>
      <c r="F27" s="7">
        <v>9.0730000000000005E-2</v>
      </c>
      <c r="G27" s="7">
        <v>8.4870000000000001E-2</v>
      </c>
      <c r="H27" s="7">
        <v>9.5329999999999998E-2</v>
      </c>
      <c r="I27" s="7">
        <v>595</v>
      </c>
      <c r="J27" s="7">
        <v>595</v>
      </c>
      <c r="K27" s="7">
        <v>2017</v>
      </c>
      <c r="L27" s="7">
        <v>8.9789999999999995E-2</v>
      </c>
      <c r="M27" s="7">
        <v>100</v>
      </c>
      <c r="N27" s="7">
        <v>2017</v>
      </c>
      <c r="P27" s="7">
        <f t="shared" si="1"/>
        <v>0.17107718405428329</v>
      </c>
      <c r="R27" s="28">
        <f>(P14-P27)/P27</f>
        <v>-1.6165575341154962E-3</v>
      </c>
    </row>
    <row r="28" spans="2:19" x14ac:dyDescent="0.25">
      <c r="B28" t="s">
        <v>148</v>
      </c>
      <c r="C28" s="7">
        <v>22500</v>
      </c>
      <c r="D28" s="7">
        <v>9.1600000000000001E-2</v>
      </c>
      <c r="E28" s="7">
        <v>1.5889999999999999E-3</v>
      </c>
      <c r="F28" s="7">
        <v>9.2549999999999993E-2</v>
      </c>
      <c r="G28" s="7">
        <v>8.7120000000000003E-2</v>
      </c>
      <c r="H28" s="7">
        <v>9.7229999999999997E-2</v>
      </c>
      <c r="I28" s="7">
        <v>595</v>
      </c>
      <c r="J28" s="7">
        <v>595</v>
      </c>
      <c r="K28" s="7">
        <v>2061</v>
      </c>
      <c r="L28" s="7">
        <v>9.1789999999999997E-2</v>
      </c>
      <c r="M28" s="7">
        <v>100</v>
      </c>
      <c r="N28" s="7">
        <v>2061</v>
      </c>
      <c r="P28" s="7">
        <f t="shared" si="1"/>
        <v>0.17480916030534352</v>
      </c>
      <c r="R28" s="28">
        <f>(P15-P28)/P28</f>
        <v>-9.2889019900873812E-4</v>
      </c>
    </row>
    <row r="29" spans="2:19" x14ac:dyDescent="0.25">
      <c r="B29" t="s">
        <v>102</v>
      </c>
      <c r="C29" s="7">
        <v>22500</v>
      </c>
      <c r="D29" s="7">
        <v>0.5242</v>
      </c>
      <c r="E29" s="7">
        <v>8.6169999999999997E-3</v>
      </c>
      <c r="F29" s="7">
        <v>0.52949999999999997</v>
      </c>
      <c r="G29" s="7">
        <v>0.50360000000000005</v>
      </c>
      <c r="H29" s="7">
        <v>0.54710000000000003</v>
      </c>
      <c r="I29" s="7">
        <v>595</v>
      </c>
      <c r="J29" s="7">
        <v>595</v>
      </c>
      <c r="K29" s="7">
        <v>11790</v>
      </c>
      <c r="L29" s="7">
        <v>0.52490000000000003</v>
      </c>
      <c r="M29" s="7">
        <v>100</v>
      </c>
      <c r="N29" s="7">
        <v>11790</v>
      </c>
      <c r="P29" s="7">
        <f t="shared" si="1"/>
        <v>1</v>
      </c>
      <c r="R29" s="28">
        <f>(P16-P29)/P29</f>
        <v>0</v>
      </c>
    </row>
    <row r="31" spans="2:19" x14ac:dyDescent="0.25">
      <c r="B31" s="33" t="s">
        <v>157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19"/>
    </row>
    <row r="33" spans="2:19" x14ac:dyDescent="0.25">
      <c r="B33" s="33" t="s">
        <v>155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19"/>
    </row>
    <row r="35" spans="2:19" x14ac:dyDescent="0.25"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P35" t="s">
        <v>36</v>
      </c>
    </row>
    <row r="36" spans="2:19" x14ac:dyDescent="0.25">
      <c r="B36" t="s">
        <v>103</v>
      </c>
      <c r="C36" s="7">
        <v>2500</v>
      </c>
      <c r="D36" s="7">
        <v>5.9519999999999998E-3</v>
      </c>
      <c r="E36" s="7">
        <v>5.7640000000000002E-4</v>
      </c>
      <c r="F36" s="7">
        <v>5.6810000000000003E-3</v>
      </c>
      <c r="G36" s="7">
        <v>4.581E-3</v>
      </c>
      <c r="H36" s="7">
        <v>8.123E-3</v>
      </c>
      <c r="I36" s="7">
        <v>595</v>
      </c>
      <c r="J36" s="7">
        <v>595</v>
      </c>
      <c r="K36" s="7">
        <v>14.88</v>
      </c>
      <c r="L36" s="7">
        <v>5.8500000000000002E-3</v>
      </c>
      <c r="M36" s="7">
        <v>100</v>
      </c>
      <c r="N36" s="7">
        <v>14.88</v>
      </c>
      <c r="P36" s="7">
        <f>K36/K$45</f>
        <v>1.1670588235294118E-2</v>
      </c>
    </row>
    <row r="37" spans="2:19" x14ac:dyDescent="0.25">
      <c r="B37" t="s">
        <v>104</v>
      </c>
      <c r="C37" s="7">
        <v>2500</v>
      </c>
      <c r="D37" s="7">
        <v>6.1180000000000002E-3</v>
      </c>
      <c r="E37" s="7">
        <v>5.8469999999999996E-4</v>
      </c>
      <c r="F37" s="7">
        <v>6.0439999999999999E-3</v>
      </c>
      <c r="G37" s="7">
        <v>4.666E-3</v>
      </c>
      <c r="H37" s="7">
        <v>8.0420000000000005E-3</v>
      </c>
      <c r="I37" s="7">
        <v>595</v>
      </c>
      <c r="J37" s="7">
        <v>595</v>
      </c>
      <c r="K37" s="7">
        <v>15.3</v>
      </c>
      <c r="L37" s="7">
        <v>6.0340000000000003E-3</v>
      </c>
      <c r="M37" s="7">
        <v>100</v>
      </c>
      <c r="N37" s="7">
        <v>15.3</v>
      </c>
      <c r="P37" s="7">
        <f t="shared" ref="P37:P45" si="2">K37/K$45</f>
        <v>1.2E-2</v>
      </c>
    </row>
    <row r="38" spans="2:19" x14ac:dyDescent="0.25">
      <c r="B38" t="s">
        <v>95</v>
      </c>
      <c r="C38" s="7">
        <v>2500</v>
      </c>
      <c r="D38" s="7">
        <v>1.5129999999999999E-2</v>
      </c>
      <c r="E38" s="7">
        <v>4.774E-4</v>
      </c>
      <c r="F38" s="7">
        <v>1.49E-2</v>
      </c>
      <c r="G38" s="7">
        <v>1.3780000000000001E-2</v>
      </c>
      <c r="H38" s="7">
        <v>1.678E-2</v>
      </c>
      <c r="I38" s="7">
        <v>595</v>
      </c>
      <c r="J38" s="7">
        <v>595</v>
      </c>
      <c r="K38" s="7">
        <v>37.83</v>
      </c>
      <c r="L38" s="7">
        <v>1.508E-2</v>
      </c>
      <c r="M38" s="7">
        <v>100</v>
      </c>
      <c r="N38" s="7">
        <v>37.83</v>
      </c>
      <c r="P38" s="7">
        <f t="shared" si="2"/>
        <v>2.9670588235294115E-2</v>
      </c>
    </row>
    <row r="39" spans="2:19" x14ac:dyDescent="0.25">
      <c r="B39" t="s">
        <v>96</v>
      </c>
      <c r="C39" s="7">
        <v>2500</v>
      </c>
      <c r="D39" s="7">
        <v>2.3310000000000001E-2</v>
      </c>
      <c r="E39" s="7">
        <v>4.8670000000000001E-4</v>
      </c>
      <c r="F39" s="7">
        <v>2.3269999999999999E-2</v>
      </c>
      <c r="G39" s="7">
        <v>2.198E-2</v>
      </c>
      <c r="H39" s="7">
        <v>2.5020000000000001E-2</v>
      </c>
      <c r="I39" s="7">
        <v>595</v>
      </c>
      <c r="J39" s="7">
        <v>595</v>
      </c>
      <c r="K39" s="7">
        <v>58.27</v>
      </c>
      <c r="L39" s="7">
        <v>2.3269999999999999E-2</v>
      </c>
      <c r="M39" s="7">
        <v>100</v>
      </c>
      <c r="N39" s="7">
        <v>58.27</v>
      </c>
      <c r="P39" s="7">
        <f t="shared" si="2"/>
        <v>4.5701960784313725E-2</v>
      </c>
    </row>
    <row r="40" spans="2:19" x14ac:dyDescent="0.25">
      <c r="B40" t="s">
        <v>97</v>
      </c>
      <c r="C40" s="7">
        <v>2500</v>
      </c>
      <c r="D40" s="7">
        <v>3.1649999999999998E-2</v>
      </c>
      <c r="E40" s="7">
        <v>4.7679999999999999E-4</v>
      </c>
      <c r="F40" s="7">
        <v>3.1609999999999999E-2</v>
      </c>
      <c r="G40" s="7">
        <v>3.0450000000000001E-2</v>
      </c>
      <c r="H40" s="7">
        <v>3.3259999999999998E-2</v>
      </c>
      <c r="I40" s="7">
        <v>595</v>
      </c>
      <c r="J40" s="7">
        <v>595</v>
      </c>
      <c r="K40" s="7">
        <v>79.12</v>
      </c>
      <c r="L40" s="7">
        <v>3.1609999999999999E-2</v>
      </c>
      <c r="M40" s="7">
        <v>100</v>
      </c>
      <c r="N40" s="7">
        <v>79.12</v>
      </c>
      <c r="P40" s="7">
        <f t="shared" si="2"/>
        <v>6.2054901960784316E-2</v>
      </c>
    </row>
    <row r="41" spans="2:19" x14ac:dyDescent="0.25">
      <c r="B41" t="s">
        <v>98</v>
      </c>
      <c r="C41" s="7">
        <v>2500</v>
      </c>
      <c r="D41" s="7">
        <v>4.8480000000000002E-2</v>
      </c>
      <c r="E41" s="7">
        <v>4.9529999999999995E-4</v>
      </c>
      <c r="F41" s="7">
        <v>4.8509999999999998E-2</v>
      </c>
      <c r="G41" s="7">
        <v>4.7169999999999997E-2</v>
      </c>
      <c r="H41" s="7">
        <v>5.024E-2</v>
      </c>
      <c r="I41" s="7">
        <v>595</v>
      </c>
      <c r="J41" s="7">
        <v>595</v>
      </c>
      <c r="K41" s="7">
        <v>121.2</v>
      </c>
      <c r="L41" s="7">
        <v>4.845E-2</v>
      </c>
      <c r="M41" s="7">
        <v>100</v>
      </c>
      <c r="N41" s="7">
        <v>121.2</v>
      </c>
      <c r="P41" s="7">
        <f t="shared" si="2"/>
        <v>9.5058823529411765E-2</v>
      </c>
    </row>
    <row r="42" spans="2:19" x14ac:dyDescent="0.25">
      <c r="B42" t="s">
        <v>99</v>
      </c>
      <c r="C42" s="7">
        <v>2500</v>
      </c>
      <c r="D42" s="7">
        <v>6.5229999999999996E-2</v>
      </c>
      <c r="E42" s="7">
        <v>5.2249999999999996E-4</v>
      </c>
      <c r="F42" s="7">
        <v>6.4990000000000006E-2</v>
      </c>
      <c r="G42" s="7">
        <v>6.3829999999999998E-2</v>
      </c>
      <c r="H42" s="7">
        <v>6.7019999999999996E-2</v>
      </c>
      <c r="I42" s="7">
        <v>595</v>
      </c>
      <c r="J42" s="7">
        <v>595</v>
      </c>
      <c r="K42" s="7">
        <v>163.1</v>
      </c>
      <c r="L42" s="7">
        <v>6.5210000000000004E-2</v>
      </c>
      <c r="M42" s="7">
        <v>100</v>
      </c>
      <c r="N42" s="7">
        <v>163.1</v>
      </c>
      <c r="P42" s="7">
        <f t="shared" si="2"/>
        <v>0.12792156862745097</v>
      </c>
    </row>
    <row r="43" spans="2:19" x14ac:dyDescent="0.25">
      <c r="B43" t="s">
        <v>100</v>
      </c>
      <c r="C43" s="7">
        <v>2500</v>
      </c>
      <c r="D43" s="7">
        <v>7.3639999999999997E-2</v>
      </c>
      <c r="E43" s="7">
        <v>5.2899999999999996E-4</v>
      </c>
      <c r="F43" s="7">
        <v>7.3669999999999999E-2</v>
      </c>
      <c r="G43" s="7">
        <v>7.2120000000000004E-2</v>
      </c>
      <c r="H43" s="7">
        <v>7.5420000000000001E-2</v>
      </c>
      <c r="I43" s="7">
        <v>595</v>
      </c>
      <c r="J43" s="7">
        <v>595</v>
      </c>
      <c r="K43" s="7">
        <v>184.1</v>
      </c>
      <c r="L43" s="7">
        <v>7.3630000000000001E-2</v>
      </c>
      <c r="M43" s="7">
        <v>100</v>
      </c>
      <c r="N43" s="7">
        <v>184.1</v>
      </c>
      <c r="P43" s="7">
        <f t="shared" si="2"/>
        <v>0.14439215686274509</v>
      </c>
    </row>
    <row r="44" spans="2:19" x14ac:dyDescent="0.25">
      <c r="B44" t="s">
        <v>101</v>
      </c>
      <c r="C44" s="7">
        <v>2500</v>
      </c>
      <c r="D44" s="7">
        <v>9.0440000000000006E-2</v>
      </c>
      <c r="E44" s="7">
        <v>5.6150000000000004E-4</v>
      </c>
      <c r="F44" s="7">
        <v>9.0399999999999994E-2</v>
      </c>
      <c r="G44" s="7">
        <v>8.8830000000000006E-2</v>
      </c>
      <c r="H44" s="7">
        <v>9.2090000000000005E-2</v>
      </c>
      <c r="I44" s="7">
        <v>595</v>
      </c>
      <c r="J44" s="7">
        <v>595</v>
      </c>
      <c r="K44" s="7">
        <v>226.1</v>
      </c>
      <c r="L44" s="7">
        <v>9.0429999999999996E-2</v>
      </c>
      <c r="M44" s="7">
        <v>100</v>
      </c>
      <c r="N44" s="7">
        <v>226.1</v>
      </c>
      <c r="P44" s="7">
        <f t="shared" si="2"/>
        <v>0.17733333333333332</v>
      </c>
    </row>
    <row r="45" spans="2:19" x14ac:dyDescent="0.25">
      <c r="B45" t="s">
        <v>102</v>
      </c>
      <c r="C45" s="7">
        <v>2500</v>
      </c>
      <c r="D45" s="7">
        <v>0.5101</v>
      </c>
      <c r="E45" s="7">
        <v>1.951E-3</v>
      </c>
      <c r="F45" s="7">
        <v>0.50829999999999997</v>
      </c>
      <c r="G45" s="7">
        <v>0.50429999999999997</v>
      </c>
      <c r="H45" s="7">
        <v>0.51670000000000005</v>
      </c>
      <c r="I45" s="7">
        <v>595</v>
      </c>
      <c r="J45" s="7">
        <v>595</v>
      </c>
      <c r="K45" s="7">
        <v>1275</v>
      </c>
      <c r="L45" s="7">
        <v>0.51</v>
      </c>
      <c r="M45" s="7">
        <v>100</v>
      </c>
      <c r="N45" s="7">
        <v>1275</v>
      </c>
      <c r="P45" s="7">
        <f t="shared" si="2"/>
        <v>1</v>
      </c>
    </row>
    <row r="47" spans="2:19" x14ac:dyDescent="0.25">
      <c r="B47" s="33" t="s">
        <v>156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19"/>
    </row>
    <row r="49" spans="2:18" x14ac:dyDescent="0.25"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28</v>
      </c>
      <c r="N49" t="s">
        <v>29</v>
      </c>
      <c r="P49" t="s">
        <v>36</v>
      </c>
      <c r="R49" t="s">
        <v>154</v>
      </c>
    </row>
    <row r="50" spans="2:18" x14ac:dyDescent="0.25">
      <c r="B50" t="s">
        <v>103</v>
      </c>
      <c r="C50" s="7">
        <v>22500</v>
      </c>
      <c r="D50" s="7">
        <v>6.1850000000000004E-3</v>
      </c>
      <c r="E50" s="7">
        <v>5.687E-4</v>
      </c>
      <c r="F50" s="7">
        <v>5.9360000000000003E-3</v>
      </c>
      <c r="G50" s="7">
        <v>4.581E-3</v>
      </c>
      <c r="H50" s="7">
        <v>1.383E-2</v>
      </c>
      <c r="I50" s="7">
        <v>595</v>
      </c>
      <c r="J50" s="7">
        <v>595</v>
      </c>
      <c r="K50" s="7">
        <v>139.19999999999999</v>
      </c>
      <c r="L50" s="7">
        <v>6.1190000000000003E-3</v>
      </c>
      <c r="M50" s="7">
        <v>100</v>
      </c>
      <c r="N50" s="7">
        <v>139.19999999999999</v>
      </c>
      <c r="P50" s="7">
        <f>K50/K$59</f>
        <v>1.1796610169491524E-2</v>
      </c>
      <c r="R50" s="28">
        <f>(P36-P50)/P50</f>
        <v>-1.0682893847193873E-2</v>
      </c>
    </row>
    <row r="51" spans="2:18" x14ac:dyDescent="0.25">
      <c r="B51" t="s">
        <v>104</v>
      </c>
      <c r="C51" s="7">
        <v>22500</v>
      </c>
      <c r="D51" s="7">
        <v>6.352E-3</v>
      </c>
      <c r="E51" s="7">
        <v>6.3259999999999998E-4</v>
      </c>
      <c r="F51" s="7">
        <v>6.0260000000000001E-3</v>
      </c>
      <c r="G51" s="7">
        <v>4.666E-3</v>
      </c>
      <c r="H51" s="7">
        <v>1.447E-2</v>
      </c>
      <c r="I51" s="7">
        <v>595</v>
      </c>
      <c r="J51" s="7">
        <v>595</v>
      </c>
      <c r="K51" s="7">
        <v>142.9</v>
      </c>
      <c r="L51" s="7">
        <v>6.2690000000000003E-3</v>
      </c>
      <c r="M51" s="7">
        <v>100</v>
      </c>
      <c r="N51" s="7">
        <v>142.9</v>
      </c>
      <c r="P51" s="7">
        <f t="shared" ref="P51:P59" si="3">K51/K$59</f>
        <v>1.2110169491525425E-2</v>
      </c>
      <c r="R51" s="28">
        <f t="shared" ref="R51:R59" si="4">(P37-P51)/P51</f>
        <v>-9.0972708187544576E-3</v>
      </c>
    </row>
    <row r="52" spans="2:18" x14ac:dyDescent="0.25">
      <c r="B52" t="s">
        <v>95</v>
      </c>
      <c r="C52" s="7">
        <v>22500</v>
      </c>
      <c r="D52" s="7">
        <v>1.559E-2</v>
      </c>
      <c r="E52" s="7">
        <v>5.8100000000000003E-4</v>
      </c>
      <c r="F52" s="7">
        <v>1.549E-2</v>
      </c>
      <c r="G52" s="7">
        <v>1.3780000000000001E-2</v>
      </c>
      <c r="H52" s="7">
        <v>2.3189999999999999E-2</v>
      </c>
      <c r="I52" s="7">
        <v>595</v>
      </c>
      <c r="J52" s="7">
        <v>595</v>
      </c>
      <c r="K52" s="7">
        <v>350.8</v>
      </c>
      <c r="L52" s="7">
        <v>1.555E-2</v>
      </c>
      <c r="M52" s="7">
        <v>100</v>
      </c>
      <c r="N52" s="7">
        <v>350.8</v>
      </c>
      <c r="P52" s="7">
        <f t="shared" si="3"/>
        <v>2.9728813559322036E-2</v>
      </c>
      <c r="R52" s="28">
        <f t="shared" si="4"/>
        <v>-1.9585485277350883E-3</v>
      </c>
    </row>
    <row r="53" spans="2:18" x14ac:dyDescent="0.25">
      <c r="B53" t="s">
        <v>96</v>
      </c>
      <c r="C53" s="7">
        <v>22500</v>
      </c>
      <c r="D53" s="7">
        <v>2.3990000000000001E-2</v>
      </c>
      <c r="E53" s="7">
        <v>6.6089999999999996E-4</v>
      </c>
      <c r="F53" s="7">
        <v>2.385E-2</v>
      </c>
      <c r="G53" s="7">
        <v>2.198E-2</v>
      </c>
      <c r="H53" s="7">
        <v>3.1489999999999997E-2</v>
      </c>
      <c r="I53" s="7">
        <v>595</v>
      </c>
      <c r="J53" s="7">
        <v>595</v>
      </c>
      <c r="K53" s="7">
        <v>539.79999999999995</v>
      </c>
      <c r="L53" s="7">
        <v>2.3970000000000002E-2</v>
      </c>
      <c r="M53" s="7">
        <v>100</v>
      </c>
      <c r="N53" s="7">
        <v>539.79999999999995</v>
      </c>
      <c r="P53" s="7">
        <f t="shared" si="3"/>
        <v>4.5745762711864403E-2</v>
      </c>
      <c r="R53" s="28">
        <f t="shared" si="4"/>
        <v>-9.5750786420526618E-4</v>
      </c>
    </row>
    <row r="54" spans="2:18" x14ac:dyDescent="0.25">
      <c r="B54" t="s">
        <v>97</v>
      </c>
      <c r="C54" s="7">
        <v>22500</v>
      </c>
      <c r="D54" s="7">
        <v>3.2570000000000002E-2</v>
      </c>
      <c r="E54" s="7">
        <v>7.5040000000000003E-4</v>
      </c>
      <c r="F54" s="7">
        <v>3.2710000000000003E-2</v>
      </c>
      <c r="G54" s="7">
        <v>3.0450000000000001E-2</v>
      </c>
      <c r="H54" s="7">
        <v>3.9710000000000002E-2</v>
      </c>
      <c r="I54" s="7">
        <v>595</v>
      </c>
      <c r="J54" s="7">
        <v>595</v>
      </c>
      <c r="K54" s="7">
        <v>732.9</v>
      </c>
      <c r="L54" s="7">
        <v>3.2570000000000002E-2</v>
      </c>
      <c r="M54" s="7">
        <v>100</v>
      </c>
      <c r="N54" s="7">
        <v>732.9</v>
      </c>
      <c r="P54" s="7">
        <f t="shared" si="3"/>
        <v>6.2110169491525424E-2</v>
      </c>
      <c r="R54" s="28">
        <f t="shared" si="4"/>
        <v>-8.8983062183801401E-4</v>
      </c>
    </row>
    <row r="55" spans="2:18" x14ac:dyDescent="0.25">
      <c r="B55" t="s">
        <v>98</v>
      </c>
      <c r="C55" s="7">
        <v>22500</v>
      </c>
      <c r="D55" s="7">
        <v>4.9889999999999997E-2</v>
      </c>
      <c r="E55" s="7">
        <v>9.794999999999999E-4</v>
      </c>
      <c r="F55" s="7">
        <v>5.0169999999999999E-2</v>
      </c>
      <c r="G55" s="7">
        <v>4.7169999999999997E-2</v>
      </c>
      <c r="H55" s="7">
        <v>5.6579999999999998E-2</v>
      </c>
      <c r="I55" s="7">
        <v>595</v>
      </c>
      <c r="J55" s="7">
        <v>595</v>
      </c>
      <c r="K55" s="7">
        <v>1123</v>
      </c>
      <c r="L55" s="7">
        <v>4.9939999999999998E-2</v>
      </c>
      <c r="M55" s="7">
        <v>100</v>
      </c>
      <c r="N55" s="7">
        <v>1123</v>
      </c>
      <c r="P55" s="7">
        <f t="shared" si="3"/>
        <v>9.5169491525423727E-2</v>
      </c>
      <c r="R55" s="28">
        <f t="shared" si="4"/>
        <v>-1.1628516054685253E-3</v>
      </c>
    </row>
    <row r="56" spans="2:18" x14ac:dyDescent="0.25">
      <c r="B56" t="s">
        <v>99</v>
      </c>
      <c r="C56" s="7">
        <v>22500</v>
      </c>
      <c r="D56" s="7">
        <v>6.7129999999999995E-2</v>
      </c>
      <c r="E56" s="7">
        <v>1.2340000000000001E-3</v>
      </c>
      <c r="F56" s="7">
        <v>6.7849999999999994E-2</v>
      </c>
      <c r="G56" s="7">
        <v>6.3829999999999998E-2</v>
      </c>
      <c r="H56" s="7">
        <v>7.3669999999999999E-2</v>
      </c>
      <c r="I56" s="7">
        <v>595</v>
      </c>
      <c r="J56" s="7">
        <v>595</v>
      </c>
      <c r="K56" s="7">
        <v>1510</v>
      </c>
      <c r="L56" s="7">
        <v>6.7229999999999998E-2</v>
      </c>
      <c r="M56" s="7">
        <v>100</v>
      </c>
      <c r="N56" s="7">
        <v>1510</v>
      </c>
      <c r="P56" s="7">
        <f t="shared" si="3"/>
        <v>0.12796610169491526</v>
      </c>
      <c r="R56" s="28">
        <f t="shared" si="4"/>
        <v>-3.4800675237000629E-4</v>
      </c>
    </row>
    <row r="57" spans="2:18" x14ac:dyDescent="0.25">
      <c r="B57" t="s">
        <v>100</v>
      </c>
      <c r="C57" s="7">
        <v>22500</v>
      </c>
      <c r="D57" s="7">
        <v>7.5759999999999994E-2</v>
      </c>
      <c r="E57" s="7">
        <v>1.354E-3</v>
      </c>
      <c r="F57" s="7">
        <v>7.6310000000000003E-2</v>
      </c>
      <c r="G57" s="7">
        <v>7.2120000000000004E-2</v>
      </c>
      <c r="H57" s="7">
        <v>8.1570000000000004E-2</v>
      </c>
      <c r="I57" s="7">
        <v>595</v>
      </c>
      <c r="J57" s="7">
        <v>595</v>
      </c>
      <c r="K57" s="7">
        <v>1705</v>
      </c>
      <c r="L57" s="7">
        <v>7.5889999999999999E-2</v>
      </c>
      <c r="M57" s="7">
        <v>100</v>
      </c>
      <c r="N57" s="7">
        <v>1705</v>
      </c>
      <c r="P57" s="7">
        <f t="shared" si="3"/>
        <v>0.14449152542372881</v>
      </c>
      <c r="R57" s="28">
        <f t="shared" si="4"/>
        <v>-6.8771203496064467E-4</v>
      </c>
    </row>
    <row r="58" spans="2:18" x14ac:dyDescent="0.25">
      <c r="B58" t="s">
        <v>101</v>
      </c>
      <c r="C58" s="7">
        <v>22500</v>
      </c>
      <c r="D58" s="7">
        <v>9.3039999999999998E-2</v>
      </c>
      <c r="E58" s="7">
        <v>1.6180000000000001E-3</v>
      </c>
      <c r="F58" s="7">
        <v>9.3649999999999997E-2</v>
      </c>
      <c r="G58" s="7">
        <v>8.8830000000000006E-2</v>
      </c>
      <c r="H58" s="7">
        <v>9.8430000000000004E-2</v>
      </c>
      <c r="I58" s="7">
        <v>595</v>
      </c>
      <c r="J58" s="7">
        <v>595</v>
      </c>
      <c r="K58" s="7">
        <v>2093</v>
      </c>
      <c r="L58" s="7">
        <v>9.3219999999999997E-2</v>
      </c>
      <c r="M58" s="7">
        <v>100</v>
      </c>
      <c r="N58" s="7">
        <v>2093</v>
      </c>
      <c r="P58" s="7">
        <f t="shared" si="3"/>
        <v>0.17737288135593221</v>
      </c>
      <c r="R58" s="28">
        <f t="shared" si="4"/>
        <v>-2.2296544035688723E-4</v>
      </c>
    </row>
    <row r="59" spans="2:18" x14ac:dyDescent="0.25">
      <c r="B59" t="s">
        <v>102</v>
      </c>
      <c r="C59" s="7">
        <v>22500</v>
      </c>
      <c r="D59" s="7">
        <v>0.52459999999999996</v>
      </c>
      <c r="E59" s="7">
        <v>8.5959999999999995E-3</v>
      </c>
      <c r="F59" s="7">
        <v>0.52910000000000001</v>
      </c>
      <c r="G59" s="7">
        <v>0.50429999999999997</v>
      </c>
      <c r="H59" s="7">
        <v>0.5474</v>
      </c>
      <c r="I59" s="7">
        <v>595</v>
      </c>
      <c r="J59" s="7">
        <v>595</v>
      </c>
      <c r="K59" s="7">
        <v>11800</v>
      </c>
      <c r="L59" s="7">
        <v>0.52529999999999999</v>
      </c>
      <c r="M59" s="7">
        <v>100</v>
      </c>
      <c r="N59" s="7">
        <v>11800</v>
      </c>
      <c r="P59" s="7">
        <f t="shared" si="3"/>
        <v>1</v>
      </c>
      <c r="R59" s="28">
        <f t="shared" si="4"/>
        <v>0</v>
      </c>
    </row>
  </sheetData>
  <mergeCells count="6">
    <mergeCell ref="B5:R5"/>
    <mergeCell ref="B3:R3"/>
    <mergeCell ref="B33:R33"/>
    <mergeCell ref="B31:R31"/>
    <mergeCell ref="B47:R47"/>
    <mergeCell ref="B18:R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"/>
  <sheetViews>
    <sheetView topLeftCell="A13" workbookViewId="0">
      <selection activeCell="M16" sqref="M16"/>
    </sheetView>
  </sheetViews>
  <sheetFormatPr defaultRowHeight="15.75" x14ac:dyDescent="0.25"/>
  <cols>
    <col min="1" max="1" width="2.625" customWidth="1"/>
    <col min="2" max="6" width="20.625" customWidth="1"/>
    <col min="7" max="7" width="2.625" customWidth="1"/>
  </cols>
  <sheetData>
    <row r="2" spans="2:7" x14ac:dyDescent="0.25">
      <c r="B2" t="s">
        <v>2</v>
      </c>
      <c r="C2" s="5" t="s">
        <v>50</v>
      </c>
    </row>
    <row r="3" spans="2:7" x14ac:dyDescent="0.25">
      <c r="B3" t="s">
        <v>3</v>
      </c>
      <c r="C3" s="6">
        <v>44942</v>
      </c>
    </row>
    <row r="4" spans="2:7" x14ac:dyDescent="0.25">
      <c r="B4" t="s">
        <v>4</v>
      </c>
      <c r="C4" s="5"/>
    </row>
    <row r="5" spans="2:7" x14ac:dyDescent="0.25">
      <c r="B5" t="s">
        <v>5</v>
      </c>
      <c r="C5" s="5" t="s">
        <v>52</v>
      </c>
    </row>
    <row r="7" spans="2:7" x14ac:dyDescent="0.25">
      <c r="B7" t="s">
        <v>6</v>
      </c>
      <c r="C7" t="s">
        <v>51</v>
      </c>
    </row>
    <row r="9" spans="2:7" ht="80.25" customHeight="1" x14ac:dyDescent="0.25">
      <c r="B9" s="3" t="s">
        <v>7</v>
      </c>
      <c r="C9" s="22" t="s">
        <v>62</v>
      </c>
      <c r="D9" s="22"/>
      <c r="E9" s="22"/>
      <c r="F9" s="22"/>
      <c r="G9" s="2"/>
    </row>
    <row r="11" spans="2:7" ht="18" thickBot="1" x14ac:dyDescent="0.35">
      <c r="B11" s="4" t="s">
        <v>53</v>
      </c>
    </row>
    <row r="12" spans="2:7" ht="16.5" thickTop="1" x14ac:dyDescent="0.25"/>
    <row r="13" spans="2:7" x14ac:dyDescent="0.25">
      <c r="C13" t="s">
        <v>54</v>
      </c>
      <c r="D13" t="s">
        <v>9</v>
      </c>
      <c r="E13" t="s">
        <v>10</v>
      </c>
      <c r="F13" t="s">
        <v>55</v>
      </c>
    </row>
    <row r="14" spans="2:7" x14ac:dyDescent="0.25">
      <c r="B14" t="s">
        <v>42</v>
      </c>
      <c r="C14" s="16">
        <v>1.66</v>
      </c>
      <c r="D14" s="16">
        <v>1.66</v>
      </c>
      <c r="E14" s="16"/>
      <c r="F14" s="16">
        <f>AVERAGE(C14:E14)</f>
        <v>1.66</v>
      </c>
    </row>
    <row r="15" spans="2:7" x14ac:dyDescent="0.25">
      <c r="B15" t="s">
        <v>13</v>
      </c>
      <c r="C15" s="16">
        <v>9.7000000000000003E-2</v>
      </c>
      <c r="D15" s="16">
        <v>9.5000000000000001E-2</v>
      </c>
      <c r="E15" s="16"/>
      <c r="F15" s="16">
        <f t="shared" ref="F15:F16" si="0">AVERAGE(C15:E15)</f>
        <v>9.6000000000000002E-2</v>
      </c>
    </row>
    <row r="16" spans="2:7" x14ac:dyDescent="0.25">
      <c r="B16" t="s">
        <v>14</v>
      </c>
      <c r="C16" s="16">
        <v>9.2999999999999999E-2</v>
      </c>
      <c r="D16" s="16">
        <v>9.2999999999999999E-2</v>
      </c>
      <c r="E16" s="16"/>
      <c r="F16" s="16">
        <f t="shared" si="0"/>
        <v>9.2999999999999999E-2</v>
      </c>
    </row>
    <row r="17" spans="2:6" x14ac:dyDescent="0.25">
      <c r="B17" t="s">
        <v>56</v>
      </c>
      <c r="C17" s="16"/>
      <c r="D17" s="16"/>
      <c r="E17" s="16"/>
      <c r="F17" s="17">
        <f>0.2*AVERAGE(F15/F14,F16/F14)</f>
        <v>1.1385542168674699E-2</v>
      </c>
    </row>
    <row r="19" spans="2:6" ht="18" thickBot="1" x14ac:dyDescent="0.35">
      <c r="B19" s="4" t="s">
        <v>57</v>
      </c>
    </row>
    <row r="20" spans="2:6" ht="16.5" thickTop="1" x14ac:dyDescent="0.25"/>
    <row r="21" spans="2:6" x14ac:dyDescent="0.25">
      <c r="C21" t="s">
        <v>54</v>
      </c>
      <c r="D21" t="s">
        <v>9</v>
      </c>
      <c r="E21" t="s">
        <v>10</v>
      </c>
      <c r="F21" t="s">
        <v>55</v>
      </c>
    </row>
    <row r="22" spans="2:6" x14ac:dyDescent="0.25">
      <c r="B22" t="s">
        <v>42</v>
      </c>
    </row>
    <row r="23" spans="2:6" x14ac:dyDescent="0.25">
      <c r="B23" t="s">
        <v>13</v>
      </c>
    </row>
    <row r="24" spans="2:6" x14ac:dyDescent="0.25">
      <c r="B24" t="s">
        <v>14</v>
      </c>
    </row>
    <row r="25" spans="2:6" x14ac:dyDescent="0.25">
      <c r="B25" t="s">
        <v>56</v>
      </c>
    </row>
    <row r="27" spans="2:6" ht="18" thickBot="1" x14ac:dyDescent="0.35">
      <c r="B27" s="4" t="s">
        <v>58</v>
      </c>
    </row>
    <row r="28" spans="2:6" ht="16.5" thickTop="1" x14ac:dyDescent="0.25"/>
    <row r="29" spans="2:6" x14ac:dyDescent="0.25">
      <c r="C29" t="s">
        <v>54</v>
      </c>
      <c r="D29" t="s">
        <v>9</v>
      </c>
      <c r="E29" t="s">
        <v>10</v>
      </c>
      <c r="F29" t="s">
        <v>55</v>
      </c>
    </row>
    <row r="30" spans="2:6" x14ac:dyDescent="0.25">
      <c r="B30" t="s">
        <v>42</v>
      </c>
    </row>
    <row r="31" spans="2:6" x14ac:dyDescent="0.25">
      <c r="B31" t="s">
        <v>13</v>
      </c>
    </row>
    <row r="32" spans="2:6" x14ac:dyDescent="0.25">
      <c r="B32" t="s">
        <v>14</v>
      </c>
    </row>
    <row r="33" spans="2:6" x14ac:dyDescent="0.25">
      <c r="B33" t="s">
        <v>56</v>
      </c>
    </row>
    <row r="36" spans="2:6" ht="18" thickBot="1" x14ac:dyDescent="0.35">
      <c r="B36" s="4" t="s">
        <v>59</v>
      </c>
    </row>
    <row r="37" spans="2:6" ht="16.5" thickTop="1" x14ac:dyDescent="0.25"/>
    <row r="38" spans="2:6" x14ac:dyDescent="0.25">
      <c r="C38" t="s">
        <v>54</v>
      </c>
      <c r="D38" t="s">
        <v>9</v>
      </c>
      <c r="E38" t="s">
        <v>10</v>
      </c>
      <c r="F38" t="s">
        <v>55</v>
      </c>
    </row>
    <row r="39" spans="2:6" x14ac:dyDescent="0.25">
      <c r="B39" t="s">
        <v>42</v>
      </c>
    </row>
    <row r="40" spans="2:6" x14ac:dyDescent="0.25">
      <c r="B40" t="s">
        <v>13</v>
      </c>
    </row>
    <row r="41" spans="2:6" x14ac:dyDescent="0.25">
      <c r="B41" t="s">
        <v>14</v>
      </c>
    </row>
    <row r="42" spans="2:6" x14ac:dyDescent="0.25">
      <c r="B42" t="s">
        <v>56</v>
      </c>
    </row>
  </sheetData>
  <mergeCells count="1">
    <mergeCell ref="C9:F9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Notes</vt:lpstr>
      <vt:lpstr>ImageJ</vt:lpstr>
      <vt:lpstr>ROISize</vt:lpstr>
      <vt:lpstr>Transmission</vt:lpstr>
      <vt:lpstr>TRANSMISSION_10X</vt:lpstr>
      <vt:lpstr>TRANSMISSION_10X_FFF</vt:lpstr>
      <vt:lpstr>TRANSMISSION_6X</vt:lpstr>
      <vt:lpstr>TRANSMISSION_6X_FFF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Liam Thomas Edward Stubbington</dc:creator>
  <cp:keywords/>
  <dc:description/>
  <cp:lastModifiedBy>Stubbington, Liam</cp:lastModifiedBy>
  <cp:revision/>
  <dcterms:created xsi:type="dcterms:W3CDTF">2022-12-19T09:39:36Z</dcterms:created>
  <dcterms:modified xsi:type="dcterms:W3CDTF">2023-02-02T13:08:55Z</dcterms:modified>
  <cp:category/>
  <cp:contentStatus/>
</cp:coreProperties>
</file>