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U:\Liam Stubbington\beam-model\sweeping_gap\"/>
    </mc:Choice>
  </mc:AlternateContent>
  <bookViews>
    <workbookView xWindow="19320" yWindow="0" windowWidth="9480" windowHeight="12285" activeTab="2"/>
  </bookViews>
  <sheets>
    <sheet name="Notes" sheetId="1" r:id="rId1"/>
    <sheet name="Analysis" sheetId="7" r:id="rId2"/>
    <sheet name="Analysis_2" sheetId="9" r:id="rId3"/>
    <sheet name="ImageJ" sheetId="8" r:id="rId4"/>
    <sheet name="6FFF_measurements" sheetId="2" r:id="rId5"/>
    <sheet name="10FFF_measurements" sheetId="5" r:id="rId6"/>
    <sheet name="6cFF_measurements" sheetId="4" r:id="rId7"/>
    <sheet name="10cFF_measurements" sheetId="6" r:id="rId8"/>
  </sheets>
  <definedNames>
    <definedName name="TRANSMISSION_10X_FFF">ImageJ!$B$57</definedName>
    <definedName name="TRANSMISSION_6X">ImageJ!$B$19</definedName>
    <definedName name="TRANSMISSION_6X_FFF">ImageJ!$B$38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7" i="9" l="1"/>
  <c r="H25" i="9"/>
  <c r="H24" i="9"/>
  <c r="H26" i="9"/>
  <c r="C24" i="9"/>
  <c r="D24" i="9"/>
  <c r="F61" i="2" a="1"/>
  <c r="F61" i="2" s="1"/>
  <c r="J50" i="2"/>
  <c r="J51" i="2"/>
  <c r="J52" i="2"/>
  <c r="J53" i="2"/>
  <c r="J54" i="2"/>
  <c r="J55" i="2"/>
  <c r="J56" i="2"/>
  <c r="J57" i="2"/>
  <c r="J49" i="2"/>
  <c r="F60" i="2" a="1"/>
  <c r="F60" i="2" s="1"/>
  <c r="H50" i="2"/>
  <c r="H51" i="2"/>
  <c r="H52" i="2"/>
  <c r="H53" i="2"/>
  <c r="H54" i="2"/>
  <c r="H55" i="2"/>
  <c r="H56" i="2"/>
  <c r="H57" i="2"/>
  <c r="H49" i="2"/>
  <c r="G49" i="2"/>
  <c r="F49" i="2"/>
  <c r="G15" i="9"/>
  <c r="G14" i="9"/>
  <c r="G13" i="9"/>
  <c r="D25" i="9"/>
  <c r="C25" i="9"/>
  <c r="L37" i="5"/>
  <c r="L31" i="5"/>
  <c r="L32" i="5"/>
  <c r="L33" i="5"/>
  <c r="L34" i="5"/>
  <c r="L35" i="5"/>
  <c r="L36" i="5"/>
  <c r="L30" i="5"/>
  <c r="F58" i="5" a="1"/>
  <c r="F58" i="5" s="1"/>
  <c r="F48" i="5"/>
  <c r="J31" i="4"/>
  <c r="J32" i="4"/>
  <c r="J33" i="4"/>
  <c r="J34" i="4"/>
  <c r="J30" i="4"/>
  <c r="I31" i="4"/>
  <c r="I32" i="4"/>
  <c r="I33" i="4"/>
  <c r="I34" i="4"/>
  <c r="I30" i="4"/>
  <c r="F38" i="4" a="1"/>
  <c r="F38" i="4" s="1"/>
  <c r="F37" i="4" a="1"/>
  <c r="F37" i="4" s="1"/>
  <c r="C15" i="9" a="1"/>
  <c r="C15" i="9" s="1"/>
  <c r="C14" i="9" a="1"/>
  <c r="C14" i="9" s="1"/>
  <c r="E5" i="9"/>
  <c r="E14" i="9" s="1"/>
  <c r="H49" i="4"/>
  <c r="H48" i="4"/>
  <c r="H47" i="4"/>
  <c r="H46" i="4"/>
  <c r="H45" i="4"/>
  <c r="E24" i="4"/>
  <c r="D24" i="4"/>
  <c r="C24" i="4"/>
  <c r="H34" i="4"/>
  <c r="H33" i="4"/>
  <c r="H32" i="4"/>
  <c r="H31" i="4"/>
  <c r="H30" i="4"/>
  <c r="E4" i="9"/>
  <c r="G61" i="2" l="1"/>
  <c r="G60" i="2"/>
  <c r="I57" i="2" s="1"/>
  <c r="I49" i="2"/>
  <c r="G58" i="5"/>
  <c r="G38" i="4"/>
  <c r="G37" i="4"/>
  <c r="D15" i="9"/>
  <c r="D14" i="9"/>
  <c r="I14" i="9" s="1"/>
  <c r="I15" i="9"/>
  <c r="O45" i="8"/>
  <c r="O46" i="8"/>
  <c r="O47" i="8"/>
  <c r="O48" i="8"/>
  <c r="O49" i="8"/>
  <c r="O50" i="8"/>
  <c r="O51" i="8"/>
  <c r="O52" i="8"/>
  <c r="O53" i="8"/>
  <c r="O54" i="8"/>
  <c r="O26" i="8"/>
  <c r="O27" i="8"/>
  <c r="O28" i="8"/>
  <c r="O29" i="8"/>
  <c r="O30" i="8"/>
  <c r="O31" i="8"/>
  <c r="O32" i="8"/>
  <c r="O33" i="8"/>
  <c r="O34" i="8"/>
  <c r="O35" i="8"/>
  <c r="O7" i="8"/>
  <c r="O8" i="8"/>
  <c r="O9" i="8"/>
  <c r="O10" i="8"/>
  <c r="O11" i="8"/>
  <c r="O12" i="8"/>
  <c r="O13" i="8"/>
  <c r="O14" i="8"/>
  <c r="B19" i="8" s="1"/>
  <c r="O15" i="8"/>
  <c r="O16" i="8"/>
  <c r="I55" i="2" l="1"/>
  <c r="I51" i="2"/>
  <c r="I54" i="2"/>
  <c r="I56" i="2"/>
  <c r="I50" i="2"/>
  <c r="I53" i="2"/>
  <c r="I52" i="2"/>
  <c r="B60" i="8" a="1"/>
  <c r="B60" i="8" s="1"/>
  <c r="B57" i="8"/>
  <c r="D57" i="8" s="1"/>
  <c r="B41" i="8" a="1"/>
  <c r="B41" i="8" s="1"/>
  <c r="B38" i="8" a="1"/>
  <c r="B38" i="8" s="1"/>
  <c r="D38" i="8" s="1"/>
  <c r="B22" i="8" a="1"/>
  <c r="B22" i="8" s="1"/>
  <c r="D19" i="8"/>
  <c r="I57" i="7"/>
  <c r="I59" i="7"/>
  <c r="I62" i="7"/>
  <c r="I55" i="7"/>
  <c r="G56" i="7"/>
  <c r="G65" i="7" s="1"/>
  <c r="G57" i="7"/>
  <c r="G58" i="7"/>
  <c r="G66" i="7" s="1"/>
  <c r="G59" i="7"/>
  <c r="G60" i="7"/>
  <c r="G67" i="7" s="1"/>
  <c r="G61" i="7"/>
  <c r="G62" i="7"/>
  <c r="G55" i="7"/>
  <c r="E57" i="7"/>
  <c r="E62" i="7"/>
  <c r="G54" i="7"/>
  <c r="C56" i="7"/>
  <c r="C60" i="7"/>
  <c r="C62" i="7"/>
  <c r="C20" i="7" a="1"/>
  <c r="D20" i="7" s="1"/>
  <c r="F55" i="5"/>
  <c r="F54" i="5"/>
  <c r="F53" i="5"/>
  <c r="F52" i="5"/>
  <c r="F51" i="5"/>
  <c r="F50" i="5"/>
  <c r="E56" i="7" s="1"/>
  <c r="F49" i="5"/>
  <c r="F31" i="5"/>
  <c r="F32" i="5"/>
  <c r="F33" i="5"/>
  <c r="F34" i="5"/>
  <c r="F35" i="5"/>
  <c r="F36" i="5"/>
  <c r="E54" i="7" s="1"/>
  <c r="F37" i="5"/>
  <c r="F30" i="5"/>
  <c r="H6" i="7"/>
  <c r="H5" i="7"/>
  <c r="F57" i="2"/>
  <c r="F56" i="2"/>
  <c r="F55" i="2"/>
  <c r="F54" i="2"/>
  <c r="F53" i="2"/>
  <c r="F52" i="2"/>
  <c r="F51" i="2"/>
  <c r="F50" i="2"/>
  <c r="D23" i="2"/>
  <c r="C23" i="2"/>
  <c r="D23" i="6"/>
  <c r="J6" i="7" s="1"/>
  <c r="D22" i="6"/>
  <c r="C23" i="6"/>
  <c r="J5" i="7" s="1"/>
  <c r="C22" i="6"/>
  <c r="D23" i="5"/>
  <c r="F6" i="7" s="1"/>
  <c r="D22" i="5"/>
  <c r="C23" i="5"/>
  <c r="F5" i="7" s="1"/>
  <c r="C22" i="5"/>
  <c r="G6" i="7"/>
  <c r="G5" i="7"/>
  <c r="H4" i="7"/>
  <c r="G4" i="7"/>
  <c r="C55" i="7" l="1"/>
  <c r="C61" i="7"/>
  <c r="I5" i="7"/>
  <c r="I6" i="7"/>
  <c r="E5" i="7"/>
  <c r="E6" i="7"/>
  <c r="E55" i="7"/>
  <c r="E61" i="7"/>
  <c r="C18" i="7" a="1"/>
  <c r="C18" i="7" s="1"/>
  <c r="E60" i="7"/>
  <c r="E59" i="7"/>
  <c r="E58" i="7"/>
  <c r="C59" i="7"/>
  <c r="C58" i="7"/>
  <c r="C57" i="7"/>
  <c r="I26" i="9"/>
  <c r="G26" i="9"/>
  <c r="C60" i="8"/>
  <c r="D60" i="8" s="1"/>
  <c r="E60" i="8" s="1"/>
  <c r="C22" i="8"/>
  <c r="D22" i="8" s="1"/>
  <c r="E22" i="8" s="1"/>
  <c r="C41" i="8"/>
  <c r="D41" i="8" s="1"/>
  <c r="E41" i="8" s="1"/>
  <c r="J8" i="7"/>
  <c r="C20" i="7"/>
  <c r="D21" i="7"/>
  <c r="C21" i="7"/>
  <c r="F8" i="7"/>
  <c r="G8" i="7"/>
  <c r="H8" i="7"/>
  <c r="H7" i="7"/>
  <c r="G7" i="7"/>
  <c r="C30" i="6"/>
  <c r="F30" i="6" s="1"/>
  <c r="H30" i="6" s="1"/>
  <c r="F43" i="6"/>
  <c r="F42" i="6"/>
  <c r="F41" i="6"/>
  <c r="F40" i="6"/>
  <c r="F34" i="6"/>
  <c r="F33" i="6"/>
  <c r="F32" i="6"/>
  <c r="F31" i="6"/>
  <c r="C10" i="6"/>
  <c r="C9" i="6"/>
  <c r="C10" i="5"/>
  <c r="C9" i="5"/>
  <c r="F31" i="2"/>
  <c r="F32" i="2"/>
  <c r="F33" i="2"/>
  <c r="F34" i="2"/>
  <c r="F35" i="2"/>
  <c r="F36" i="2"/>
  <c r="F37" i="2"/>
  <c r="D22" i="2"/>
  <c r="C22" i="2"/>
  <c r="F30" i="2"/>
  <c r="C10" i="2"/>
  <c r="C9" i="2"/>
  <c r="G53" i="2" s="1"/>
  <c r="G45" i="4"/>
  <c r="G31" i="4"/>
  <c r="G32" i="4"/>
  <c r="G33" i="4"/>
  <c r="G34" i="4"/>
  <c r="G30" i="4"/>
  <c r="F49" i="4"/>
  <c r="G49" i="4" s="1"/>
  <c r="F48" i="4"/>
  <c r="G48" i="4" s="1"/>
  <c r="F47" i="4"/>
  <c r="G47" i="4" s="1"/>
  <c r="F46" i="4"/>
  <c r="G46" i="4" s="1"/>
  <c r="F45" i="4"/>
  <c r="D23" i="4"/>
  <c r="D22" i="4"/>
  <c r="F31" i="4"/>
  <c r="F32" i="4"/>
  <c r="F33" i="4"/>
  <c r="F34" i="4"/>
  <c r="F30" i="4"/>
  <c r="C22" i="4"/>
  <c r="C10" i="4"/>
  <c r="C9" i="4"/>
  <c r="G52" i="2" l="1"/>
  <c r="C24" i="2"/>
  <c r="D24" i="2"/>
  <c r="G57" i="2"/>
  <c r="H30" i="5"/>
  <c r="G48" i="5"/>
  <c r="G49" i="5"/>
  <c r="H35" i="5"/>
  <c r="C24" i="5"/>
  <c r="H31" i="5"/>
  <c r="H33" i="5"/>
  <c r="H36" i="5"/>
  <c r="H37" i="5"/>
  <c r="C13" i="9" a="1"/>
  <c r="F41" i="5" a="1"/>
  <c r="G55" i="5"/>
  <c r="G50" i="5"/>
  <c r="H37" i="2"/>
  <c r="G51" i="2"/>
  <c r="H36" i="2"/>
  <c r="H35" i="2"/>
  <c r="D5" i="7"/>
  <c r="G50" i="2"/>
  <c r="H34" i="2"/>
  <c r="H33" i="2"/>
  <c r="G56" i="2"/>
  <c r="H32" i="2"/>
  <c r="H31" i="2"/>
  <c r="G55" i="2"/>
  <c r="G54" i="2"/>
  <c r="H30" i="2"/>
  <c r="H43" i="6"/>
  <c r="H41" i="6"/>
  <c r="G34" i="6"/>
  <c r="H34" i="6"/>
  <c r="I4" i="7"/>
  <c r="I7" i="7" s="1"/>
  <c r="F4" i="9"/>
  <c r="D24" i="6"/>
  <c r="H40" i="6"/>
  <c r="C24" i="6"/>
  <c r="E24" i="6" s="1"/>
  <c r="F5" i="9" s="1"/>
  <c r="E15" i="9" s="1"/>
  <c r="H33" i="6"/>
  <c r="H42" i="6"/>
  <c r="G31" i="6"/>
  <c r="H31" i="6"/>
  <c r="G32" i="6"/>
  <c r="H32" i="6"/>
  <c r="G9" i="7"/>
  <c r="I76" i="7" s="1"/>
  <c r="H34" i="5"/>
  <c r="G54" i="5"/>
  <c r="G51" i="5"/>
  <c r="H32" i="5"/>
  <c r="G52" i="5"/>
  <c r="G53" i="5"/>
  <c r="D24" i="5"/>
  <c r="E24" i="5" s="1"/>
  <c r="D5" i="9" s="1"/>
  <c r="E13" i="9" s="1"/>
  <c r="D19" i="7"/>
  <c r="E4" i="7"/>
  <c r="E8" i="7" s="1"/>
  <c r="D4" i="9"/>
  <c r="D18" i="7"/>
  <c r="H18" i="7" s="1"/>
  <c r="C19" i="7"/>
  <c r="C6" i="7"/>
  <c r="C54" i="7"/>
  <c r="C4" i="9"/>
  <c r="C4" i="7"/>
  <c r="C16" i="7" a="1"/>
  <c r="D6" i="7"/>
  <c r="C5" i="7"/>
  <c r="D4" i="7"/>
  <c r="G42" i="6"/>
  <c r="I60" i="7"/>
  <c r="I67" i="7" s="1"/>
  <c r="G40" i="6"/>
  <c r="I56" i="7"/>
  <c r="I65" i="7" s="1"/>
  <c r="G43" i="6"/>
  <c r="I61" i="7"/>
  <c r="G41" i="6"/>
  <c r="I58" i="7"/>
  <c r="I66" i="7" s="1"/>
  <c r="G33" i="6"/>
  <c r="I54" i="7"/>
  <c r="J4" i="7"/>
  <c r="J7" i="7" s="1"/>
  <c r="H20" i="7"/>
  <c r="G30" i="6"/>
  <c r="C22" i="7" a="1"/>
  <c r="F4" i="7"/>
  <c r="F7" i="7" s="1"/>
  <c r="D7" i="7" l="1"/>
  <c r="C7" i="7"/>
  <c r="D8" i="7"/>
  <c r="F41" i="2" a="1"/>
  <c r="E24" i="2"/>
  <c r="C5" i="9" s="1"/>
  <c r="E12" i="9" s="1"/>
  <c r="H48" i="5"/>
  <c r="H53" i="5"/>
  <c r="H50" i="5"/>
  <c r="H51" i="5"/>
  <c r="H55" i="5"/>
  <c r="H49" i="5"/>
  <c r="H52" i="5"/>
  <c r="H54" i="5"/>
  <c r="F41" i="5"/>
  <c r="J35" i="5" s="1"/>
  <c r="G41" i="5"/>
  <c r="J33" i="5"/>
  <c r="C13" i="9"/>
  <c r="D13" i="9"/>
  <c r="F40" i="5" a="1"/>
  <c r="F13" i="9"/>
  <c r="H13" i="9"/>
  <c r="C12" i="9" a="1"/>
  <c r="F40" i="2" a="1"/>
  <c r="I27" i="9"/>
  <c r="G27" i="9"/>
  <c r="I8" i="7"/>
  <c r="I9" i="7" s="1"/>
  <c r="I78" i="7" s="1"/>
  <c r="G25" i="9"/>
  <c r="I25" i="9"/>
  <c r="E7" i="7"/>
  <c r="E9" i="7" s="1"/>
  <c r="G74" i="7" s="1"/>
  <c r="C8" i="7"/>
  <c r="D16" i="7"/>
  <c r="C16" i="7"/>
  <c r="D17" i="7"/>
  <c r="C17" i="7"/>
  <c r="H9" i="7"/>
  <c r="G76" i="7"/>
  <c r="E22" i="7"/>
  <c r="G22" i="7" s="1"/>
  <c r="G78" i="7"/>
  <c r="J57" i="7"/>
  <c r="J58" i="7"/>
  <c r="J66" i="7" s="1"/>
  <c r="J59" i="7"/>
  <c r="J60" i="7"/>
  <c r="J67" i="7" s="1"/>
  <c r="J61" i="7"/>
  <c r="J62" i="7"/>
  <c r="J56" i="7"/>
  <c r="J65" i="7" s="1"/>
  <c r="E20" i="7"/>
  <c r="G20" i="7" s="1"/>
  <c r="J9" i="7"/>
  <c r="D22" i="7"/>
  <c r="D23" i="7"/>
  <c r="C23" i="7"/>
  <c r="C22" i="7"/>
  <c r="C9" i="7" l="1"/>
  <c r="I72" i="7" s="1"/>
  <c r="H12" i="9"/>
  <c r="F12" i="9"/>
  <c r="F41" i="2"/>
  <c r="G41" i="2"/>
  <c r="I13" i="9"/>
  <c r="J13" i="9" s="1"/>
  <c r="J36" i="5"/>
  <c r="J34" i="5"/>
  <c r="J31" i="5"/>
  <c r="J37" i="5"/>
  <c r="J32" i="5"/>
  <c r="F40" i="5"/>
  <c r="G40" i="5"/>
  <c r="J30" i="5"/>
  <c r="F40" i="2"/>
  <c r="G40" i="2"/>
  <c r="C12" i="9"/>
  <c r="D12" i="9"/>
  <c r="E18" i="7"/>
  <c r="G18" i="7" s="1"/>
  <c r="I74" i="7"/>
  <c r="F9" i="7"/>
  <c r="H16" i="7"/>
  <c r="I24" i="9"/>
  <c r="G24" i="9"/>
  <c r="F22" i="7"/>
  <c r="C78" i="7" a="1"/>
  <c r="F20" i="7"/>
  <c r="J20" i="7" s="1"/>
  <c r="H22" i="7"/>
  <c r="G72" i="7" l="1"/>
  <c r="D9" i="7"/>
  <c r="E16" i="7"/>
  <c r="G16" i="7" s="1"/>
  <c r="L31" i="2"/>
  <c r="L35" i="2"/>
  <c r="L36" i="2"/>
  <c r="L37" i="2"/>
  <c r="L32" i="2"/>
  <c r="L33" i="2"/>
  <c r="L30" i="2"/>
  <c r="L34" i="2"/>
  <c r="J36" i="2"/>
  <c r="J31" i="2"/>
  <c r="J30" i="2"/>
  <c r="J32" i="2"/>
  <c r="J33" i="2"/>
  <c r="J37" i="2"/>
  <c r="J35" i="2"/>
  <c r="J34" i="2"/>
  <c r="I31" i="2"/>
  <c r="I30" i="2"/>
  <c r="I35" i="2"/>
  <c r="I32" i="2"/>
  <c r="I37" i="2"/>
  <c r="I33" i="2"/>
  <c r="I34" i="2"/>
  <c r="I36" i="2"/>
  <c r="I12" i="9"/>
  <c r="J12" i="9" s="1"/>
  <c r="I30" i="5"/>
  <c r="I37" i="5"/>
  <c r="I34" i="5"/>
  <c r="I35" i="5"/>
  <c r="I36" i="5"/>
  <c r="I31" i="5"/>
  <c r="I33" i="5"/>
  <c r="I32" i="5"/>
  <c r="F18" i="7"/>
  <c r="J18" i="7" s="1"/>
  <c r="F56" i="7" s="1"/>
  <c r="I22" i="7"/>
  <c r="I20" i="7"/>
  <c r="E26" i="9"/>
  <c r="F26" i="9" s="1"/>
  <c r="J22" i="7"/>
  <c r="J55" i="7" s="1"/>
  <c r="C78" i="7"/>
  <c r="H78" i="7" s="1"/>
  <c r="D79" i="7"/>
  <c r="C79" i="7"/>
  <c r="D78" i="7"/>
  <c r="E78" i="7" s="1"/>
  <c r="F78" i="7" s="1"/>
  <c r="J78" i="7" s="1"/>
  <c r="H56" i="7"/>
  <c r="H65" i="7" s="1"/>
  <c r="H57" i="7"/>
  <c r="H58" i="7"/>
  <c r="H66" i="7" s="1"/>
  <c r="H59" i="7"/>
  <c r="H55" i="7"/>
  <c r="H60" i="7"/>
  <c r="H67" i="7" s="1"/>
  <c r="H62" i="7"/>
  <c r="H61" i="7"/>
  <c r="F16" i="7" l="1"/>
  <c r="I16" i="7" s="1"/>
  <c r="E27" i="9"/>
  <c r="F27" i="9" s="1"/>
  <c r="F55" i="7"/>
  <c r="F61" i="7"/>
  <c r="F60" i="7"/>
  <c r="F58" i="7"/>
  <c r="F59" i="7"/>
  <c r="F57" i="7"/>
  <c r="I18" i="7"/>
  <c r="F62" i="7"/>
  <c r="H15" i="9"/>
  <c r="F15" i="9"/>
  <c r="H14" i="9"/>
  <c r="F14" i="9"/>
  <c r="C76" i="7" a="1"/>
  <c r="J16" i="7" l="1"/>
  <c r="D59" i="7" s="1"/>
  <c r="C74" i="7" a="1"/>
  <c r="D74" i="7" s="1"/>
  <c r="J14" i="9"/>
  <c r="J15" i="9"/>
  <c r="E25" i="9"/>
  <c r="F25" i="9" s="1"/>
  <c r="J25" i="9" s="1"/>
  <c r="C76" i="7"/>
  <c r="H76" i="7" s="1"/>
  <c r="D77" i="7"/>
  <c r="C77" i="7"/>
  <c r="D76" i="7"/>
  <c r="D62" i="7" l="1"/>
  <c r="D61" i="7"/>
  <c r="D55" i="7"/>
  <c r="D56" i="7"/>
  <c r="D60" i="7"/>
  <c r="D58" i="7"/>
  <c r="D57" i="7"/>
  <c r="E76" i="7"/>
  <c r="F76" i="7" s="1"/>
  <c r="J76" i="7" s="1"/>
  <c r="C75" i="7"/>
  <c r="C74" i="7"/>
  <c r="H74" i="7" s="1"/>
  <c r="D75" i="7"/>
  <c r="E74" i="7"/>
  <c r="F74" i="7" s="1"/>
  <c r="J74" i="7" s="1"/>
  <c r="C72" i="7" l="1" a="1"/>
  <c r="E24" i="9"/>
  <c r="F24" i="9" s="1"/>
  <c r="J24" i="9" s="1"/>
  <c r="I51" i="5"/>
  <c r="J51" i="5" s="1"/>
  <c r="I53" i="5"/>
  <c r="J53" i="5" s="1"/>
  <c r="I54" i="5"/>
  <c r="J54" i="5" s="1"/>
  <c r="I48" i="5"/>
  <c r="J48" i="5" s="1"/>
  <c r="I50" i="5"/>
  <c r="J50" i="5" s="1"/>
  <c r="I52" i="5"/>
  <c r="J52" i="5" s="1"/>
  <c r="I55" i="5"/>
  <c r="J55" i="5" s="1"/>
  <c r="I49" i="5"/>
  <c r="J49" i="5" s="1"/>
  <c r="C72" i="7" l="1"/>
  <c r="H72" i="7" s="1"/>
  <c r="D73" i="7"/>
  <c r="C73" i="7"/>
  <c r="D72" i="7"/>
  <c r="E72" i="7" l="1"/>
  <c r="F72" i="7" s="1"/>
  <c r="J72" i="7" s="1"/>
</calcChain>
</file>

<file path=xl/sharedStrings.xml><?xml version="1.0" encoding="utf-8"?>
<sst xmlns="http://schemas.openxmlformats.org/spreadsheetml/2006/main" count="441" uniqueCount="167">
  <si>
    <t>References:</t>
  </si>
  <si>
    <t>Hernandez, V. et al. (2018) ‘A new method for modelling the tongue-and-groove in treatment planning systems’, Physics in Medicine &amp; Biology, 63(24), p. 245005. Available at: https://doi.org/10.1088/1361-6560/aaf098.</t>
  </si>
  <si>
    <t>LINAC:</t>
  </si>
  <si>
    <t>DATE:</t>
  </si>
  <si>
    <t>DETECTOR:</t>
  </si>
  <si>
    <t>ELECTROMETER:</t>
  </si>
  <si>
    <t>DICOM Files:</t>
  </si>
  <si>
    <t xml:space="preserve">SETUP: </t>
  </si>
  <si>
    <t xml:space="preserve">0.) Open field chamber readings </t>
  </si>
  <si>
    <t xml:space="preserve">No MLCs… </t>
  </si>
  <si>
    <t>#</t>
  </si>
  <si>
    <t xml:space="preserve">R [nC] </t>
  </si>
  <si>
    <t>AVERAGE [nC]</t>
  </si>
  <si>
    <t>STD ERR. [nC]</t>
  </si>
  <si>
    <t xml:space="preserve">1.) MLC Leaf bank mean transmission measurements </t>
  </si>
  <si>
    <t xml:space="preserve">Leafs closed behind jaws… </t>
  </si>
  <si>
    <t>Leaf Bank A</t>
  </si>
  <si>
    <t>Leaf Bank B</t>
  </si>
  <si>
    <t xml:space="preserve">2.) Synchronous sweeping gap measurements  </t>
  </si>
  <si>
    <t xml:space="preserve">Constant gap width, MLCs move at constant speed. </t>
  </si>
  <si>
    <t>d [cm]</t>
  </si>
  <si>
    <t xml:space="preserve">R1 </t>
  </si>
  <si>
    <t>R2</t>
  </si>
  <si>
    <t>R3</t>
  </si>
  <si>
    <t xml:space="preserve">3.) Asynchrnous sweeping gap measurements  </t>
  </si>
  <si>
    <t xml:space="preserve">Adjacent leaves have different positions, constant gap width 20mm, MLCs move at constant speed. </t>
  </si>
  <si>
    <t>s [cm]</t>
  </si>
  <si>
    <t xml:space="preserve">4.) Asynchrnous sweeping gap measurements  </t>
  </si>
  <si>
    <t xml:space="preserve">Different gap widths, with different s values.  </t>
  </si>
  <si>
    <t xml:space="preserve">This is to show that the reduction in fluence at the chamber is independent of the leaf gap used. </t>
  </si>
  <si>
    <t xml:space="preserve">d = 0.5cm </t>
  </si>
  <si>
    <t>d = 3.0cm</t>
  </si>
  <si>
    <t>LA8</t>
  </si>
  <si>
    <t>A9</t>
  </si>
  <si>
    <t>E17</t>
  </si>
  <si>
    <t xml:space="preserve">500MU - factor 5 included in the average </t>
  </si>
  <si>
    <t xml:space="preserve">500MUs </t>
  </si>
  <si>
    <t xml:space="preserve">R [pC] </t>
  </si>
  <si>
    <t xml:space="preserve">Low RANGE note pC not nC </t>
  </si>
  <si>
    <t>pC</t>
  </si>
  <si>
    <t>R [pC]</t>
  </si>
  <si>
    <t xml:space="preserve">10×10cm square field. 
Chamber @ +5.0cm depth point in Cheese. 
Chamber orientated perpendicular to the direction of MLC travel. </t>
  </si>
  <si>
    <t>U:\Liam Stubbington\beam-model\sweeping_gap\varian_dcm\MODIFIED</t>
  </si>
  <si>
    <t>NOTES:</t>
  </si>
  <si>
    <t xml:space="preserve">1.) Determine the mean MLC transmission (inter and intra-leaf transmission)   </t>
  </si>
  <si>
    <t>6FFF</t>
  </si>
  <si>
    <t>10FFF</t>
  </si>
  <si>
    <t>6cFF</t>
  </si>
  <si>
    <t xml:space="preserve">10cFF </t>
  </si>
  <si>
    <t xml:space="preserve">OPEN FIELD </t>
  </si>
  <si>
    <t>MLC_A</t>
  </si>
  <si>
    <t>MLC_B</t>
  </si>
  <si>
    <t>TRANSMISSION_B</t>
  </si>
  <si>
    <t>± [%]</t>
  </si>
  <si>
    <t>TRANSMISSION_A</t>
  </si>
  <si>
    <t xml:space="preserve">For 6. beams, transmission was determined by delivering 500MU of the same field and multiplying the chamber reading by 0.2
For 10. beams, the transmission field was delivered with the electrometer on LOW RANGE. 
The 6. beams were delivered in service, the 10. beams were delivered in Machine QA mode. 
With the electrometer on MEDIUM RANGE, the error is taken to be half the smallest increment as chamber readings showed high reproducibilty. </t>
  </si>
  <si>
    <t xml:space="preserve">Relative error of transmission ratios are presented… </t>
  </si>
  <si>
    <t>GRADIENT [nC/cm]</t>
  </si>
  <si>
    <t>INTERCEPT [nC]</t>
  </si>
  <si>
    <t xml:space="preserve">Goodness of fit needs evaluating…. </t>
  </si>
  <si>
    <t>10cFF</t>
  </si>
  <si>
    <t>TRANSMISSION</t>
  </si>
  <si>
    <t>1-T</t>
  </si>
  <si>
    <r>
      <t xml:space="preserve">d [cm] </t>
    </r>
    <r>
      <rPr>
        <sz val="12"/>
        <color theme="1"/>
        <rFont val="Calibri"/>
        <family val="2"/>
      </rPr>
      <t>× T</t>
    </r>
  </si>
  <si>
    <t>INTERCEPT/GRADIENT [cm]</t>
  </si>
  <si>
    <t xml:space="preserve">2.) Determine the gradient and intercept of the chamber reading versus gap width plots. </t>
  </si>
  <si>
    <t xml:space="preserve">The leaf-tip-width value, for the central leaves of a TrueBeamSTx, is taken to be 0.25cm. </t>
  </si>
  <si>
    <r>
      <t>k nC/cm</t>
    </r>
    <r>
      <rPr>
        <vertAlign val="superscript"/>
        <sz val="12"/>
        <color theme="1"/>
        <rFont val="Calibri"/>
        <family val="2"/>
        <scheme val="minor"/>
      </rPr>
      <t>2</t>
    </r>
  </si>
  <si>
    <t>6FFF [nC]</t>
  </si>
  <si>
    <t>10FFF [nC]</t>
  </si>
  <si>
    <t>6cFF [nC]</t>
  </si>
  <si>
    <t>10cFF [nC]</t>
  </si>
  <si>
    <r>
      <t>DELTA / k [cm</t>
    </r>
    <r>
      <rPr>
        <vertAlign val="superscript"/>
        <sz val="12"/>
        <color theme="1"/>
        <rFont val="Calibri"/>
        <family val="2"/>
        <scheme val="minor"/>
      </rPr>
      <t>2</t>
    </r>
    <r>
      <rPr>
        <sz val="12"/>
        <color theme="1"/>
        <rFont val="Calibri"/>
        <family val="2"/>
        <scheme val="minor"/>
      </rPr>
      <t>]</t>
    </r>
  </si>
  <si>
    <t xml:space="preserve">Take the gradient and intercept for 0 &lt; s &lt; 1cm…. </t>
  </si>
  <si>
    <t>GRADIENT [cm]</t>
  </si>
  <si>
    <r>
      <t>INTERCEPT [cm</t>
    </r>
    <r>
      <rPr>
        <vertAlign val="superscript"/>
        <sz val="12"/>
        <color theme="1"/>
        <rFont val="Calibri"/>
        <family val="2"/>
        <scheme val="minor"/>
      </rPr>
      <t>2</t>
    </r>
    <r>
      <rPr>
        <sz val="12"/>
        <color theme="1"/>
        <rFont val="Calibri"/>
        <family val="2"/>
        <scheme val="minor"/>
      </rPr>
      <t>]</t>
    </r>
  </si>
  <si>
    <r>
      <t>l</t>
    </r>
    <r>
      <rPr>
        <vertAlign val="subscript"/>
        <sz val="12"/>
        <color theme="1"/>
        <rFont val="Calibri"/>
        <family val="2"/>
        <scheme val="minor"/>
      </rPr>
      <t>tip</t>
    </r>
    <r>
      <rPr>
        <sz val="12"/>
        <color theme="1"/>
        <rFont val="Calibri"/>
        <family val="2"/>
        <scheme val="minor"/>
      </rPr>
      <t xml:space="preserve"> [cm]</t>
    </r>
  </si>
  <si>
    <r>
      <t>w</t>
    </r>
    <r>
      <rPr>
        <vertAlign val="subscript"/>
        <sz val="12"/>
        <color theme="1"/>
        <rFont val="Calibri"/>
        <family val="2"/>
        <scheme val="minor"/>
      </rPr>
      <t>TG</t>
    </r>
    <r>
      <rPr>
        <sz val="12"/>
        <color theme="1"/>
        <rFont val="Calibri"/>
        <family val="2"/>
        <scheme val="minor"/>
      </rPr>
      <t xml:space="preserve"> [cm]</t>
    </r>
  </si>
  <si>
    <t>1 - 2SQRT(T) + T</t>
  </si>
  <si>
    <t xml:space="preserve">SQRT(T) - T / (1 - T) </t>
  </si>
  <si>
    <t>C [cm]</t>
  </si>
  <si>
    <t>3.) Derive the leaf tip width, tongue and groove width and offset from the aSG measurements.</t>
  </si>
  <si>
    <t xml:space="preserve">Distance travelled, d, by the sliding gap, is taken to be 12cm. </t>
  </si>
  <si>
    <t xml:space="preserve">MACRO: </t>
  </si>
  <si>
    <t>C:\Program Files\ImageJ\macros\SweepingGapTools.ijm</t>
  </si>
  <si>
    <t>Label</t>
  </si>
  <si>
    <t>Area</t>
  </si>
  <si>
    <t>Mean</t>
  </si>
  <si>
    <t>StdDev</t>
  </si>
  <si>
    <t>Mode</t>
  </si>
  <si>
    <t>Min</t>
  </si>
  <si>
    <t>Max</t>
  </si>
  <si>
    <t>X</t>
  </si>
  <si>
    <t>Y</t>
  </si>
  <si>
    <t>IntDen</t>
  </si>
  <si>
    <t>Median</t>
  </si>
  <si>
    <t>%Area</t>
  </si>
  <si>
    <t>RawIntDen</t>
  </si>
  <si>
    <t xml:space="preserve"> 20mm:  6x [MV]; 400 [MU/min]  </t>
  </si>
  <si>
    <t xml:space="preserve"> 6mm :  6x [MV]; 400 [MU/min]  </t>
  </si>
  <si>
    <t xml:space="preserve"> Open:  6x [MV]; 400 [MU/min]  </t>
  </si>
  <si>
    <t xml:space="preserve"> 14mm:  6x [MV]; 400 [MU/min]  </t>
  </si>
  <si>
    <t xml:space="preserve"> TransmA :  6x [MV]; 400 [MU/min]  </t>
  </si>
  <si>
    <t xml:space="preserve"> TransmB :  6x [MV]; 400 [MU/min]  </t>
  </si>
  <si>
    <t xml:space="preserve"> 2mm :  6x [MV]; 400 [MU/min]  </t>
  </si>
  <si>
    <t xml:space="preserve"> 10mm:  6x [MV]; 400 [MU/min]  </t>
  </si>
  <si>
    <t xml:space="preserve"> 16mm:  6x [MV]; 400 [MU/min]  </t>
  </si>
  <si>
    <t xml:space="preserve"> 4mm :  6x [MV]; 400 [MU/min]  </t>
  </si>
  <si>
    <t>6X DLG</t>
  </si>
  <si>
    <t>DLG</t>
  </si>
  <si>
    <t>Gap [cm]</t>
  </si>
  <si>
    <t>TRANS_A</t>
  </si>
  <si>
    <t>TRANS_B</t>
  </si>
  <si>
    <t>TRANSMISSION 6X</t>
  </si>
  <si>
    <t>EPID</t>
  </si>
  <si>
    <t>RayStation</t>
  </si>
  <si>
    <t>GRADIENT</t>
  </si>
  <si>
    <t>INTERCEPT</t>
  </si>
  <si>
    <t>(1-T)</t>
  </si>
  <si>
    <t>DLG 6X</t>
  </si>
  <si>
    <t>DLG [cm]</t>
  </si>
  <si>
    <t>OPEN</t>
  </si>
  <si>
    <r>
      <t>GRADIENT [cm</t>
    </r>
    <r>
      <rPr>
        <vertAlign val="superscript"/>
        <sz val="12"/>
        <color theme="1"/>
        <rFont val="Calibri"/>
        <family val="2"/>
        <scheme val="minor"/>
      </rPr>
      <t>-1</t>
    </r>
    <r>
      <rPr>
        <sz val="12"/>
        <color theme="1"/>
        <rFont val="Calibri"/>
        <family val="2"/>
        <scheme val="minor"/>
      </rPr>
      <t>]</t>
    </r>
  </si>
  <si>
    <t>6X FFF DLG</t>
  </si>
  <si>
    <t xml:space="preserve"> TransmB :  6xFFF [MV]; 400 [MU/min]  </t>
  </si>
  <si>
    <t xml:space="preserve"> TransmA :  6xFFF [MV]; 400 [MU/min]  </t>
  </si>
  <si>
    <t xml:space="preserve"> 20mm:  6xFFF [MV]; 400 [MU/min]  </t>
  </si>
  <si>
    <t xml:space="preserve"> Open:  6xFFF [MV]; 400 [MU/min]  </t>
  </si>
  <si>
    <t xml:space="preserve"> 6mm :  6xFFF [MV]; 400 [MU/min]  </t>
  </si>
  <si>
    <t xml:space="preserve"> 2mm :  6xFFF [MV]; 400 [MU/min]  </t>
  </si>
  <si>
    <t xml:space="preserve"> 10mm:  6xFFF [MV]; 400 [MU/min]  </t>
  </si>
  <si>
    <t xml:space="preserve"> 4mm :  6xFFF [MV]; 400 [MU/min]  </t>
  </si>
  <si>
    <t xml:space="preserve"> 16mm:  6xFFF [MV]; 400 [MU/min]  </t>
  </si>
  <si>
    <t xml:space="preserve"> 14mm:  6xFFF [MV]; 400 [MU/min]  </t>
  </si>
  <si>
    <t>TRANSMISSION 6X FFF</t>
  </si>
  <si>
    <t>DLG 6X FFF</t>
  </si>
  <si>
    <t>EPID Signal</t>
  </si>
  <si>
    <t>10X FFF DLG</t>
  </si>
  <si>
    <t xml:space="preserve"> 4mm :  10xFFF [MV]; 400 [MU/min]  </t>
  </si>
  <si>
    <t xml:space="preserve"> 10mm:  10xFFF [MV]; 400 [MU/min]  </t>
  </si>
  <si>
    <t xml:space="preserve"> 6mm :  10xFFF [MV]; 400 [MU/min]  </t>
  </si>
  <si>
    <t xml:space="preserve"> 14mm:  10xFFF [MV]; 400 [MU/min]  </t>
  </si>
  <si>
    <t xml:space="preserve"> Open:  10xFFF [MV]; 400 [MU/min]  </t>
  </si>
  <si>
    <t xml:space="preserve"> 16mm:  10xFFF [MV]; 400 [MU/min]  </t>
  </si>
  <si>
    <t xml:space="preserve"> 2mm :  10xFFF [MV]; 400 [MU/min]  </t>
  </si>
  <si>
    <t xml:space="preserve"> 20mm:  10xFFF [MV]; 400 [MU/min]  </t>
  </si>
  <si>
    <t xml:space="preserve"> TransmA :  10xFFF [MV]; 400 [MU/min]  </t>
  </si>
  <si>
    <t xml:space="preserve"> TransmB :  10xFFF [MV]; 400 [MU/min]  </t>
  </si>
  <si>
    <t>TRANSMISSION 10X FFF</t>
  </si>
  <si>
    <t>DLG 10X FFF</t>
  </si>
  <si>
    <t>INTER/GRAD</t>
  </si>
  <si>
    <t xml:space="preserve">TRANSMISSION </t>
  </si>
  <si>
    <t>RATIO</t>
  </si>
  <si>
    <t>d [CM]</t>
  </si>
  <si>
    <t>1-TRANSMISSION</t>
  </si>
  <si>
    <t>d [cm] × T</t>
  </si>
  <si>
    <t>RESIDUAL</t>
  </si>
  <si>
    <t>RESIDUAL 2</t>
  </si>
  <si>
    <t>On this basis we cannot use the reading for d = 3.0cm</t>
  </si>
  <si>
    <t xml:space="preserve">INTERCEPT </t>
  </si>
  <si>
    <r>
      <t xml:space="preserve">0 &lt; d </t>
    </r>
    <r>
      <rPr>
        <sz val="12"/>
        <color theme="1"/>
        <rFont val="Calibri"/>
        <family val="2"/>
      </rPr>
      <t>≤</t>
    </r>
    <r>
      <rPr>
        <sz val="12"/>
        <color theme="1"/>
        <rFont val="Calibri"/>
        <family val="2"/>
        <scheme val="minor"/>
      </rPr>
      <t xml:space="preserve"> 3.0 cm</t>
    </r>
  </si>
  <si>
    <r>
      <t xml:space="preserve">0 &lt; d </t>
    </r>
    <r>
      <rPr>
        <sz val="12"/>
        <color theme="1"/>
        <rFont val="Calibri"/>
        <family val="2"/>
      </rPr>
      <t>≤</t>
    </r>
    <r>
      <rPr>
        <sz val="12"/>
        <color theme="1"/>
        <rFont val="Calibri"/>
        <family val="2"/>
        <scheme val="minor"/>
      </rPr>
      <t xml:space="preserve"> 2.0 cm</t>
    </r>
  </si>
  <si>
    <t xml:space="preserve">DELTA </t>
  </si>
  <si>
    <t>CALCULATED</t>
  </si>
  <si>
    <r>
      <t xml:space="preserve">0 &lt; s </t>
    </r>
    <r>
      <rPr>
        <sz val="12"/>
        <color theme="1"/>
        <rFont val="Calibri"/>
        <family val="2"/>
      </rPr>
      <t>≤</t>
    </r>
    <r>
      <rPr>
        <sz val="12"/>
        <color theme="1"/>
        <rFont val="Calibri"/>
        <family val="2"/>
        <scheme val="minor"/>
      </rPr>
      <t xml:space="preserve"> 1.0 cm</t>
    </r>
  </si>
  <si>
    <r>
      <t xml:space="preserve">Take the gradient and intercept for 0 &lt; s </t>
    </r>
    <r>
      <rPr>
        <sz val="12"/>
        <color rgb="FF7F7F7F"/>
        <rFont val="Calibri"/>
        <family val="2"/>
      </rPr>
      <t>≤</t>
    </r>
    <r>
      <rPr>
        <i/>
        <sz val="12"/>
        <color rgb="FF7F7F7F"/>
        <rFont val="Calibri"/>
        <family val="2"/>
        <scheme val="minor"/>
      </rPr>
      <t xml:space="preserve"> 1cm…. </t>
    </r>
  </si>
  <si>
    <r>
      <t>No factor 2 included in w</t>
    </r>
    <r>
      <rPr>
        <i/>
        <vertAlign val="subscript"/>
        <sz val="12"/>
        <color rgb="FF7F7F7F"/>
        <rFont val="Calibri"/>
        <family val="2"/>
        <scheme val="minor"/>
      </rPr>
      <t>TG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</si>
</sst>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00"/>
    <numFmt numFmtId="166" formatCode="0.0000"/>
    <numFmt numFmtId="167" formatCode="0.00000"/>
  </numFmts>
  <fonts count="19" x14ac:knownFonts="1">
    <font>
      <sz val="12"/>
      <color theme="1"/>
      <name val="Calibri"/>
      <family val="2"/>
      <scheme val="minor"/>
    </font>
    <font>
      <sz val="11"/>
      <color theme="1"/>
      <name val="Calibri"/>
      <family val="2"/>
      <scheme val="minor"/>
    </font>
    <font>
      <b/>
      <sz val="13"/>
      <color theme="3"/>
      <name val="Calibri"/>
      <family val="2"/>
      <scheme val="minor"/>
    </font>
    <font>
      <b/>
      <sz val="12"/>
      <color rgb="FFFA7D00"/>
      <name val="Calibri"/>
      <family val="2"/>
      <scheme val="minor"/>
    </font>
    <font>
      <i/>
      <sz val="12"/>
      <color rgb="FF7F7F7F"/>
      <name val="Calibri"/>
      <family val="2"/>
      <scheme val="minor"/>
    </font>
    <font>
      <u/>
      <sz val="12"/>
      <color theme="10"/>
      <name val="Calibri"/>
      <family val="2"/>
      <scheme val="minor"/>
    </font>
    <font>
      <sz val="12"/>
      <color rgb="FF000000"/>
      <name val="Calibri"/>
      <family val="2"/>
      <scheme val="minor"/>
    </font>
    <font>
      <b/>
      <strike/>
      <sz val="13"/>
      <color theme="3"/>
      <name val="Calibri"/>
      <family val="2"/>
      <scheme val="minor"/>
    </font>
    <font>
      <i/>
      <strike/>
      <sz val="12"/>
      <color rgb="FF7F7F7F"/>
      <name val="Calibri"/>
      <family val="2"/>
      <scheme val="minor"/>
    </font>
    <font>
      <strike/>
      <sz val="12"/>
      <color theme="1"/>
      <name val="Calibri"/>
      <family val="2"/>
      <scheme val="minor"/>
    </font>
    <font>
      <strike/>
      <sz val="12"/>
      <color rgb="FF000000"/>
      <name val="Calibri"/>
      <family val="2"/>
      <scheme val="minor"/>
    </font>
    <font>
      <b/>
      <strike/>
      <sz val="12"/>
      <color rgb="FFFA7D00"/>
      <name val="Calibri"/>
      <family val="2"/>
      <scheme val="minor"/>
    </font>
    <font>
      <sz val="11"/>
      <color theme="0"/>
      <name val="Calibri"/>
      <family val="2"/>
      <scheme val="minor"/>
    </font>
    <font>
      <sz val="12"/>
      <color theme="1"/>
      <name val="Calibri"/>
      <family val="2"/>
    </font>
    <font>
      <vertAlign val="superscript"/>
      <sz val="12"/>
      <color theme="1"/>
      <name val="Calibri"/>
      <family val="2"/>
      <scheme val="minor"/>
    </font>
    <font>
      <vertAlign val="subscript"/>
      <sz val="12"/>
      <color theme="1"/>
      <name val="Calibri"/>
      <family val="2"/>
      <scheme val="minor"/>
    </font>
    <font>
      <sz val="11"/>
      <color rgb="FF3F3F76"/>
      <name val="Calibri"/>
      <family val="2"/>
      <scheme val="minor"/>
    </font>
    <font>
      <sz val="12"/>
      <color rgb="FF7F7F7F"/>
      <name val="Calibri"/>
      <family val="2"/>
    </font>
    <font>
      <i/>
      <vertAlign val="subscript"/>
      <sz val="12"/>
      <color rgb="FF7F7F7F"/>
      <name val="Calibri"/>
      <family val="2"/>
      <scheme val="minor"/>
    </font>
  </fonts>
  <fills count="8">
    <fill>
      <patternFill patternType="none"/>
    </fill>
    <fill>
      <patternFill patternType="gray125"/>
    </fill>
    <fill>
      <patternFill patternType="solid">
        <fgColor rgb="FFF2F2F2"/>
      </patternFill>
    </fill>
    <fill>
      <patternFill patternType="solid">
        <fgColor theme="4" tint="0.39997558519241921"/>
        <bgColor indexed="65"/>
      </patternFill>
    </fill>
    <fill>
      <patternFill patternType="solid">
        <fgColor theme="6" tint="0.79998168889431442"/>
        <bgColor indexed="65"/>
      </patternFill>
    </fill>
    <fill>
      <patternFill patternType="solid">
        <fgColor rgb="FFFFCC99"/>
      </patternFill>
    </fill>
    <fill>
      <patternFill patternType="solid">
        <fgColor theme="4"/>
      </patternFill>
    </fill>
    <fill>
      <patternFill patternType="solid">
        <fgColor theme="6" tint="0.39997558519241921"/>
        <bgColor indexed="65"/>
      </patternFill>
    </fill>
  </fills>
  <borders count="6">
    <border>
      <left/>
      <right/>
      <top/>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7F7F7F"/>
      </left>
      <right/>
      <top style="thin">
        <color rgb="FF7F7F7F"/>
      </top>
      <bottom style="thin">
        <color rgb="FF7F7F7F"/>
      </bottom>
      <diagonal/>
    </border>
  </borders>
  <cellStyleXfs count="10">
    <xf numFmtId="0" fontId="0" fillId="0" borderId="0"/>
    <xf numFmtId="0" fontId="2" fillId="0" borderId="1" applyNumberFormat="0" applyFill="0" applyAlignment="0" applyProtection="0"/>
    <xf numFmtId="0" fontId="3" fillId="2" borderId="2"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2" fillId="3" borderId="0" applyNumberFormat="0" applyBorder="0" applyAlignment="0" applyProtection="0"/>
    <xf numFmtId="0" fontId="1" fillId="4" borderId="0" applyNumberFormat="0" applyBorder="0" applyAlignment="0" applyProtection="0"/>
    <xf numFmtId="0" fontId="16" fillId="5" borderId="2" applyNumberFormat="0" applyAlignment="0" applyProtection="0"/>
    <xf numFmtId="0" fontId="12" fillId="6" borderId="0" applyNumberFormat="0" applyBorder="0" applyAlignment="0" applyProtection="0"/>
    <xf numFmtId="0" fontId="12" fillId="7" borderId="0" applyNumberFormat="0" applyBorder="0" applyAlignment="0" applyProtection="0"/>
  </cellStyleXfs>
  <cellXfs count="70">
    <xf numFmtId="0" fontId="0" fillId="0" borderId="0" xfId="0"/>
    <xf numFmtId="0" fontId="5" fillId="0" borderId="0" xfId="4" applyAlignment="1">
      <alignment wrapText="1"/>
    </xf>
    <xf numFmtId="0" fontId="0" fillId="0" borderId="0" xfId="0" applyAlignment="1">
      <alignment wrapText="1"/>
    </xf>
    <xf numFmtId="0" fontId="0" fillId="0" borderId="0" xfId="0" applyAlignment="1">
      <alignment vertical="top"/>
    </xf>
    <xf numFmtId="0" fontId="2" fillId="0" borderId="1" xfId="1"/>
    <xf numFmtId="0" fontId="4" fillId="0" borderId="0" xfId="3"/>
    <xf numFmtId="0" fontId="4" fillId="0" borderId="0" xfId="3" applyBorder="1"/>
    <xf numFmtId="0" fontId="0" fillId="0" borderId="3" xfId="0" applyBorder="1" applyAlignment="1">
      <alignment horizontal="center"/>
    </xf>
    <xf numFmtId="0" fontId="3" fillId="2" borderId="2" xfId="2" applyAlignment="1">
      <alignment horizontal="center"/>
    </xf>
    <xf numFmtId="0" fontId="0" fillId="0" borderId="2" xfId="0"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164" fontId="0" fillId="0" borderId="3" xfId="0" applyNumberFormat="1" applyBorder="1" applyAlignment="1">
      <alignment horizontal="center"/>
    </xf>
    <xf numFmtId="0" fontId="0" fillId="0" borderId="0" xfId="0" applyAlignment="1">
      <alignment horizontal="center"/>
    </xf>
    <xf numFmtId="14" fontId="0" fillId="0" borderId="0" xfId="0" applyNumberFormat="1" applyAlignment="1">
      <alignment horizontal="center"/>
    </xf>
    <xf numFmtId="165" fontId="3" fillId="2" borderId="2" xfId="2" applyNumberFormat="1" applyAlignment="1">
      <alignment horizontal="center"/>
    </xf>
    <xf numFmtId="166" fontId="3" fillId="2" borderId="2" xfId="2" applyNumberFormat="1" applyAlignment="1">
      <alignment horizontal="center"/>
    </xf>
    <xf numFmtId="165" fontId="0" fillId="0" borderId="3" xfId="0" applyNumberFormat="1" applyBorder="1" applyAlignment="1">
      <alignment horizontal="center"/>
    </xf>
    <xf numFmtId="0" fontId="8" fillId="0" borderId="0" xfId="3" applyFont="1"/>
    <xf numFmtId="0" fontId="9" fillId="0" borderId="0" xfId="0" applyFont="1"/>
    <xf numFmtId="0" fontId="9" fillId="0" borderId="3" xfId="0" applyFont="1" applyBorder="1" applyAlignment="1">
      <alignment horizontal="center"/>
    </xf>
    <xf numFmtId="0" fontId="10" fillId="0" borderId="3" xfId="0" applyFont="1" applyBorder="1" applyAlignment="1">
      <alignment horizontal="center"/>
    </xf>
    <xf numFmtId="164" fontId="9" fillId="0" borderId="3" xfId="0" applyNumberFormat="1" applyFont="1" applyBorder="1" applyAlignment="1">
      <alignment horizontal="center"/>
    </xf>
    <xf numFmtId="0" fontId="11" fillId="2" borderId="2" xfId="2" applyFont="1" applyAlignment="1">
      <alignment horizontal="center"/>
    </xf>
    <xf numFmtId="165" fontId="0" fillId="0" borderId="4" xfId="0" applyNumberFormat="1" applyFill="1" applyBorder="1" applyAlignment="1">
      <alignment horizontal="center"/>
    </xf>
    <xf numFmtId="2" fontId="0" fillId="0" borderId="3" xfId="0" applyNumberFormat="1" applyBorder="1" applyAlignment="1">
      <alignment horizontal="center"/>
    </xf>
    <xf numFmtId="2" fontId="0" fillId="0" borderId="0" xfId="0" applyNumberFormat="1" applyAlignment="1">
      <alignment horizontal="center"/>
    </xf>
    <xf numFmtId="0" fontId="2" fillId="0" borderId="1" xfId="1" applyAlignment="1">
      <alignment horizontal="left"/>
    </xf>
    <xf numFmtId="0" fontId="7" fillId="0" borderId="1" xfId="1" applyFont="1" applyAlignment="1">
      <alignment horizontal="left"/>
    </xf>
    <xf numFmtId="167" fontId="3" fillId="2" borderId="2" xfId="2" applyNumberFormat="1" applyAlignment="1">
      <alignment horizontal="center"/>
    </xf>
    <xf numFmtId="0" fontId="3" fillId="2" borderId="5" xfId="2" applyBorder="1" applyAlignment="1">
      <alignment horizontal="center"/>
    </xf>
    <xf numFmtId="2" fontId="0" fillId="0" borderId="3" xfId="0" applyNumberFormat="1" applyBorder="1"/>
    <xf numFmtId="166" fontId="0" fillId="0" borderId="3" xfId="0" applyNumberFormat="1" applyBorder="1"/>
    <xf numFmtId="166" fontId="0" fillId="0" borderId="3" xfId="0" applyNumberFormat="1" applyBorder="1" applyAlignment="1">
      <alignment horizontal="center" vertical="center"/>
    </xf>
    <xf numFmtId="2" fontId="13" fillId="0" borderId="3" xfId="0" applyNumberFormat="1" applyFont="1" applyBorder="1"/>
    <xf numFmtId="2" fontId="1" fillId="4" borderId="3" xfId="6" applyNumberFormat="1" applyBorder="1"/>
    <xf numFmtId="165" fontId="1" fillId="4" borderId="3" xfId="6" applyNumberFormat="1" applyBorder="1"/>
    <xf numFmtId="165" fontId="0" fillId="0" borderId="3" xfId="0" applyNumberFormat="1" applyBorder="1"/>
    <xf numFmtId="0" fontId="0" fillId="0" borderId="3" xfId="0" applyBorder="1"/>
    <xf numFmtId="0" fontId="0" fillId="0" borderId="3" xfId="0" applyBorder="1" applyAlignment="1">
      <alignment wrapText="1"/>
    </xf>
    <xf numFmtId="165" fontId="12" fillId="3" borderId="3" xfId="5" applyNumberFormat="1" applyBorder="1"/>
    <xf numFmtId="0" fontId="2" fillId="0" borderId="1" xfId="1" applyAlignment="1">
      <alignment horizontal="left"/>
    </xf>
    <xf numFmtId="0" fontId="7" fillId="0" borderId="1" xfId="1" applyFont="1" applyAlignment="1">
      <alignment horizontal="left"/>
    </xf>
    <xf numFmtId="11" fontId="0" fillId="0" borderId="0" xfId="0" applyNumberFormat="1"/>
    <xf numFmtId="0" fontId="12" fillId="6" borderId="0" xfId="8" applyBorder="1" applyAlignment="1"/>
    <xf numFmtId="0" fontId="12" fillId="3" borderId="0" xfId="5" applyAlignment="1"/>
    <xf numFmtId="0" fontId="3" fillId="2" borderId="2" xfId="2"/>
    <xf numFmtId="0" fontId="16" fillId="5" borderId="2" xfId="7"/>
    <xf numFmtId="10" fontId="3" fillId="2" borderId="2" xfId="2" applyNumberFormat="1"/>
    <xf numFmtId="165" fontId="3" fillId="2" borderId="2" xfId="2" applyNumberFormat="1"/>
    <xf numFmtId="10" fontId="1" fillId="4" borderId="3" xfId="6" applyNumberFormat="1" applyBorder="1"/>
    <xf numFmtId="0" fontId="0" fillId="0" borderId="0" xfId="0" applyAlignment="1">
      <alignment horizontal="center" wrapText="1"/>
    </xf>
    <xf numFmtId="164" fontId="0" fillId="0" borderId="0" xfId="0" applyNumberFormat="1"/>
    <xf numFmtId="0" fontId="6" fillId="0" borderId="0" xfId="0" applyFont="1" applyBorder="1" applyAlignment="1">
      <alignment horizontal="center"/>
    </xf>
    <xf numFmtId="166" fontId="0" fillId="0" borderId="0" xfId="0" applyNumberFormat="1" applyBorder="1" applyAlignment="1">
      <alignment horizontal="center" vertical="center"/>
    </xf>
    <xf numFmtId="0" fontId="10" fillId="0" borderId="0" xfId="0" applyFont="1" applyBorder="1" applyAlignment="1">
      <alignment horizontal="center"/>
    </xf>
    <xf numFmtId="166" fontId="3" fillId="2" borderId="2" xfId="2" applyNumberFormat="1"/>
    <xf numFmtId="10" fontId="3" fillId="2" borderId="2" xfId="2" applyNumberFormat="1" applyAlignment="1">
      <alignment horizontal="center"/>
    </xf>
    <xf numFmtId="10" fontId="0" fillId="0" borderId="3" xfId="0" applyNumberFormat="1" applyBorder="1"/>
    <xf numFmtId="164" fontId="0" fillId="0" borderId="0" xfId="0" applyNumberFormat="1" applyBorder="1" applyAlignment="1">
      <alignment horizontal="center"/>
    </xf>
    <xf numFmtId="0" fontId="0" fillId="0" borderId="0" xfId="0" applyBorder="1" applyAlignment="1">
      <alignment horizontal="center"/>
    </xf>
    <xf numFmtId="166" fontId="3" fillId="2" borderId="2" xfId="2" applyNumberFormat="1" applyAlignment="1">
      <alignment horizontal="center" vertical="center"/>
    </xf>
    <xf numFmtId="0" fontId="4" fillId="0" borderId="0" xfId="3" applyBorder="1" applyAlignment="1">
      <alignment horizontal="left"/>
    </xf>
    <xf numFmtId="0" fontId="0" fillId="0" borderId="3" xfId="0" applyFill="1" applyBorder="1" applyAlignment="1">
      <alignment horizontal="center"/>
    </xf>
    <xf numFmtId="0" fontId="12" fillId="7" borderId="3" xfId="9" applyBorder="1"/>
    <xf numFmtId="164" fontId="0" fillId="0" borderId="3" xfId="0" applyNumberFormat="1" applyBorder="1"/>
    <xf numFmtId="164" fontId="16" fillId="5" borderId="2" xfId="7" applyNumberFormat="1"/>
    <xf numFmtId="166" fontId="0" fillId="0" borderId="3" xfId="0" applyNumberFormat="1" applyBorder="1" applyAlignment="1">
      <alignment horizontal="center"/>
    </xf>
    <xf numFmtId="166" fontId="0" fillId="0" borderId="3" xfId="0" applyNumberFormat="1" applyFill="1" applyBorder="1" applyAlignment="1">
      <alignment horizontal="center"/>
    </xf>
    <xf numFmtId="166" fontId="6" fillId="0" borderId="3" xfId="0" applyNumberFormat="1" applyFont="1" applyBorder="1" applyAlignment="1">
      <alignment horizontal="center"/>
    </xf>
  </cellXfs>
  <cellStyles count="10">
    <cellStyle name="20% - Accent3" xfId="6" builtinId="38"/>
    <cellStyle name="60% - Accent1" xfId="5" builtinId="32"/>
    <cellStyle name="60% - Accent3" xfId="9" builtinId="40"/>
    <cellStyle name="Accent1" xfId="8" builtinId="29"/>
    <cellStyle name="Calculation" xfId="2" builtinId="22"/>
    <cellStyle name="Explanatory Text" xfId="3" builtinId="53"/>
    <cellStyle name="Heading 2" xfId="1" builtinId="17"/>
    <cellStyle name="Hyperlink" xfId="4" builtinId="8"/>
    <cellStyle name="Input" xfId="7" builtinId="20"/>
    <cellStyle name="Normal" xfId="0" builtinId="0"/>
  </cellStyles>
  <dxfs count="40">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6FFF SG</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'6FFF_measurements'!$B$30:$B$37</c:f>
              <c:numCache>
                <c:formatCode>0.0</c:formatCode>
                <c:ptCount val="8"/>
                <c:pt idx="0">
                  <c:v>0.2</c:v>
                </c:pt>
                <c:pt idx="1">
                  <c:v>0.4</c:v>
                </c:pt>
                <c:pt idx="2">
                  <c:v>0.6</c:v>
                </c:pt>
                <c:pt idx="3">
                  <c:v>1</c:v>
                </c:pt>
                <c:pt idx="4">
                  <c:v>1.4</c:v>
                </c:pt>
                <c:pt idx="5">
                  <c:v>1.6</c:v>
                </c:pt>
                <c:pt idx="6">
                  <c:v>2</c:v>
                </c:pt>
                <c:pt idx="7">
                  <c:v>3</c:v>
                </c:pt>
              </c:numCache>
            </c:numRef>
          </c:xVal>
          <c:yVal>
            <c:numRef>
              <c:f>'6FFF_measurements'!$F$30:$F$37</c:f>
              <c:numCache>
                <c:formatCode>General</c:formatCode>
                <c:ptCount val="8"/>
                <c:pt idx="0">
                  <c:v>4.4999999999999998E-2</c:v>
                </c:pt>
                <c:pt idx="1">
                  <c:v>6.9000000000000006E-2</c:v>
                </c:pt>
                <c:pt idx="2">
                  <c:v>9.4E-2</c:v>
                </c:pt>
                <c:pt idx="3">
                  <c:v>0.14299999999999999</c:v>
                </c:pt>
                <c:pt idx="4">
                  <c:v>0.193</c:v>
                </c:pt>
                <c:pt idx="5">
                  <c:v>0.218</c:v>
                </c:pt>
                <c:pt idx="6">
                  <c:v>0.26800000000000002</c:v>
                </c:pt>
                <c:pt idx="7">
                  <c:v>0.36299999999999999</c:v>
                </c:pt>
              </c:numCache>
            </c:numRef>
          </c:yVal>
          <c:smooth val="0"/>
          <c:extLst>
            <c:ext xmlns:c16="http://schemas.microsoft.com/office/drawing/2014/chart" uri="{C3380CC4-5D6E-409C-BE32-E72D297353CC}">
              <c16:uniqueId val="{00000003-DF39-4FBD-B7D5-33756A5968A5}"/>
            </c:ext>
          </c:extLst>
        </c:ser>
        <c:ser>
          <c:idx val="1"/>
          <c:order val="1"/>
          <c:tx>
            <c:v>10FFF SG</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'10FFF_measurements'!$B$30:$B$37</c:f>
              <c:numCache>
                <c:formatCode>0.0</c:formatCode>
                <c:ptCount val="8"/>
                <c:pt idx="0">
                  <c:v>0.2</c:v>
                </c:pt>
                <c:pt idx="1">
                  <c:v>0.4</c:v>
                </c:pt>
                <c:pt idx="2">
                  <c:v>0.6</c:v>
                </c:pt>
                <c:pt idx="3">
                  <c:v>1</c:v>
                </c:pt>
                <c:pt idx="4">
                  <c:v>1.4</c:v>
                </c:pt>
                <c:pt idx="5">
                  <c:v>1.6</c:v>
                </c:pt>
                <c:pt idx="6">
                  <c:v>2</c:v>
                </c:pt>
                <c:pt idx="7">
                  <c:v>3</c:v>
                </c:pt>
              </c:numCache>
            </c:numRef>
          </c:xVal>
          <c:yVal>
            <c:numRef>
              <c:f>'10FFF_measurements'!$F$30:$F$37</c:f>
              <c:numCache>
                <c:formatCode>General</c:formatCode>
                <c:ptCount val="8"/>
                <c:pt idx="0">
                  <c:v>5.6000000000000001E-2</c:v>
                </c:pt>
                <c:pt idx="1">
                  <c:v>8.3000000000000004E-2</c:v>
                </c:pt>
                <c:pt idx="2">
                  <c:v>0.112</c:v>
                </c:pt>
                <c:pt idx="3">
                  <c:v>0.16800000000000001</c:v>
                </c:pt>
                <c:pt idx="4">
                  <c:v>0.224</c:v>
                </c:pt>
                <c:pt idx="5">
                  <c:v>0.254</c:v>
                </c:pt>
                <c:pt idx="6">
                  <c:v>0.309</c:v>
                </c:pt>
                <c:pt idx="7">
                  <c:v>0.41699999999999998</c:v>
                </c:pt>
              </c:numCache>
            </c:numRef>
          </c:yVal>
          <c:smooth val="0"/>
          <c:extLst>
            <c:ext xmlns:c16="http://schemas.microsoft.com/office/drawing/2014/chart" uri="{C3380CC4-5D6E-409C-BE32-E72D297353CC}">
              <c16:uniqueId val="{00000004-DF39-4FBD-B7D5-33756A5968A5}"/>
            </c:ext>
          </c:extLst>
        </c:ser>
        <c:ser>
          <c:idx val="2"/>
          <c:order val="2"/>
          <c:tx>
            <c:v>6cFF DLG</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'6cFF_measurements'!$B$30:$B$34</c:f>
              <c:numCache>
                <c:formatCode>0.0</c:formatCode>
                <c:ptCount val="5"/>
                <c:pt idx="0">
                  <c:v>0.2</c:v>
                </c:pt>
                <c:pt idx="1">
                  <c:v>0.4</c:v>
                </c:pt>
                <c:pt idx="2">
                  <c:v>1</c:v>
                </c:pt>
                <c:pt idx="3">
                  <c:v>2</c:v>
                </c:pt>
                <c:pt idx="4">
                  <c:v>3</c:v>
                </c:pt>
              </c:numCache>
            </c:numRef>
          </c:xVal>
          <c:yVal>
            <c:numRef>
              <c:f>'6cFF_measurements'!$F$30:$F$34</c:f>
              <c:numCache>
                <c:formatCode>0.000</c:formatCode>
                <c:ptCount val="5"/>
                <c:pt idx="0">
                  <c:v>4.8333333333333339E-2</c:v>
                </c:pt>
                <c:pt idx="1">
                  <c:v>7.3666666666666658E-2</c:v>
                </c:pt>
                <c:pt idx="2">
                  <c:v>0.15</c:v>
                </c:pt>
                <c:pt idx="3">
                  <c:v>0.27800000000000002</c:v>
                </c:pt>
                <c:pt idx="4">
                  <c:v>0.37600000000000006</c:v>
                </c:pt>
              </c:numCache>
            </c:numRef>
          </c:yVal>
          <c:smooth val="0"/>
          <c:extLst>
            <c:ext xmlns:c16="http://schemas.microsoft.com/office/drawing/2014/chart" uri="{C3380CC4-5D6E-409C-BE32-E72D297353CC}">
              <c16:uniqueId val="{00000005-DF39-4FBD-B7D5-33756A5968A5}"/>
            </c:ext>
          </c:extLst>
        </c:ser>
        <c:ser>
          <c:idx val="3"/>
          <c:order val="3"/>
          <c:tx>
            <c:v>10cFF</c:v>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'10cFF_measurements'!$B$30:$B$34</c:f>
              <c:numCache>
                <c:formatCode>0.0</c:formatCode>
                <c:ptCount val="5"/>
                <c:pt idx="0">
                  <c:v>0.2</c:v>
                </c:pt>
                <c:pt idx="1">
                  <c:v>0.6</c:v>
                </c:pt>
                <c:pt idx="2">
                  <c:v>1</c:v>
                </c:pt>
                <c:pt idx="3">
                  <c:v>2</c:v>
                </c:pt>
                <c:pt idx="4">
                  <c:v>3</c:v>
                </c:pt>
              </c:numCache>
            </c:numRef>
          </c:xVal>
          <c:yVal>
            <c:numRef>
              <c:f>'10cFF_measurements'!$F$30:$F$34</c:f>
              <c:numCache>
                <c:formatCode>0.000</c:formatCode>
                <c:ptCount val="5"/>
                <c:pt idx="0">
                  <c:v>5.6460000000000003E-2</c:v>
                </c:pt>
                <c:pt idx="1">
                  <c:v>0.11</c:v>
                </c:pt>
                <c:pt idx="2">
                  <c:v>0.16400000000000001</c:v>
                </c:pt>
                <c:pt idx="3">
                  <c:v>0.29899999999999999</c:v>
                </c:pt>
                <c:pt idx="4">
                  <c:v>0.40300000000000002</c:v>
                </c:pt>
              </c:numCache>
            </c:numRef>
          </c:yVal>
          <c:smooth val="0"/>
          <c:extLst>
            <c:ext xmlns:c16="http://schemas.microsoft.com/office/drawing/2014/chart" uri="{C3380CC4-5D6E-409C-BE32-E72D297353CC}">
              <c16:uniqueId val="{00000006-DF39-4FBD-B7D5-33756A5968A5}"/>
            </c:ext>
          </c:extLst>
        </c:ser>
        <c:dLbls>
          <c:showLegendKey val="0"/>
          <c:showVal val="0"/>
          <c:showCatName val="0"/>
          <c:showSerName val="0"/>
          <c:showPercent val="0"/>
          <c:showBubbleSize val="0"/>
        </c:dLbls>
        <c:axId val="1831920912"/>
        <c:axId val="1831920080"/>
      </c:scatterChart>
      <c:valAx>
        <c:axId val="1831920912"/>
        <c:scaling>
          <c:orientation val="minMax"/>
          <c:max val="3.2"/>
          <c:min val="-0.2"/>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Gap [cm]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920080"/>
        <c:crosses val="autoZero"/>
        <c:crossBetween val="midCat"/>
        <c:majorUnit val="0.2"/>
      </c:valAx>
      <c:valAx>
        <c:axId val="183192008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 [nC]</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920912"/>
        <c:crossesAt val="-0.2"/>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6FFF aSG</c:v>
          </c:tx>
          <c:spPr>
            <a:ln w="25400" cap="rnd">
              <a:noFill/>
              <a:round/>
            </a:ln>
            <a:effectLst/>
          </c:spPr>
          <c:marker>
            <c:symbol val="circle"/>
            <c:size val="5"/>
            <c:spPr>
              <a:solidFill>
                <a:schemeClr val="accent1"/>
              </a:solidFill>
              <a:ln w="9525">
                <a:solidFill>
                  <a:schemeClr val="accent1"/>
                </a:solidFill>
              </a:ln>
              <a:effectLst/>
            </c:spPr>
          </c:marker>
          <c:xVal>
            <c:numRef>
              <c:f>Analysis!$B$54:$B$62</c:f>
              <c:numCache>
                <c:formatCode>General</c:formatCode>
                <c:ptCount val="9"/>
                <c:pt idx="0" formatCode="0.0">
                  <c:v>0</c:v>
                </c:pt>
                <c:pt idx="1">
                  <c:v>0.1</c:v>
                </c:pt>
                <c:pt idx="2" formatCode="0.0">
                  <c:v>0.2</c:v>
                </c:pt>
                <c:pt idx="3" formatCode="0.0">
                  <c:v>0.3</c:v>
                </c:pt>
                <c:pt idx="4" formatCode="0.0">
                  <c:v>0.5</c:v>
                </c:pt>
                <c:pt idx="5" formatCode="0.0">
                  <c:v>0.7</c:v>
                </c:pt>
                <c:pt idx="6" formatCode="0.0">
                  <c:v>1</c:v>
                </c:pt>
                <c:pt idx="7" formatCode="0.0">
                  <c:v>2</c:v>
                </c:pt>
                <c:pt idx="8" formatCode="0.0">
                  <c:v>3</c:v>
                </c:pt>
              </c:numCache>
            </c:numRef>
          </c:xVal>
          <c:yVal>
            <c:numRef>
              <c:f>Analysis!$D$54:$D$62</c:f>
              <c:numCache>
                <c:formatCode>0.000</c:formatCode>
                <c:ptCount val="9"/>
                <c:pt idx="0">
                  <c:v>#N/A</c:v>
                </c:pt>
                <c:pt idx="1">
                  <c:v>4.2723016143328633E-3</c:v>
                </c:pt>
                <c:pt idx="2">
                  <c:v>1.9225357264497884E-2</c:v>
                </c:pt>
                <c:pt idx="3">
                  <c:v>3.2042262107496472E-2</c:v>
                </c:pt>
                <c:pt idx="4">
                  <c:v>5.9812222600660082E-2</c:v>
                </c:pt>
                <c:pt idx="5">
                  <c:v>8.7582183093823637E-2</c:v>
                </c:pt>
                <c:pt idx="6">
                  <c:v>0.12816904842998583</c:v>
                </c:pt>
                <c:pt idx="7">
                  <c:v>0.14419017948373403</c:v>
                </c:pt>
                <c:pt idx="8">
                  <c:v>0.14525825488731722</c:v>
                </c:pt>
              </c:numCache>
            </c:numRef>
          </c:yVal>
          <c:smooth val="0"/>
          <c:extLst>
            <c:ext xmlns:c16="http://schemas.microsoft.com/office/drawing/2014/chart" uri="{C3380CC4-5D6E-409C-BE32-E72D297353CC}">
              <c16:uniqueId val="{00000000-0173-4237-A39D-F0A81CC28E11}"/>
            </c:ext>
          </c:extLst>
        </c:ser>
        <c:ser>
          <c:idx val="1"/>
          <c:order val="1"/>
          <c:tx>
            <c:v>10FFF aSG</c:v>
          </c:tx>
          <c:spPr>
            <a:ln w="25400" cap="rnd">
              <a:noFill/>
              <a:round/>
            </a:ln>
            <a:effectLst/>
          </c:spPr>
          <c:marker>
            <c:symbol val="circle"/>
            <c:size val="5"/>
            <c:spPr>
              <a:solidFill>
                <a:schemeClr val="accent2"/>
              </a:solidFill>
              <a:ln w="9525">
                <a:solidFill>
                  <a:schemeClr val="accent2"/>
                </a:solidFill>
              </a:ln>
              <a:effectLst/>
            </c:spPr>
          </c:marker>
          <c:xVal>
            <c:numRef>
              <c:f>Analysis!$B$54:$B$62</c:f>
              <c:numCache>
                <c:formatCode>General</c:formatCode>
                <c:ptCount val="9"/>
                <c:pt idx="0" formatCode="0.0">
                  <c:v>0</c:v>
                </c:pt>
                <c:pt idx="1">
                  <c:v>0.1</c:v>
                </c:pt>
                <c:pt idx="2" formatCode="0.0">
                  <c:v>0.2</c:v>
                </c:pt>
                <c:pt idx="3" formatCode="0.0">
                  <c:v>0.3</c:v>
                </c:pt>
                <c:pt idx="4" formatCode="0.0">
                  <c:v>0.5</c:v>
                </c:pt>
                <c:pt idx="5" formatCode="0.0">
                  <c:v>0.7</c:v>
                </c:pt>
                <c:pt idx="6" formatCode="0.0">
                  <c:v>1</c:v>
                </c:pt>
                <c:pt idx="7" formatCode="0.0">
                  <c:v>2</c:v>
                </c:pt>
                <c:pt idx="8" formatCode="0.0">
                  <c:v>3</c:v>
                </c:pt>
              </c:numCache>
            </c:numRef>
          </c:xVal>
          <c:yVal>
            <c:numRef>
              <c:f>Analysis!$F$54:$F$62</c:f>
              <c:numCache>
                <c:formatCode>0.000</c:formatCode>
                <c:ptCount val="9"/>
                <c:pt idx="0">
                  <c:v>#N/A</c:v>
                </c:pt>
                <c:pt idx="1">
                  <c:v>3.7555409170138185E-3</c:v>
                </c:pt>
                <c:pt idx="2">
                  <c:v>1.6899934126562183E-2</c:v>
                </c:pt>
                <c:pt idx="3">
                  <c:v>3.0044327336110548E-2</c:v>
                </c:pt>
                <c:pt idx="4">
                  <c:v>5.6333113755207172E-2</c:v>
                </c:pt>
                <c:pt idx="5">
                  <c:v>8.4499670632810817E-2</c:v>
                </c:pt>
                <c:pt idx="6">
                  <c:v>0.12393285026145591</c:v>
                </c:pt>
                <c:pt idx="7">
                  <c:v>0.13895501392951118</c:v>
                </c:pt>
                <c:pt idx="8">
                  <c:v>#N/A</c:v>
                </c:pt>
              </c:numCache>
            </c:numRef>
          </c:yVal>
          <c:smooth val="0"/>
          <c:extLst>
            <c:ext xmlns:c16="http://schemas.microsoft.com/office/drawing/2014/chart" uri="{C3380CC4-5D6E-409C-BE32-E72D297353CC}">
              <c16:uniqueId val="{00000001-0173-4237-A39D-F0A81CC28E11}"/>
            </c:ext>
          </c:extLst>
        </c:ser>
        <c:ser>
          <c:idx val="2"/>
          <c:order val="2"/>
          <c:tx>
            <c:v>6cFF aSG</c:v>
          </c:tx>
          <c:spPr>
            <a:ln w="25400" cap="rnd">
              <a:noFill/>
              <a:round/>
            </a:ln>
            <a:effectLst/>
          </c:spPr>
          <c:marker>
            <c:symbol val="circle"/>
            <c:size val="5"/>
            <c:spPr>
              <a:solidFill>
                <a:schemeClr val="accent3"/>
              </a:solidFill>
              <a:ln w="9525">
                <a:solidFill>
                  <a:schemeClr val="accent3"/>
                </a:solidFill>
              </a:ln>
              <a:effectLst/>
            </c:spPr>
          </c:marker>
          <c:xVal>
            <c:numRef>
              <c:f>Analysis!$B$54:$B$62</c:f>
              <c:numCache>
                <c:formatCode>General</c:formatCode>
                <c:ptCount val="9"/>
                <c:pt idx="0" formatCode="0.0">
                  <c:v>0</c:v>
                </c:pt>
                <c:pt idx="1">
                  <c:v>0.1</c:v>
                </c:pt>
                <c:pt idx="2" formatCode="0.0">
                  <c:v>0.2</c:v>
                </c:pt>
                <c:pt idx="3" formatCode="0.0">
                  <c:v>0.3</c:v>
                </c:pt>
                <c:pt idx="4" formatCode="0.0">
                  <c:v>0.5</c:v>
                </c:pt>
                <c:pt idx="5" formatCode="0.0">
                  <c:v>0.7</c:v>
                </c:pt>
                <c:pt idx="6" formatCode="0.0">
                  <c:v>1</c:v>
                </c:pt>
                <c:pt idx="7" formatCode="0.0">
                  <c:v>2</c:v>
                </c:pt>
                <c:pt idx="8" formatCode="0.0">
                  <c:v>3</c:v>
                </c:pt>
              </c:numCache>
            </c:numRef>
          </c:xVal>
          <c:yVal>
            <c:numRef>
              <c:f>Analysis!$H$54:$H$62</c:f>
              <c:numCache>
                <c:formatCode>0.000</c:formatCode>
                <c:ptCount val="9"/>
                <c:pt idx="0">
                  <c:v>#N/A</c:v>
                </c:pt>
                <c:pt idx="1">
                  <c:v>#N/A</c:v>
                </c:pt>
                <c:pt idx="2">
                  <c:v>1.3899826876911076E-2</c:v>
                </c:pt>
                <c:pt idx="3">
                  <c:v>#N/A</c:v>
                </c:pt>
                <c:pt idx="4">
                  <c:v>5.629429885149001E-2</c:v>
                </c:pt>
                <c:pt idx="5">
                  <c:v>#N/A</c:v>
                </c:pt>
                <c:pt idx="6">
                  <c:v>0.12718341592373664</c:v>
                </c:pt>
                <c:pt idx="7">
                  <c:v>0.14386320817602996</c:v>
                </c:pt>
                <c:pt idx="8">
                  <c:v>0.14386320817602996</c:v>
                </c:pt>
              </c:numCache>
            </c:numRef>
          </c:yVal>
          <c:smooth val="0"/>
          <c:extLst>
            <c:ext xmlns:c16="http://schemas.microsoft.com/office/drawing/2014/chart" uri="{C3380CC4-5D6E-409C-BE32-E72D297353CC}">
              <c16:uniqueId val="{00000002-0173-4237-A39D-F0A81CC28E11}"/>
            </c:ext>
          </c:extLst>
        </c:ser>
        <c:ser>
          <c:idx val="3"/>
          <c:order val="3"/>
          <c:tx>
            <c:v>10cFF aSG</c:v>
          </c:tx>
          <c:spPr>
            <a:ln w="25400" cap="rnd">
              <a:noFill/>
              <a:round/>
            </a:ln>
            <a:effectLst/>
          </c:spPr>
          <c:marker>
            <c:symbol val="circle"/>
            <c:size val="5"/>
            <c:spPr>
              <a:solidFill>
                <a:schemeClr val="accent4"/>
              </a:solidFill>
              <a:ln w="9525">
                <a:solidFill>
                  <a:schemeClr val="accent4"/>
                </a:solidFill>
              </a:ln>
              <a:effectLst/>
            </c:spPr>
          </c:marker>
          <c:xVal>
            <c:numRef>
              <c:f>Analysis!$B$54:$B$62</c:f>
              <c:numCache>
                <c:formatCode>General</c:formatCode>
                <c:ptCount val="9"/>
                <c:pt idx="0" formatCode="0.0">
                  <c:v>0</c:v>
                </c:pt>
                <c:pt idx="1">
                  <c:v>0.1</c:v>
                </c:pt>
                <c:pt idx="2" formatCode="0.0">
                  <c:v>0.2</c:v>
                </c:pt>
                <c:pt idx="3" formatCode="0.0">
                  <c:v>0.3</c:v>
                </c:pt>
                <c:pt idx="4" formatCode="0.0">
                  <c:v>0.5</c:v>
                </c:pt>
                <c:pt idx="5" formatCode="0.0">
                  <c:v>0.7</c:v>
                </c:pt>
                <c:pt idx="6" formatCode="0.0">
                  <c:v>1</c:v>
                </c:pt>
                <c:pt idx="7" formatCode="0.0">
                  <c:v>2</c:v>
                </c:pt>
                <c:pt idx="8" formatCode="0.0">
                  <c:v>3</c:v>
                </c:pt>
              </c:numCache>
            </c:numRef>
          </c:xVal>
          <c:yVal>
            <c:numRef>
              <c:f>Analysis!$J$54:$J$62</c:f>
              <c:numCache>
                <c:formatCode>0.000</c:formatCode>
                <c:ptCount val="9"/>
                <c:pt idx="0">
                  <c:v>#N/A</c:v>
                </c:pt>
                <c:pt idx="1">
                  <c:v>#N/A</c:v>
                </c:pt>
                <c:pt idx="2">
                  <c:v>9.000000000000008E-3</c:v>
                </c:pt>
                <c:pt idx="3">
                  <c:v>#N/A</c:v>
                </c:pt>
                <c:pt idx="4">
                  <c:v>2.9999999999999971E-2</c:v>
                </c:pt>
                <c:pt idx="5">
                  <c:v>#N/A</c:v>
                </c:pt>
                <c:pt idx="6">
                  <c:v>6.5999999999999975E-2</c:v>
                </c:pt>
                <c:pt idx="7">
                  <c:v>7.3999999999999982E-2</c:v>
                </c:pt>
                <c:pt idx="8">
                  <c:v>#N/A</c:v>
                </c:pt>
              </c:numCache>
            </c:numRef>
          </c:yVal>
          <c:smooth val="0"/>
          <c:extLst>
            <c:ext xmlns:c16="http://schemas.microsoft.com/office/drawing/2014/chart" uri="{C3380CC4-5D6E-409C-BE32-E72D297353CC}">
              <c16:uniqueId val="{00000003-0173-4237-A39D-F0A81CC28E11}"/>
            </c:ext>
          </c:extLst>
        </c:ser>
        <c:dLbls>
          <c:showLegendKey val="0"/>
          <c:showVal val="0"/>
          <c:showCatName val="0"/>
          <c:showSerName val="0"/>
          <c:showPercent val="0"/>
          <c:showBubbleSize val="0"/>
        </c:dLbls>
        <c:axId val="1831920912"/>
        <c:axId val="1831920080"/>
      </c:scatterChart>
      <c:valAx>
        <c:axId val="1831920912"/>
        <c:scaling>
          <c:orientation val="minMax"/>
          <c:max val="3.2"/>
          <c:min val="-0.2"/>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Gap [cm]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920080"/>
        <c:crosses val="autoZero"/>
        <c:crossBetween val="midCat"/>
        <c:majorUnit val="0.2"/>
      </c:valAx>
      <c:valAx>
        <c:axId val="183192008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 [nC]</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920912"/>
        <c:crossesAt val="-0.2"/>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'6FFF_measurements'!$H$30:$H$37</c:f>
              <c:strCache>
                <c:ptCount val="8"/>
                <c:pt idx="0">
                  <c:v>0.0298</c:v>
                </c:pt>
                <c:pt idx="1">
                  <c:v>0.0457</c:v>
                </c:pt>
                <c:pt idx="2">
                  <c:v>0.0623</c:v>
                </c:pt>
                <c:pt idx="3">
                  <c:v>0.0947</c:v>
                </c:pt>
                <c:pt idx="4">
                  <c:v>0.1279</c:v>
                </c:pt>
                <c:pt idx="5">
                  <c:v>0.1444</c:v>
                </c:pt>
                <c:pt idx="6">
                  <c:v>0.1776</c:v>
                </c:pt>
                <c:pt idx="7">
                  <c:v>0.2405</c:v>
                </c:pt>
              </c:strCache>
            </c:strRef>
          </c:tx>
          <c:spPr>
            <a:ln w="25400" cap="rnd">
              <a:noFill/>
              <a:round/>
            </a:ln>
            <a:effectLst/>
          </c:spPr>
          <c:marker>
            <c:symbol val="circle"/>
            <c:size val="5"/>
            <c:spPr>
              <a:solidFill>
                <a:schemeClr val="accent1"/>
              </a:solidFill>
              <a:ln w="9525">
                <a:solidFill>
                  <a:schemeClr val="accent1"/>
                </a:solidFill>
              </a:ln>
              <a:effectLst/>
            </c:spPr>
          </c:marker>
          <c:xVal>
            <c:numRef>
              <c:f>'6FFF_measurements'!$B$30:$B$37</c:f>
              <c:numCache>
                <c:formatCode>0.0</c:formatCode>
                <c:ptCount val="8"/>
                <c:pt idx="0">
                  <c:v>0.2</c:v>
                </c:pt>
                <c:pt idx="1">
                  <c:v>0.4</c:v>
                </c:pt>
                <c:pt idx="2">
                  <c:v>0.6</c:v>
                </c:pt>
                <c:pt idx="3">
                  <c:v>1</c:v>
                </c:pt>
                <c:pt idx="4">
                  <c:v>1.4</c:v>
                </c:pt>
                <c:pt idx="5">
                  <c:v>1.6</c:v>
                </c:pt>
                <c:pt idx="6">
                  <c:v>2</c:v>
                </c:pt>
                <c:pt idx="7">
                  <c:v>3</c:v>
                </c:pt>
              </c:numCache>
            </c:numRef>
          </c:xVal>
          <c:yVal>
            <c:numRef>
              <c:f>'6FFF_measurements'!$H$30:$H$37</c:f>
              <c:numCache>
                <c:formatCode>0.0000</c:formatCode>
                <c:ptCount val="8"/>
                <c:pt idx="0">
                  <c:v>2.9814487632508831E-2</c:v>
                </c:pt>
                <c:pt idx="1">
                  <c:v>4.5715547703180211E-2</c:v>
                </c:pt>
                <c:pt idx="2">
                  <c:v>6.2279151943462896E-2</c:v>
                </c:pt>
                <c:pt idx="3">
                  <c:v>9.4743816254416954E-2</c:v>
                </c:pt>
                <c:pt idx="4">
                  <c:v>0.12787102473498232</c:v>
                </c:pt>
                <c:pt idx="5">
                  <c:v>0.14443462897526502</c:v>
                </c:pt>
                <c:pt idx="6">
                  <c:v>0.1775618374558304</c:v>
                </c:pt>
                <c:pt idx="7">
                  <c:v>0.24050353356890458</c:v>
                </c:pt>
              </c:numCache>
            </c:numRef>
          </c:yVal>
          <c:smooth val="0"/>
          <c:extLst>
            <c:ext xmlns:c16="http://schemas.microsoft.com/office/drawing/2014/chart" uri="{C3380CC4-5D6E-409C-BE32-E72D297353CC}">
              <c16:uniqueId val="{00000000-1B43-4AAD-9A53-C668F2FD2B5A}"/>
            </c:ext>
          </c:extLst>
        </c:ser>
        <c:ser>
          <c:idx val="1"/>
          <c:order val="1"/>
          <c:tx>
            <c:v>LINE</c:v>
          </c:tx>
          <c:spPr>
            <a:ln w="25400" cap="rnd">
              <a:solidFill>
                <a:schemeClr val="tx1">
                  <a:alpha val="50000"/>
                </a:schemeClr>
              </a:solidFill>
              <a:round/>
            </a:ln>
            <a:effectLst/>
          </c:spPr>
          <c:marker>
            <c:symbol val="none"/>
          </c:marker>
          <c:xVal>
            <c:numRef>
              <c:f>'6FFF_measurements'!$B$30:$B$37</c:f>
              <c:numCache>
                <c:formatCode>0.0</c:formatCode>
                <c:ptCount val="8"/>
                <c:pt idx="0">
                  <c:v>0.2</c:v>
                </c:pt>
                <c:pt idx="1">
                  <c:v>0.4</c:v>
                </c:pt>
                <c:pt idx="2">
                  <c:v>0.6</c:v>
                </c:pt>
                <c:pt idx="3">
                  <c:v>1</c:v>
                </c:pt>
                <c:pt idx="4">
                  <c:v>1.4</c:v>
                </c:pt>
                <c:pt idx="5">
                  <c:v>1.6</c:v>
                </c:pt>
                <c:pt idx="6">
                  <c:v>2</c:v>
                </c:pt>
                <c:pt idx="7">
                  <c:v>3</c:v>
                </c:pt>
              </c:numCache>
            </c:numRef>
          </c:xVal>
          <c:yVal>
            <c:numRef>
              <c:f>'6FFF_measurements'!$L$30:$L$37</c:f>
              <c:numCache>
                <c:formatCode>General</c:formatCode>
                <c:ptCount val="8"/>
                <c:pt idx="0">
                  <c:v>2.9425172148228675E-2</c:v>
                </c:pt>
                <c:pt idx="1">
                  <c:v>4.5854285584850947E-2</c:v>
                </c:pt>
                <c:pt idx="2">
                  <c:v>6.2283399021473222E-2</c:v>
                </c:pt>
                <c:pt idx="3">
                  <c:v>9.5141625894717766E-2</c:v>
                </c:pt>
                <c:pt idx="4">
                  <c:v>0.1279998527679623</c:v>
                </c:pt>
                <c:pt idx="5">
                  <c:v>0.14442896620458456</c:v>
                </c:pt>
                <c:pt idx="6">
                  <c:v>0.17728719307782914</c:v>
                </c:pt>
                <c:pt idx="7">
                  <c:v>0.25943276026094048</c:v>
                </c:pt>
              </c:numCache>
            </c:numRef>
          </c:yVal>
          <c:smooth val="0"/>
          <c:extLst>
            <c:ext xmlns:c16="http://schemas.microsoft.com/office/drawing/2014/chart" uri="{C3380CC4-5D6E-409C-BE32-E72D297353CC}">
              <c16:uniqueId val="{00000001-1B43-4AAD-9A53-C668F2FD2B5A}"/>
            </c:ext>
          </c:extLst>
        </c:ser>
        <c:dLbls>
          <c:showLegendKey val="0"/>
          <c:showVal val="0"/>
          <c:showCatName val="0"/>
          <c:showSerName val="0"/>
          <c:showPercent val="0"/>
          <c:showBubbleSize val="0"/>
        </c:dLbls>
        <c:axId val="1101730368"/>
        <c:axId val="1101729120"/>
      </c:scatterChart>
      <c:valAx>
        <c:axId val="110173036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 [cm]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729120"/>
        <c:crosses val="autoZero"/>
        <c:crossBetween val="midCat"/>
      </c:valAx>
      <c:valAx>
        <c:axId val="110172912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Fluence A.U.</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7303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'6FFF_measurements'!$H$48</c:f>
              <c:strCache>
                <c:ptCount val="1"/>
                <c:pt idx="0">
                  <c:v>DELTA </c:v>
                </c:pt>
              </c:strCache>
            </c:strRef>
          </c:tx>
          <c:spPr>
            <a:ln w="25400" cap="rnd">
              <a:noFill/>
              <a:round/>
            </a:ln>
            <a:effectLst/>
          </c:spPr>
          <c:marker>
            <c:symbol val="circle"/>
            <c:size val="5"/>
            <c:spPr>
              <a:solidFill>
                <a:schemeClr val="accent1"/>
              </a:solidFill>
              <a:ln w="9525">
                <a:solidFill>
                  <a:schemeClr val="accent1"/>
                </a:solidFill>
              </a:ln>
              <a:effectLst/>
            </c:spPr>
          </c:marker>
          <c:xVal>
            <c:numRef>
              <c:f>'6FFF_measurements'!$B$49:$B$57</c:f>
              <c:numCache>
                <c:formatCode>General</c:formatCode>
                <c:ptCount val="9"/>
                <c:pt idx="0" formatCode="0.0">
                  <c:v>0</c:v>
                </c:pt>
                <c:pt idx="1">
                  <c:v>0.1</c:v>
                </c:pt>
                <c:pt idx="2" formatCode="0.0">
                  <c:v>0.2</c:v>
                </c:pt>
                <c:pt idx="3" formatCode="0.0">
                  <c:v>0.3</c:v>
                </c:pt>
                <c:pt idx="4" formatCode="0.0">
                  <c:v>0.5</c:v>
                </c:pt>
                <c:pt idx="5" formatCode="0.0">
                  <c:v>0.7</c:v>
                </c:pt>
                <c:pt idx="6" formatCode="0.0">
                  <c:v>1</c:v>
                </c:pt>
                <c:pt idx="7" formatCode="0.0">
                  <c:v>2</c:v>
                </c:pt>
                <c:pt idx="8" formatCode="0.0">
                  <c:v>3</c:v>
                </c:pt>
              </c:numCache>
            </c:numRef>
          </c:xVal>
          <c:yVal>
            <c:numRef>
              <c:f>'6FFF_measurements'!$H$49:$H$57</c:f>
              <c:numCache>
                <c:formatCode>0.0000</c:formatCode>
                <c:ptCount val="9"/>
                <c:pt idx="0">
                  <c:v>0</c:v>
                </c:pt>
                <c:pt idx="1">
                  <c:v>1.3250883392226243E-3</c:v>
                </c:pt>
                <c:pt idx="2">
                  <c:v>5.9628975265017814E-3</c:v>
                </c:pt>
                <c:pt idx="3">
                  <c:v>9.9381625441696264E-3</c:v>
                </c:pt>
                <c:pt idx="4">
                  <c:v>1.8551236749116629E-2</c:v>
                </c:pt>
                <c:pt idx="5">
                  <c:v>2.7164310954063631E-2</c:v>
                </c:pt>
                <c:pt idx="6">
                  <c:v>3.9752650176678478E-2</c:v>
                </c:pt>
                <c:pt idx="7">
                  <c:v>4.4721731448763263E-2</c:v>
                </c:pt>
                <c:pt idx="8">
                  <c:v>4.5053003533568919E-2</c:v>
                </c:pt>
              </c:numCache>
            </c:numRef>
          </c:yVal>
          <c:smooth val="0"/>
          <c:extLst>
            <c:ext xmlns:c16="http://schemas.microsoft.com/office/drawing/2014/chart" uri="{C3380CC4-5D6E-409C-BE32-E72D297353CC}">
              <c16:uniqueId val="{00000000-4BCE-4A02-9928-44DA71D2C6CF}"/>
            </c:ext>
          </c:extLst>
        </c:ser>
        <c:ser>
          <c:idx val="1"/>
          <c:order val="1"/>
          <c:tx>
            <c:strRef>
              <c:f>'10FFF_measurements'!$B$49:$B$54</c:f>
              <c:strCache>
                <c:ptCount val="6"/>
                <c:pt idx="0">
                  <c:v>0.1</c:v>
                </c:pt>
                <c:pt idx="1">
                  <c:v>0.2</c:v>
                </c:pt>
                <c:pt idx="2">
                  <c:v>0.3</c:v>
                </c:pt>
                <c:pt idx="3">
                  <c:v>0.5</c:v>
                </c:pt>
                <c:pt idx="4">
                  <c:v>0.7</c:v>
                </c:pt>
                <c:pt idx="5">
                  <c:v>1.0</c:v>
                </c:pt>
              </c:strCache>
            </c:strRef>
          </c:tx>
          <c:spPr>
            <a:ln w="25400" cap="rnd">
              <a:solidFill>
                <a:schemeClr val="tx1">
                  <a:alpha val="50000"/>
                </a:schemeClr>
              </a:solidFill>
              <a:round/>
            </a:ln>
            <a:effectLst/>
          </c:spPr>
          <c:marker>
            <c:symbol val="none"/>
          </c:marker>
          <c:xVal>
            <c:numRef>
              <c:f>'6FFF_measurements'!$B$50:$B$55</c:f>
              <c:numCache>
                <c:formatCode>0.0</c:formatCode>
                <c:ptCount val="6"/>
                <c:pt idx="0" formatCode="General">
                  <c:v>0.1</c:v>
                </c:pt>
                <c:pt idx="1">
                  <c:v>0.2</c:v>
                </c:pt>
                <c:pt idx="2">
                  <c:v>0.3</c:v>
                </c:pt>
                <c:pt idx="3">
                  <c:v>0.5</c:v>
                </c:pt>
                <c:pt idx="4">
                  <c:v>0.7</c:v>
                </c:pt>
                <c:pt idx="5">
                  <c:v>1</c:v>
                </c:pt>
              </c:numCache>
            </c:numRef>
          </c:xVal>
          <c:yVal>
            <c:numRef>
              <c:f>'6FFF_measurements'!$I$50:$I$55</c:f>
              <c:numCache>
                <c:formatCode>General</c:formatCode>
                <c:ptCount val="6"/>
                <c:pt idx="0">
                  <c:v>1.4945763826115684E-3</c:v>
                </c:pt>
                <c:pt idx="1">
                  <c:v>5.7548894732517217E-3</c:v>
                </c:pt>
                <c:pt idx="2">
                  <c:v>1.0015202563891875E-2</c:v>
                </c:pt>
                <c:pt idx="3">
                  <c:v>1.8535828745172182E-2</c:v>
                </c:pt>
                <c:pt idx="4">
                  <c:v>2.7056454926452485E-2</c:v>
                </c:pt>
                <c:pt idx="5">
                  <c:v>3.9837394198372948E-2</c:v>
                </c:pt>
              </c:numCache>
            </c:numRef>
          </c:yVal>
          <c:smooth val="0"/>
          <c:extLst>
            <c:ext xmlns:c16="http://schemas.microsoft.com/office/drawing/2014/chart" uri="{C3380CC4-5D6E-409C-BE32-E72D297353CC}">
              <c16:uniqueId val="{00000001-4BCE-4A02-9928-44DA71D2C6CF}"/>
            </c:ext>
          </c:extLst>
        </c:ser>
        <c:dLbls>
          <c:showLegendKey val="0"/>
          <c:showVal val="0"/>
          <c:showCatName val="0"/>
          <c:showSerName val="0"/>
          <c:showPercent val="0"/>
          <c:showBubbleSize val="0"/>
        </c:dLbls>
        <c:axId val="784511696"/>
        <c:axId val="784509200"/>
      </c:scatterChart>
      <c:valAx>
        <c:axId val="784511696"/>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t>
                </a:r>
                <a:r>
                  <a:rPr lang="en-GB" baseline="0"/>
                  <a:t> [cm]</a:t>
                </a:r>
                <a:endParaRPr lang="en-GB"/>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509200"/>
        <c:crosses val="autoZero"/>
        <c:crossBetween val="midCat"/>
      </c:valAx>
      <c:valAx>
        <c:axId val="784509200"/>
        <c:scaling>
          <c:orientation val="minMax"/>
          <c:max val="5.000000000000001E-2"/>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Delta</a:t>
                </a:r>
                <a:r>
                  <a:rPr lang="en-GB" baseline="0"/>
                  <a:t> Fluence A.U.</a:t>
                </a:r>
                <a:endParaRPr lang="en-GB"/>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5116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'10FFF_measurements'!$H$47</c:f>
              <c:strCache>
                <c:ptCount val="1"/>
                <c:pt idx="0">
                  <c:v>DELTA </c:v>
                </c:pt>
              </c:strCache>
            </c:strRef>
          </c:tx>
          <c:spPr>
            <a:ln w="25400" cap="rnd">
              <a:noFill/>
              <a:round/>
            </a:ln>
            <a:effectLst/>
          </c:spPr>
          <c:marker>
            <c:symbol val="circle"/>
            <c:size val="5"/>
            <c:spPr>
              <a:solidFill>
                <a:schemeClr val="accent1"/>
              </a:solidFill>
              <a:ln w="9525">
                <a:solidFill>
                  <a:schemeClr val="accent1"/>
                </a:solidFill>
              </a:ln>
              <a:effectLst/>
            </c:spPr>
          </c:marker>
          <c:xVal>
            <c:numRef>
              <c:f>'10FFF_measurements'!$B$48:$B$55</c:f>
              <c:numCache>
                <c:formatCode>General</c:formatCode>
                <c:ptCount val="8"/>
                <c:pt idx="0" formatCode="0.0">
                  <c:v>0</c:v>
                </c:pt>
                <c:pt idx="1">
                  <c:v>0.1</c:v>
                </c:pt>
                <c:pt idx="2" formatCode="0.0">
                  <c:v>0.2</c:v>
                </c:pt>
                <c:pt idx="3" formatCode="0.0">
                  <c:v>0.3</c:v>
                </c:pt>
                <c:pt idx="4" formatCode="0.0">
                  <c:v>0.5</c:v>
                </c:pt>
                <c:pt idx="5" formatCode="0.0">
                  <c:v>0.7</c:v>
                </c:pt>
                <c:pt idx="6" formatCode="0.0">
                  <c:v>1</c:v>
                </c:pt>
                <c:pt idx="7" formatCode="0.0">
                  <c:v>2</c:v>
                </c:pt>
              </c:numCache>
            </c:numRef>
          </c:xVal>
          <c:yVal>
            <c:numRef>
              <c:f>'10FFF_measurements'!$H$48:$H$55</c:f>
              <c:numCache>
                <c:formatCode>0.0000</c:formatCode>
                <c:ptCount val="8"/>
                <c:pt idx="0">
                  <c:v>0</c:v>
                </c:pt>
                <c:pt idx="1">
                  <c:v>1.1670881151526757E-3</c:v>
                </c:pt>
                <c:pt idx="2">
                  <c:v>5.2518965181871102E-3</c:v>
                </c:pt>
                <c:pt idx="3">
                  <c:v>9.3367049212215447E-3</c:v>
                </c:pt>
                <c:pt idx="4">
                  <c:v>1.7506321727290386E-2</c:v>
                </c:pt>
                <c:pt idx="5">
                  <c:v>2.6259482590935607E-2</c:v>
                </c:pt>
                <c:pt idx="6">
                  <c:v>3.851390780003891E-2</c:v>
                </c:pt>
                <c:pt idx="7">
                  <c:v>4.3182260260649669E-2</c:v>
                </c:pt>
              </c:numCache>
            </c:numRef>
          </c:yVal>
          <c:smooth val="0"/>
          <c:extLst>
            <c:ext xmlns:c16="http://schemas.microsoft.com/office/drawing/2014/chart" uri="{C3380CC4-5D6E-409C-BE32-E72D297353CC}">
              <c16:uniqueId val="{00000000-572F-4DE4-BE8E-DEE862CD1FA6}"/>
            </c:ext>
          </c:extLst>
        </c:ser>
        <c:ser>
          <c:idx val="1"/>
          <c:order val="1"/>
          <c:tx>
            <c:v>LINE</c:v>
          </c:tx>
          <c:spPr>
            <a:ln w="25400" cap="rnd">
              <a:solidFill>
                <a:schemeClr val="tx1">
                  <a:alpha val="50000"/>
                </a:schemeClr>
              </a:solidFill>
              <a:round/>
            </a:ln>
            <a:effectLst/>
          </c:spPr>
          <c:marker>
            <c:symbol val="none"/>
          </c:marker>
          <c:xVal>
            <c:numRef>
              <c:f>'10FFF_measurements'!$B$49:$B$54</c:f>
              <c:numCache>
                <c:formatCode>0.0</c:formatCode>
                <c:ptCount val="6"/>
                <c:pt idx="0" formatCode="General">
                  <c:v>0.1</c:v>
                </c:pt>
                <c:pt idx="1">
                  <c:v>0.2</c:v>
                </c:pt>
                <c:pt idx="2">
                  <c:v>0.3</c:v>
                </c:pt>
                <c:pt idx="3">
                  <c:v>0.5</c:v>
                </c:pt>
                <c:pt idx="4">
                  <c:v>0.7</c:v>
                </c:pt>
                <c:pt idx="5">
                  <c:v>1</c:v>
                </c:pt>
              </c:numCache>
            </c:numRef>
          </c:xVal>
          <c:yVal>
            <c:numRef>
              <c:f>'10FFF_measurements'!$I$49:$I$54</c:f>
              <c:numCache>
                <c:formatCode>General</c:formatCode>
                <c:ptCount val="6"/>
                <c:pt idx="0">
                  <c:v>1.075485268905229E-3</c:v>
                </c:pt>
                <c:pt idx="1">
                  <c:v>5.2383257261504508E-3</c:v>
                </c:pt>
                <c:pt idx="2">
                  <c:v>9.4011661833956726E-3</c:v>
                </c:pt>
                <c:pt idx="3">
                  <c:v>1.7726847097886116E-2</c:v>
                </c:pt>
                <c:pt idx="4">
                  <c:v>2.6052528012376557E-2</c:v>
                </c:pt>
                <c:pt idx="5">
                  <c:v>3.8541049384112222E-2</c:v>
                </c:pt>
              </c:numCache>
            </c:numRef>
          </c:yVal>
          <c:smooth val="0"/>
          <c:extLst>
            <c:ext xmlns:c16="http://schemas.microsoft.com/office/drawing/2014/chart" uri="{C3380CC4-5D6E-409C-BE32-E72D297353CC}">
              <c16:uniqueId val="{00000003-572F-4DE4-BE8E-DEE862CD1FA6}"/>
            </c:ext>
          </c:extLst>
        </c:ser>
        <c:dLbls>
          <c:showLegendKey val="0"/>
          <c:showVal val="0"/>
          <c:showCatName val="0"/>
          <c:showSerName val="0"/>
          <c:showPercent val="0"/>
          <c:showBubbleSize val="0"/>
        </c:dLbls>
        <c:axId val="784511696"/>
        <c:axId val="784509200"/>
      </c:scatterChart>
      <c:valAx>
        <c:axId val="784511696"/>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t>
                </a:r>
                <a:r>
                  <a:rPr lang="en-GB" baseline="0"/>
                  <a:t> [cm]</a:t>
                </a:r>
                <a:endParaRPr lang="en-GB"/>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509200"/>
        <c:crosses val="autoZero"/>
        <c:crossBetween val="midCat"/>
      </c:valAx>
      <c:valAx>
        <c:axId val="784509200"/>
        <c:scaling>
          <c:orientation val="minMax"/>
          <c:max val="5.000000000000001E-2"/>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Delta</a:t>
                </a:r>
                <a:r>
                  <a:rPr lang="en-GB" baseline="0"/>
                  <a:t> Fluence A.U.</a:t>
                </a:r>
                <a:endParaRPr lang="en-GB"/>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5116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'10FFF_measurements'!$H$29</c:f>
              <c:strCache>
                <c:ptCount val="1"/>
                <c:pt idx="0">
                  <c:v>RATIO</c:v>
                </c:pt>
              </c:strCache>
            </c:strRef>
          </c:tx>
          <c:spPr>
            <a:ln w="25400" cap="rnd">
              <a:noFill/>
              <a:round/>
            </a:ln>
            <a:effectLst/>
          </c:spPr>
          <c:marker>
            <c:symbol val="circle"/>
            <c:size val="5"/>
            <c:spPr>
              <a:solidFill>
                <a:schemeClr val="accent1"/>
              </a:solidFill>
              <a:ln w="9525">
                <a:solidFill>
                  <a:schemeClr val="accent1"/>
                </a:solidFill>
              </a:ln>
              <a:effectLst/>
            </c:spPr>
          </c:marker>
          <c:xVal>
            <c:numRef>
              <c:f>'10FFF_measurements'!$B$30:$B$37</c:f>
              <c:numCache>
                <c:formatCode>0.0</c:formatCode>
                <c:ptCount val="8"/>
                <c:pt idx="0">
                  <c:v>0.2</c:v>
                </c:pt>
                <c:pt idx="1">
                  <c:v>0.4</c:v>
                </c:pt>
                <c:pt idx="2">
                  <c:v>0.6</c:v>
                </c:pt>
                <c:pt idx="3">
                  <c:v>1</c:v>
                </c:pt>
                <c:pt idx="4">
                  <c:v>1.4</c:v>
                </c:pt>
                <c:pt idx="5">
                  <c:v>1.6</c:v>
                </c:pt>
                <c:pt idx="6">
                  <c:v>2</c:v>
                </c:pt>
                <c:pt idx="7">
                  <c:v>3</c:v>
                </c:pt>
              </c:numCache>
            </c:numRef>
          </c:xVal>
          <c:yVal>
            <c:numRef>
              <c:f>'10FFF_measurements'!$H$30:$H$37</c:f>
              <c:numCache>
                <c:formatCode>0.0000</c:formatCode>
                <c:ptCount val="8"/>
                <c:pt idx="0">
                  <c:v>3.2678467224275434E-2</c:v>
                </c:pt>
                <c:pt idx="1">
                  <c:v>4.8434156778836807E-2</c:v>
                </c:pt>
                <c:pt idx="2">
                  <c:v>6.5356934448550869E-2</c:v>
                </c:pt>
                <c:pt idx="3">
                  <c:v>9.8035401672826303E-2</c:v>
                </c:pt>
                <c:pt idx="4">
                  <c:v>0.13071386889710174</c:v>
                </c:pt>
                <c:pt idx="5">
                  <c:v>0.14822019062439215</c:v>
                </c:pt>
                <c:pt idx="6">
                  <c:v>0.18031511379109122</c:v>
                </c:pt>
                <c:pt idx="7">
                  <c:v>0.24333787200933668</c:v>
                </c:pt>
              </c:numCache>
            </c:numRef>
          </c:yVal>
          <c:smooth val="0"/>
          <c:extLst>
            <c:ext xmlns:c16="http://schemas.microsoft.com/office/drawing/2014/chart" uri="{C3380CC4-5D6E-409C-BE32-E72D297353CC}">
              <c16:uniqueId val="{00000000-8ACF-4695-84EA-BEBB70824E7D}"/>
            </c:ext>
          </c:extLst>
        </c:ser>
        <c:ser>
          <c:idx val="1"/>
          <c:order val="1"/>
          <c:tx>
            <c:v>LINE</c:v>
          </c:tx>
          <c:spPr>
            <a:ln w="25400" cap="rnd">
              <a:solidFill>
                <a:schemeClr val="tx1">
                  <a:alpha val="50000"/>
                </a:schemeClr>
              </a:solidFill>
              <a:round/>
            </a:ln>
            <a:effectLst/>
          </c:spPr>
          <c:marker>
            <c:symbol val="none"/>
          </c:marker>
          <c:xVal>
            <c:numRef>
              <c:f>'10FFF_measurements'!$B$30:$B$37</c:f>
              <c:numCache>
                <c:formatCode>0.0</c:formatCode>
                <c:ptCount val="8"/>
                <c:pt idx="0">
                  <c:v>0.2</c:v>
                </c:pt>
                <c:pt idx="1">
                  <c:v>0.4</c:v>
                </c:pt>
                <c:pt idx="2">
                  <c:v>0.6</c:v>
                </c:pt>
                <c:pt idx="3">
                  <c:v>1</c:v>
                </c:pt>
                <c:pt idx="4">
                  <c:v>1.4</c:v>
                </c:pt>
                <c:pt idx="5">
                  <c:v>1.6</c:v>
                </c:pt>
                <c:pt idx="6">
                  <c:v>2</c:v>
                </c:pt>
                <c:pt idx="7">
                  <c:v>3</c:v>
                </c:pt>
              </c:numCache>
            </c:numRef>
          </c:xVal>
          <c:yVal>
            <c:numRef>
              <c:f>'10FFF_measurements'!$L$30:$L$37</c:f>
              <c:numCache>
                <c:formatCode>General</c:formatCode>
                <c:ptCount val="8"/>
                <c:pt idx="0">
                  <c:v>3.2349288525129777E-2</c:v>
                </c:pt>
                <c:pt idx="1">
                  <c:v>4.8808223482411366E-2</c:v>
                </c:pt>
                <c:pt idx="2">
                  <c:v>6.5267158439692941E-2</c:v>
                </c:pt>
                <c:pt idx="3">
                  <c:v>9.8185028354256118E-2</c:v>
                </c:pt>
                <c:pt idx="4">
                  <c:v>0.13110289826881927</c:v>
                </c:pt>
                <c:pt idx="5">
                  <c:v>0.14756183322610089</c:v>
                </c:pt>
                <c:pt idx="6">
                  <c:v>0.18047970314066403</c:v>
                </c:pt>
                <c:pt idx="7">
                  <c:v>0.26277437792707198</c:v>
                </c:pt>
              </c:numCache>
            </c:numRef>
          </c:yVal>
          <c:smooth val="0"/>
          <c:extLst>
            <c:ext xmlns:c16="http://schemas.microsoft.com/office/drawing/2014/chart" uri="{C3380CC4-5D6E-409C-BE32-E72D297353CC}">
              <c16:uniqueId val="{00000001-8ACF-4695-84EA-BEBB70824E7D}"/>
            </c:ext>
          </c:extLst>
        </c:ser>
        <c:dLbls>
          <c:showLegendKey val="0"/>
          <c:showVal val="0"/>
          <c:showCatName val="0"/>
          <c:showSerName val="0"/>
          <c:showPercent val="0"/>
          <c:showBubbleSize val="0"/>
        </c:dLbls>
        <c:axId val="1101730368"/>
        <c:axId val="1101729120"/>
      </c:scatterChart>
      <c:valAx>
        <c:axId val="110173036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 [cm]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729120"/>
        <c:crosses val="autoZero"/>
        <c:crossBetween val="midCat"/>
      </c:valAx>
      <c:valAx>
        <c:axId val="110172912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Fluence A.U.</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7303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2</xdr:col>
      <xdr:colOff>2190750</xdr:colOff>
      <xdr:row>13</xdr:row>
      <xdr:rowOff>85725</xdr:rowOff>
    </xdr:from>
    <xdr:to>
      <xdr:col>2</xdr:col>
      <xdr:colOff>8286750</xdr:colOff>
      <xdr:row>36</xdr:row>
      <xdr:rowOff>57150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00" y="4286250"/>
          <a:ext cx="6096000" cy="4572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4200</xdr:colOff>
      <xdr:row>25</xdr:row>
      <xdr:rowOff>4507</xdr:rowOff>
    </xdr:from>
    <xdr:to>
      <xdr:col>9</xdr:col>
      <xdr:colOff>764254</xdr:colOff>
      <xdr:row>46</xdr:row>
      <xdr:rowOff>42606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460887</xdr:colOff>
      <xdr:row>82</xdr:row>
      <xdr:rowOff>143389</xdr:rowOff>
    </xdr:from>
    <xdr:to>
      <xdr:col>7</xdr:col>
      <xdr:colOff>1220941</xdr:colOff>
      <xdr:row>104</xdr:row>
      <xdr:rowOff>27859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200025</xdr:colOff>
      <xdr:row>25</xdr:row>
      <xdr:rowOff>219075</xdr:rowOff>
    </xdr:from>
    <xdr:to>
      <xdr:col>17</xdr:col>
      <xdr:colOff>581025</xdr:colOff>
      <xdr:row>39</xdr:row>
      <xdr:rowOff>123825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45</xdr:row>
      <xdr:rowOff>0</xdr:rowOff>
    </xdr:from>
    <xdr:to>
      <xdr:col>16</xdr:col>
      <xdr:colOff>381000</xdr:colOff>
      <xdr:row>58</xdr:row>
      <xdr:rowOff>88900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44</xdr:row>
      <xdr:rowOff>0</xdr:rowOff>
    </xdr:from>
    <xdr:to>
      <xdr:col>17</xdr:col>
      <xdr:colOff>381000</xdr:colOff>
      <xdr:row>57</xdr:row>
      <xdr:rowOff>133350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242887</xdr:colOff>
      <xdr:row>26</xdr:row>
      <xdr:rowOff>0</xdr:rowOff>
    </xdr:from>
    <xdr:to>
      <xdr:col>17</xdr:col>
      <xdr:colOff>623887</xdr:colOff>
      <xdr:row>39</xdr:row>
      <xdr:rowOff>133350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2" name="Table2" displayName="Table2" ref="A6:O16" totalsRowShown="0">
  <autoFilter ref="A6:O16"/>
  <sortState ref="A7:N15">
    <sortCondition ref="H6:H15"/>
  </sortState>
  <tableColumns count="15">
    <tableColumn id="1" name="Label"/>
    <tableColumn id="2" name="Area" dataDxfId="39"/>
    <tableColumn id="3" name="Mean" dataDxfId="38"/>
    <tableColumn id="4" name="StdDev" dataDxfId="37"/>
    <tableColumn id="5" name="Mode" dataDxfId="36"/>
    <tableColumn id="6" name="Min" dataDxfId="35"/>
    <tableColumn id="7" name="Max" dataDxfId="34"/>
    <tableColumn id="8" name="X" dataDxfId="33"/>
    <tableColumn id="9" name="Y" dataDxfId="32"/>
    <tableColumn id="10" name="IntDen" dataDxfId="31"/>
    <tableColumn id="11" name="Median" dataDxfId="30"/>
    <tableColumn id="12" name="%Area" dataDxfId="29"/>
    <tableColumn id="13" name="RawIntDen" dataDxfId="28"/>
    <tableColumn id="14" name="Gap [cm]" dataDxfId="27"/>
    <tableColumn id="15" name="EPID Signal" dataDxfId="14">
      <calculatedColumnFormula>Table2[[#This Row],[IntDen]]/$J$16</calculatedColumnFormula>
    </tableColumn>
  </tableColumns>
  <tableStyleInfo name="TableStyleLight9" showFirstColumn="0" showLastColumn="0" showRowStripes="1" showColumnStripes="0"/>
</table>
</file>

<file path=xl/tables/table2.xml><?xml version="1.0" encoding="utf-8"?>
<table xmlns="http://schemas.openxmlformats.org/spreadsheetml/2006/main" id="3" name="Table3" displayName="Table3" ref="A25:O35" totalsRowShown="0">
  <autoFilter ref="A25:O35"/>
  <sortState ref="A26:N35">
    <sortCondition descending="1" ref="A25:A35"/>
  </sortState>
  <tableColumns count="15">
    <tableColumn id="1" name="Label"/>
    <tableColumn id="2" name="Area" dataDxfId="26"/>
    <tableColumn id="3" name="Mean" dataDxfId="25"/>
    <tableColumn id="4" name="StdDev" dataDxfId="24"/>
    <tableColumn id="5" name="Mode" dataDxfId="23"/>
    <tableColumn id="6" name="Min" dataDxfId="22"/>
    <tableColumn id="7" name="Max" dataDxfId="21"/>
    <tableColumn id="8" name="X" dataDxfId="20"/>
    <tableColumn id="9" name="Y" dataDxfId="19"/>
    <tableColumn id="10" name="IntDen" dataDxfId="18"/>
    <tableColumn id="11" name="Median" dataDxfId="17"/>
    <tableColumn id="12" name="%Area" dataDxfId="16"/>
    <tableColumn id="13" name="RawIntDen" dataDxfId="15"/>
    <tableColumn id="14" name="Gap [cm]"/>
    <tableColumn id="15" name="EPID Signal" dataDxfId="13">
      <calculatedColumnFormula>Table3[[#This Row],[IntDen]]/$J$28</calculatedColumnFormula>
    </tableColumn>
  </tableColumns>
  <tableStyleInfo name="TableStyleLight9" showFirstColumn="0" showLastColumn="0" showRowStripes="1" showColumnStripes="0"/>
</table>
</file>

<file path=xl/tables/table3.xml><?xml version="1.0" encoding="utf-8"?>
<table xmlns="http://schemas.openxmlformats.org/spreadsheetml/2006/main" id="4" name="Table4" displayName="Table4" ref="A44:O54" totalsRowShown="0">
  <autoFilter ref="A44:O54"/>
  <sortState ref="A45:O54">
    <sortCondition ref="A44:A54"/>
  </sortState>
  <tableColumns count="15">
    <tableColumn id="1" name="Label"/>
    <tableColumn id="2" name="Area" dataDxfId="12"/>
    <tableColumn id="3" name="Mean" dataDxfId="11"/>
    <tableColumn id="4" name="StdDev" dataDxfId="10"/>
    <tableColumn id="5" name="Mode" dataDxfId="9"/>
    <tableColumn id="6" name="Min" dataDxfId="8"/>
    <tableColumn id="7" name="Max" dataDxfId="7"/>
    <tableColumn id="8" name="X" dataDxfId="6"/>
    <tableColumn id="9" name="Y" dataDxfId="5"/>
    <tableColumn id="10" name="IntDen" dataDxfId="4"/>
    <tableColumn id="11" name="Median" dataDxfId="3"/>
    <tableColumn id="12" name="%Area" dataDxfId="2"/>
    <tableColumn id="13" name="RawIntDen" dataDxfId="1"/>
    <tableColumn id="14" name="Gap [cm]"/>
    <tableColumn id="15" name="EPID Signal" dataDxfId="0">
      <calculatedColumnFormula>Table4[[#This Row],[IntDen]]/$J$52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oi.org/10.1088/1361-6560/aaf098"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topLeftCell="A7" workbookViewId="0">
      <selection activeCell="C12" sqref="C12"/>
    </sheetView>
  </sheetViews>
  <sheetFormatPr defaultColWidth="11" defaultRowHeight="15.75" x14ac:dyDescent="0.25"/>
  <cols>
    <col min="1" max="1" width="2.875" customWidth="1"/>
    <col min="2" max="2" width="20.875" customWidth="1"/>
    <col min="3" max="3" width="150.875" customWidth="1"/>
    <col min="4" max="4" width="2.875" customWidth="1"/>
  </cols>
  <sheetData>
    <row r="1" spans="2:3" ht="31.5" x14ac:dyDescent="0.25">
      <c r="B1" t="s">
        <v>0</v>
      </c>
      <c r="C1" s="1" t="s">
        <v>1</v>
      </c>
    </row>
    <row r="3" spans="2:3" x14ac:dyDescent="0.25">
      <c r="B3" t="s">
        <v>2</v>
      </c>
      <c r="C3" s="13" t="s">
        <v>32</v>
      </c>
    </row>
    <row r="4" spans="2:3" x14ac:dyDescent="0.25">
      <c r="B4" t="s">
        <v>3</v>
      </c>
      <c r="C4" s="14">
        <v>44928</v>
      </c>
    </row>
    <row r="5" spans="2:3" x14ac:dyDescent="0.25">
      <c r="B5" t="s">
        <v>4</v>
      </c>
      <c r="C5" s="13" t="s">
        <v>33</v>
      </c>
    </row>
    <row r="6" spans="2:3" x14ac:dyDescent="0.25">
      <c r="B6" t="s">
        <v>5</v>
      </c>
      <c r="C6" s="13" t="s">
        <v>34</v>
      </c>
    </row>
    <row r="8" spans="2:3" x14ac:dyDescent="0.25">
      <c r="B8" t="s">
        <v>6</v>
      </c>
      <c r="C8" t="s">
        <v>42</v>
      </c>
    </row>
    <row r="10" spans="2:3" ht="47.25" x14ac:dyDescent="0.25">
      <c r="B10" s="3" t="s">
        <v>7</v>
      </c>
      <c r="C10" s="2" t="s">
        <v>41</v>
      </c>
    </row>
    <row r="12" spans="2:3" ht="94.5" x14ac:dyDescent="0.25">
      <c r="B12" s="3" t="s">
        <v>43</v>
      </c>
      <c r="C12" s="2" t="s">
        <v>55</v>
      </c>
    </row>
  </sheetData>
  <hyperlinks>
    <hyperlink ref="C1" r:id="rId1" display="https://doi.org/10.1088/1361-6560/aaf098"/>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9"/>
  <sheetViews>
    <sheetView topLeftCell="A58" zoomScale="93" zoomScaleNormal="93" workbookViewId="0">
      <selection activeCell="D65" sqref="D65"/>
    </sheetView>
  </sheetViews>
  <sheetFormatPr defaultRowHeight="15.75" x14ac:dyDescent="0.25"/>
  <cols>
    <col min="1" max="1" width="2.625" customWidth="1"/>
    <col min="2" max="10" width="22.875" customWidth="1"/>
    <col min="11" max="11" width="2.625" customWidth="1"/>
  </cols>
  <sheetData>
    <row r="1" spans="2:10" ht="18" thickBot="1" x14ac:dyDescent="0.35">
      <c r="B1" s="41" t="s">
        <v>44</v>
      </c>
      <c r="C1" s="41"/>
      <c r="D1" s="41"/>
      <c r="E1" s="41"/>
      <c r="F1" s="41"/>
      <c r="G1" s="41"/>
      <c r="H1" s="41"/>
      <c r="I1" s="41"/>
      <c r="J1" s="41"/>
    </row>
    <row r="2" spans="2:10" ht="16.5" thickTop="1" x14ac:dyDescent="0.25"/>
    <row r="3" spans="2:10" x14ac:dyDescent="0.25">
      <c r="B3" s="31"/>
      <c r="C3" s="31" t="s">
        <v>45</v>
      </c>
      <c r="D3" s="34" t="s">
        <v>53</v>
      </c>
      <c r="E3" s="31" t="s">
        <v>46</v>
      </c>
      <c r="F3" s="34" t="s">
        <v>53</v>
      </c>
      <c r="G3" s="31" t="s">
        <v>47</v>
      </c>
      <c r="H3" s="34" t="s">
        <v>53</v>
      </c>
      <c r="I3" s="31" t="s">
        <v>48</v>
      </c>
      <c r="J3" s="34" t="s">
        <v>53</v>
      </c>
    </row>
    <row r="4" spans="2:10" x14ac:dyDescent="0.25">
      <c r="B4" s="31" t="s">
        <v>49</v>
      </c>
      <c r="C4" s="31">
        <f>'6FFF_measurements'!C9</f>
        <v>1.5093333333333334</v>
      </c>
      <c r="D4" s="31">
        <f>100*('6FFF_measurements'!C10/'6FFF_measurements'!C9)</f>
        <v>2.7048252460064624E-2</v>
      </c>
      <c r="E4" s="31">
        <f>'10FFF_measurements'!C9</f>
        <v>1.7136666666666667</v>
      </c>
      <c r="F4" s="31">
        <f>100*'10FFF_measurements'!C10/'10FFF_measurements'!C9</f>
        <v>2.3823086391586347E-2</v>
      </c>
      <c r="G4" s="31">
        <f>'6cFF_measurements'!C9</f>
        <v>1.5536666666666665</v>
      </c>
      <c r="H4" s="31">
        <f>100*'6cFF_measurements'!C10/'6cFF_measurements'!C9</f>
        <v>5.2552880128366883E-2</v>
      </c>
      <c r="I4" s="31">
        <f>'10cFF_measurements'!C9</f>
        <v>1.6483333333333334</v>
      </c>
      <c r="J4" s="31">
        <f>100*'10cFF_measurements'!C10/'10cFF_measurements'!C9</f>
        <v>6.5528217375203826E-2</v>
      </c>
    </row>
    <row r="5" spans="2:10" x14ac:dyDescent="0.25">
      <c r="B5" s="31" t="s">
        <v>50</v>
      </c>
      <c r="C5" s="31">
        <f>'6FFF_measurements'!C22</f>
        <v>1.44E-2</v>
      </c>
      <c r="D5" s="31">
        <f>100*'6FFF_measurements'!C23/'6FFF_measurements'!C22</f>
        <v>0.98209275164798371</v>
      </c>
      <c r="E5" s="31">
        <f>'10FFF_measurements'!C22</f>
        <v>1.9549999999999998E-2</v>
      </c>
      <c r="F5" s="31">
        <f>100*'10FFF_measurements'!C23/'10FFF_measurements'!C22</f>
        <v>0.27307105503916157</v>
      </c>
      <c r="G5" s="31">
        <f>'6cFF_measurements'!C22</f>
        <v>1.6400000000000001E-2</v>
      </c>
      <c r="H5" s="31">
        <f>100*'6cFF_measurements'!C23/'6cFF_measurements'!C22</f>
        <v>3.0487804878048781</v>
      </c>
      <c r="I5" s="31">
        <f>'10cFF_measurements'!C22</f>
        <v>2.102E-2</v>
      </c>
      <c r="J5" s="31">
        <f>100*'10cFF_measurements'!C23/'10cFF_measurements'!C22</f>
        <v>3.3639713662537221E-2</v>
      </c>
    </row>
    <row r="6" spans="2:10" x14ac:dyDescent="0.25">
      <c r="B6" s="31" t="s">
        <v>51</v>
      </c>
      <c r="C6" s="31">
        <f>'6FFF_measurements'!D22</f>
        <v>1.5533333333333333E-2</v>
      </c>
      <c r="D6" s="31">
        <f>100*'6FFF_measurements'!D23/'6FFF_measurements'!D22</f>
        <v>0.52564157570454517</v>
      </c>
      <c r="E6" s="31">
        <f>'10FFF_measurements'!D22</f>
        <v>2.0833333333333332E-2</v>
      </c>
      <c r="F6" s="31">
        <f>100*'10FFF_measurements'!D23/'10FFF_measurements'!D22</f>
        <v>0.23103246525109791</v>
      </c>
      <c r="G6" s="31">
        <f>'6cFF_measurements'!D22</f>
        <v>1.7733333333333334E-2</v>
      </c>
      <c r="H6" s="31">
        <f>100*'6cFF_measurements'!D23/'6cFF_measurements'!D22</f>
        <v>2.3021520138939664</v>
      </c>
      <c r="I6" s="31">
        <f>'10cFF_measurements'!D22</f>
        <v>2.2176666666666667E-2</v>
      </c>
      <c r="J6" s="31">
        <f>100*'10cFF_measurements'!D23/'10cFF_measurements'!D22</f>
        <v>0.13274854751733173</v>
      </c>
    </row>
    <row r="7" spans="2:10" x14ac:dyDescent="0.25">
      <c r="B7" s="31" t="s">
        <v>54</v>
      </c>
      <c r="C7" s="36">
        <f>C5/C4</f>
        <v>9.540636042402826E-3</v>
      </c>
      <c r="D7" s="31">
        <f>SQRT(D5^2 + D4^2)</f>
        <v>0.9824651550058412</v>
      </c>
      <c r="E7" s="36">
        <f>E5/E4</f>
        <v>1.1408286325617583E-2</v>
      </c>
      <c r="F7" s="31">
        <f>SQRT(F5^2 + F4^2)</f>
        <v>0.27410826427786122</v>
      </c>
      <c r="G7" s="36">
        <f>G5/G4</f>
        <v>1.0555674747908176E-2</v>
      </c>
      <c r="H7" s="31">
        <f>SQRT(H5^2 + H4^2)</f>
        <v>3.0492333902195052</v>
      </c>
      <c r="I7" s="35">
        <f>I5/I4</f>
        <v>1.2752275025278058E-2</v>
      </c>
      <c r="J7" s="37">
        <f>SQRT(J5^2 + J4^2)</f>
        <v>7.365852026527181E-2</v>
      </c>
    </row>
    <row r="8" spans="2:10" x14ac:dyDescent="0.25">
      <c r="B8" s="31" t="s">
        <v>52</v>
      </c>
      <c r="C8" s="36">
        <f>C6/C4</f>
        <v>1.0291519434628974E-2</v>
      </c>
      <c r="D8" s="31">
        <f>SQRT(D6^2 + D5^2)</f>
        <v>1.1139143768479987</v>
      </c>
      <c r="E8" s="36">
        <f>E6/E4</f>
        <v>1.2157167866173895E-2</v>
      </c>
      <c r="F8" s="31">
        <f>SQRT(F6^2 + F5^2)</f>
        <v>0.35769232742707885</v>
      </c>
      <c r="G8" s="36">
        <f>G6/G4</f>
        <v>1.1413859686762498E-2</v>
      </c>
      <c r="H8" s="31">
        <f>SQRT(H6^2 + H5^2)</f>
        <v>3.8203358959515321</v>
      </c>
      <c r="I8" s="35">
        <f>I6/I4</f>
        <v>1.3453993933265926E-2</v>
      </c>
      <c r="J8" s="37">
        <f>SQRT(J6^2 + J5^2)</f>
        <v>0.13694454061136854</v>
      </c>
    </row>
    <row r="9" spans="2:10" x14ac:dyDescent="0.25">
      <c r="B9" s="31" t="s">
        <v>61</v>
      </c>
      <c r="C9" s="50">
        <f>AVERAGE(C7:C8)</f>
        <v>9.9160777385159E-3</v>
      </c>
      <c r="D9" s="31">
        <f>0.5*100*SQRT((0.01*C7*D7)^2+(0.01*C8*D8)^2)/C9</f>
        <v>0.74667135680992736</v>
      </c>
      <c r="E9" s="50">
        <f>AVERAGE(E7:E8)</f>
        <v>1.1782727095895739E-2</v>
      </c>
      <c r="F9" s="31">
        <f>0.5*100*SQRT((0.01*E7*F7)^2+(0.01*E8*F8)^2)/E9</f>
        <v>0.22728869698034523</v>
      </c>
      <c r="G9" s="50">
        <f>AVERAGE(G7:G8)</f>
        <v>1.0984767217335337E-2</v>
      </c>
      <c r="H9" s="31">
        <f>0.5*100*SQRT((0.01*G7*H7)^2+(0.01*G8*H8)^2)/G9</f>
        <v>2.4669357185040153</v>
      </c>
      <c r="I9" s="50">
        <f>AVERAGE(I7:I8)</f>
        <v>1.3103134479271993E-2</v>
      </c>
      <c r="J9" s="31">
        <f>0.5*100*SQRT((0.01*I7*J7)^2+(0.01*I8*J8)^2)/I9</f>
        <v>7.8915294533639088E-2</v>
      </c>
    </row>
    <row r="11" spans="2:10" x14ac:dyDescent="0.25">
      <c r="B11" s="5" t="s">
        <v>56</v>
      </c>
    </row>
    <row r="13" spans="2:10" ht="18" thickBot="1" x14ac:dyDescent="0.35">
      <c r="B13" s="41" t="s">
        <v>65</v>
      </c>
      <c r="C13" s="41"/>
      <c r="D13" s="41"/>
      <c r="E13" s="41"/>
      <c r="F13" s="41"/>
      <c r="G13" s="41"/>
      <c r="H13" s="41"/>
      <c r="I13" s="41"/>
      <c r="J13" s="41"/>
    </row>
    <row r="14" spans="2:10" ht="16.5" thickTop="1" x14ac:dyDescent="0.25"/>
    <row r="15" spans="2:10" ht="31.5" customHeight="1" x14ac:dyDescent="0.25">
      <c r="B15" s="38"/>
      <c r="C15" s="38" t="s">
        <v>57</v>
      </c>
      <c r="D15" s="38" t="s">
        <v>58</v>
      </c>
      <c r="E15" s="38" t="s">
        <v>61</v>
      </c>
      <c r="F15" s="38" t="s">
        <v>62</v>
      </c>
      <c r="G15" s="38" t="s">
        <v>63</v>
      </c>
      <c r="H15" s="39" t="s">
        <v>64</v>
      </c>
      <c r="I15" s="38" t="s">
        <v>120</v>
      </c>
      <c r="J15" s="38" t="s">
        <v>67</v>
      </c>
    </row>
    <row r="16" spans="2:10" x14ac:dyDescent="0.25">
      <c r="B16" s="38" t="s">
        <v>45</v>
      </c>
      <c r="C16" s="37">
        <f t="array" ref="C16:D17">LINEST('6FFF_measurements'!F30:F37,'6FFF_measurements'!B30:B37,TRUE,TRUE)</f>
        <v>0.1158724279835391</v>
      </c>
      <c r="D16" s="37">
        <v>2.6387654320987664E-2</v>
      </c>
      <c r="E16" s="37">
        <f>C9</f>
        <v>9.9160777385159E-3</v>
      </c>
      <c r="F16" s="37">
        <f>1-E16</f>
        <v>0.99008392226148412</v>
      </c>
      <c r="G16" s="38">
        <f>12*E16</f>
        <v>0.1189929328621908</v>
      </c>
      <c r="H16" s="38">
        <f>D16/C16</f>
        <v>0.22773022694179074</v>
      </c>
      <c r="I16" s="38">
        <f>(H16 - (G16/F16))</f>
        <v>0.10754553331461313</v>
      </c>
      <c r="J16" s="38">
        <f>C16/(F16*0.25)</f>
        <v>0.46813174268650265</v>
      </c>
    </row>
    <row r="17" spans="2:10" x14ac:dyDescent="0.25">
      <c r="B17" s="38"/>
      <c r="C17" s="32">
        <v>2.9414782715747865E-3</v>
      </c>
      <c r="D17" s="32">
        <v>4.5426558527825577E-3</v>
      </c>
      <c r="E17" s="37"/>
      <c r="F17" s="38"/>
      <c r="G17" s="38"/>
      <c r="H17" s="38"/>
      <c r="I17" s="38"/>
      <c r="J17" s="38"/>
    </row>
    <row r="18" spans="2:10" x14ac:dyDescent="0.25">
      <c r="B18" s="38" t="s">
        <v>46</v>
      </c>
      <c r="C18" s="37">
        <f t="array" ref="C18:D19">LINEST('10FFF_measurements'!F30:F37,'10FFF_measurements'!B30:B37,TRUE,TRUE)</f>
        <v>0.13156790123456788</v>
      </c>
      <c r="D18" s="37">
        <v>3.5125925925925977E-2</v>
      </c>
      <c r="E18" s="37">
        <f>E9</f>
        <v>1.1782727095895739E-2</v>
      </c>
      <c r="F18" s="37">
        <f>1-E18</f>
        <v>0.98821727290410422</v>
      </c>
      <c r="G18" s="38">
        <f>12*E18</f>
        <v>0.14139272515074885</v>
      </c>
      <c r="H18" s="38">
        <f>D18/C18</f>
        <v>0.26697945012667773</v>
      </c>
      <c r="I18" s="38">
        <f>(H18 - (G18/F18))</f>
        <v>0.1239008691024524</v>
      </c>
      <c r="J18" s="38">
        <f>C18/(F18*0.25)</f>
        <v>0.53254645447726401</v>
      </c>
    </row>
    <row r="19" spans="2:10" x14ac:dyDescent="0.25">
      <c r="B19" s="38"/>
      <c r="C19" s="32">
        <v>3.4344368386859214E-3</v>
      </c>
      <c r="D19" s="32">
        <v>5.3039537150536328E-3</v>
      </c>
      <c r="E19" s="37"/>
      <c r="F19" s="38"/>
      <c r="G19" s="38"/>
      <c r="H19" s="38"/>
      <c r="I19" s="38"/>
      <c r="J19" s="38"/>
    </row>
    <row r="20" spans="2:10" x14ac:dyDescent="0.25">
      <c r="B20" s="38" t="s">
        <v>47</v>
      </c>
      <c r="C20" s="37">
        <f t="array" ref="C20:D21">LINEST('6cFF_measurements'!F30:F34,'6cFF_measurements'!B30:B34,TRUE,TRUE)</f>
        <v>0.11858843537414969</v>
      </c>
      <c r="D20" s="37">
        <v>2.8663265306122454E-2</v>
      </c>
      <c r="E20" s="37">
        <f>G9</f>
        <v>1.0984767217335337E-2</v>
      </c>
      <c r="F20" s="37">
        <f>1-E20</f>
        <v>0.98901523278266468</v>
      </c>
      <c r="G20" s="38">
        <f>12*E20</f>
        <v>0.13181720660802404</v>
      </c>
      <c r="H20" s="38">
        <f>D20/C20</f>
        <v>0.24170371432668863</v>
      </c>
      <c r="I20" s="38">
        <f>(H20 - (G20/F20))</f>
        <v>0.10842244398958073</v>
      </c>
      <c r="J20" s="38">
        <f>C20/(F20*0.25)</f>
        <v>0.47962228060125101</v>
      </c>
    </row>
    <row r="21" spans="2:10" x14ac:dyDescent="0.25">
      <c r="B21" s="38"/>
      <c r="C21" s="32">
        <v>3.8870249660078416E-3</v>
      </c>
      <c r="D21" s="32">
        <v>6.5505309071315632E-3</v>
      </c>
      <c r="E21" s="37"/>
      <c r="F21" s="38"/>
      <c r="G21" s="38"/>
      <c r="H21" s="38"/>
      <c r="I21" s="38"/>
      <c r="J21" s="38"/>
    </row>
    <row r="22" spans="2:10" x14ac:dyDescent="0.25">
      <c r="B22" s="38" t="s">
        <v>60</v>
      </c>
      <c r="C22" s="37">
        <f t="array" ref="C22:D23">LINEST('10cFF_measurements'!F30:F34,'10cFF_measurements'!B30:B34,TRUE,TRUE)</f>
        <v>0.12502841614906829</v>
      </c>
      <c r="D22" s="37">
        <v>3.6453354037267127E-2</v>
      </c>
      <c r="E22" s="37">
        <f>I9</f>
        <v>1.3103134479271993E-2</v>
      </c>
      <c r="F22" s="37">
        <f>1-E22</f>
        <v>0.98689686552072797</v>
      </c>
      <c r="G22" s="38">
        <f>12*E22</f>
        <v>0.15723761375126391</v>
      </c>
      <c r="H22" s="38">
        <f>D22/C22</f>
        <v>0.29156055207325587</v>
      </c>
      <c r="I22" s="38">
        <f>(H22 - (G22/F22))</f>
        <v>0.1322352778276043</v>
      </c>
      <c r="J22" s="38">
        <f>C22/(F22*0.25)</f>
        <v>0.50675372682675646</v>
      </c>
    </row>
    <row r="23" spans="2:10" x14ac:dyDescent="0.25">
      <c r="B23" s="38"/>
      <c r="C23" s="32">
        <v>4.1203202945204248E-3</v>
      </c>
      <c r="D23" s="32">
        <v>6.9924154101982678E-3</v>
      </c>
      <c r="E23" s="38"/>
      <c r="F23" s="38"/>
      <c r="G23" s="38"/>
      <c r="H23" s="38"/>
      <c r="I23" s="38"/>
      <c r="J23" s="38"/>
    </row>
    <row r="25" spans="2:10" x14ac:dyDescent="0.25">
      <c r="B25" s="5" t="s">
        <v>59</v>
      </c>
    </row>
    <row r="26" spans="2:10" x14ac:dyDescent="0.25">
      <c r="B26" s="5" t="s">
        <v>82</v>
      </c>
    </row>
    <row r="27" spans="2:10" x14ac:dyDescent="0.25">
      <c r="B27" s="5" t="s">
        <v>66</v>
      </c>
    </row>
    <row r="50" spans="2:10" ht="18" thickBot="1" x14ac:dyDescent="0.35">
      <c r="B50" s="41" t="s">
        <v>81</v>
      </c>
      <c r="C50" s="41"/>
      <c r="D50" s="41"/>
      <c r="E50" s="41"/>
      <c r="F50" s="41"/>
      <c r="G50" s="41"/>
      <c r="H50" s="41"/>
      <c r="I50" s="41"/>
      <c r="J50" s="41"/>
    </row>
    <row r="51" spans="2:10" ht="16.5" thickTop="1" x14ac:dyDescent="0.25"/>
    <row r="53" spans="2:10" ht="18" x14ac:dyDescent="0.25">
      <c r="B53" s="7" t="s">
        <v>26</v>
      </c>
      <c r="C53" s="7" t="s">
        <v>68</v>
      </c>
      <c r="D53" s="7" t="s">
        <v>72</v>
      </c>
      <c r="E53" s="7" t="s">
        <v>69</v>
      </c>
      <c r="F53" s="7" t="s">
        <v>72</v>
      </c>
      <c r="G53" s="7" t="s">
        <v>70</v>
      </c>
      <c r="H53" s="7" t="s">
        <v>72</v>
      </c>
      <c r="I53" s="7" t="s">
        <v>71</v>
      </c>
      <c r="J53" s="7" t="s">
        <v>72</v>
      </c>
    </row>
    <row r="54" spans="2:10" x14ac:dyDescent="0.25">
      <c r="B54" s="12">
        <v>0</v>
      </c>
      <c r="C54" s="17">
        <f>'6FFF_measurements'!F36</f>
        <v>0.26800000000000002</v>
      </c>
      <c r="D54" s="17" t="e">
        <v>#N/A</v>
      </c>
      <c r="E54" s="17">
        <f>'10FFF_measurements'!F36</f>
        <v>0.309</v>
      </c>
      <c r="F54" s="17" t="e">
        <v>#N/A</v>
      </c>
      <c r="G54" s="17">
        <f>'6cFF_measurements'!F33</f>
        <v>0.27800000000000002</v>
      </c>
      <c r="H54" s="17" t="e">
        <v>#N/A</v>
      </c>
      <c r="I54" s="17">
        <f>'10cFF_measurements'!F33</f>
        <v>0.29899999999999999</v>
      </c>
      <c r="J54" s="17" t="e">
        <v>#N/A</v>
      </c>
    </row>
    <row r="55" spans="2:10" x14ac:dyDescent="0.25">
      <c r="B55" s="7">
        <v>0.1</v>
      </c>
      <c r="C55" s="17">
        <f>INDEX('6FFF_measurements'!F$50:F$57, MATCH(Analysis!B55,'6FFF_measurements'!B$50:B$57,0))</f>
        <v>0.26600000000000001</v>
      </c>
      <c r="D55" s="17">
        <f>(C$54- C55)/$J$16</f>
        <v>4.2723016143328633E-3</v>
      </c>
      <c r="E55" s="17">
        <f>INDEX('10FFF_measurements'!F49:F55,MATCH(Analysis!B55,'10FFF_measurements'!B49:B55,0))</f>
        <v>0.307</v>
      </c>
      <c r="F55" s="17">
        <f>(E$54- E55)/$J$18</f>
        <v>3.7555409170138185E-3</v>
      </c>
      <c r="G55" s="17" t="e">
        <f>INDEX('6cFF_measurements'!F$45:F$49,MATCH(Analysis!B55,'6cFF_measurements'!B$45:B$49,0))</f>
        <v>#N/A</v>
      </c>
      <c r="H55" s="17" t="e">
        <f>(G$54- G55)/$J$20</f>
        <v>#N/A</v>
      </c>
      <c r="I55" s="17" t="e">
        <f>INDEX('10cFF_measurements'!F$40:F$43,MATCH(Analysis!B55,'10cFF_measurements'!B$40:B$43,0))</f>
        <v>#N/A</v>
      </c>
      <c r="J55" s="17" t="e">
        <f>(I$54- I55)/$J$22</f>
        <v>#N/A</v>
      </c>
    </row>
    <row r="56" spans="2:10" x14ac:dyDescent="0.25">
      <c r="B56" s="12">
        <v>0.2</v>
      </c>
      <c r="C56" s="17">
        <f>INDEX('6FFF_measurements'!F$50:F$57, MATCH(Analysis!B56,'6FFF_measurements'!B$50:B$57,0))</f>
        <v>0.25900000000000001</v>
      </c>
      <c r="D56" s="17">
        <f t="shared" ref="D56:D62" si="0">(C$54- C56)/$J$16</f>
        <v>1.9225357264497884E-2</v>
      </c>
      <c r="E56" s="17">
        <f>INDEX('10FFF_measurements'!F50:F55,MATCH(Analysis!B56,'10FFF_measurements'!B50:B55,0))</f>
        <v>0.3</v>
      </c>
      <c r="F56" s="17">
        <f t="shared" ref="F56:F62" si="1">(E$54- E56)/$J$18</f>
        <v>1.6899934126562183E-2</v>
      </c>
      <c r="G56" s="17">
        <f>INDEX('6cFF_measurements'!F$45:F$49,MATCH(Analysis!B56,'6cFF_measurements'!B$45:B$49,0))</f>
        <v>0.27133333333333337</v>
      </c>
      <c r="H56" s="17">
        <f t="shared" ref="H56:H62" si="2">(G$54- G56)/$J$20</f>
        <v>1.3899826876911076E-2</v>
      </c>
      <c r="I56" s="17">
        <f>INDEX('10cFF_measurements'!F$40:F$43,MATCH(Analysis!B56,'10cFF_measurements'!B$40:B$43,0))</f>
        <v>0.28999999999999998</v>
      </c>
      <c r="J56" s="17">
        <f t="shared" ref="J56:J62" si="3">I$54- I56</f>
        <v>9.000000000000008E-3</v>
      </c>
    </row>
    <row r="57" spans="2:10" x14ac:dyDescent="0.25">
      <c r="B57" s="12">
        <v>0.3</v>
      </c>
      <c r="C57" s="17">
        <f>INDEX('6FFF_measurements'!F$50:F$57, MATCH(Analysis!B57,'6FFF_measurements'!B$50:B$57,0))</f>
        <v>0.253</v>
      </c>
      <c r="D57" s="17">
        <f t="shared" si="0"/>
        <v>3.2042262107496472E-2</v>
      </c>
      <c r="E57" s="17">
        <f>INDEX('10FFF_measurements'!F51:F56,MATCH(Analysis!B57,'10FFF_measurements'!B51:B56,0))</f>
        <v>0.29299999999999998</v>
      </c>
      <c r="F57" s="17">
        <f t="shared" si="1"/>
        <v>3.0044327336110548E-2</v>
      </c>
      <c r="G57" s="17" t="e">
        <f>INDEX('6cFF_measurements'!F$45:F$49,MATCH(Analysis!B57,'6cFF_measurements'!B$45:B$49,0))</f>
        <v>#N/A</v>
      </c>
      <c r="H57" s="17" t="e">
        <f t="shared" si="2"/>
        <v>#N/A</v>
      </c>
      <c r="I57" s="17" t="e">
        <f>INDEX('10cFF_measurements'!F$40:F$43,MATCH(Analysis!B57,'10cFF_measurements'!B$40:B$43,0))</f>
        <v>#N/A</v>
      </c>
      <c r="J57" s="17" t="e">
        <f t="shared" si="3"/>
        <v>#N/A</v>
      </c>
    </row>
    <row r="58" spans="2:10" x14ac:dyDescent="0.25">
      <c r="B58" s="12">
        <v>0.5</v>
      </c>
      <c r="C58" s="17">
        <f>INDEX('6FFF_measurements'!F$50:F$57, MATCH(Analysis!B58,'6FFF_measurements'!B$50:B$57,0))</f>
        <v>0.24</v>
      </c>
      <c r="D58" s="17">
        <f t="shared" si="0"/>
        <v>5.9812222600660082E-2</v>
      </c>
      <c r="E58" s="17">
        <f>INDEX('10FFF_measurements'!F52:F57,MATCH(Analysis!B58,'10FFF_measurements'!B52:B57,0))</f>
        <v>0.27900000000000003</v>
      </c>
      <c r="F58" s="17">
        <f t="shared" si="1"/>
        <v>5.6333113755207172E-2</v>
      </c>
      <c r="G58" s="17">
        <f>INDEX('6cFF_measurements'!F$45:F$49,MATCH(Analysis!B58,'6cFF_measurements'!B$45:B$49,0))</f>
        <v>0.251</v>
      </c>
      <c r="H58" s="17">
        <f t="shared" si="2"/>
        <v>5.629429885149001E-2</v>
      </c>
      <c r="I58" s="17">
        <f>INDEX('10cFF_measurements'!F$40:F$43,MATCH(Analysis!B58,'10cFF_measurements'!B$40:B$43,0))</f>
        <v>0.26900000000000002</v>
      </c>
      <c r="J58" s="17">
        <f t="shared" si="3"/>
        <v>2.9999999999999971E-2</v>
      </c>
    </row>
    <row r="59" spans="2:10" x14ac:dyDescent="0.25">
      <c r="B59" s="12">
        <v>0.7</v>
      </c>
      <c r="C59" s="17">
        <f>INDEX('6FFF_measurements'!F$50:F$57, MATCH(Analysis!B59,'6FFF_measurements'!B$50:B$57,0))</f>
        <v>0.22700000000000001</v>
      </c>
      <c r="D59" s="17">
        <f t="shared" si="0"/>
        <v>8.7582183093823637E-2</v>
      </c>
      <c r="E59" s="17">
        <f>INDEX('10FFF_measurements'!F53:F58,MATCH(Analysis!B59,'10FFF_measurements'!B53:B58,0))</f>
        <v>0.26400000000000001</v>
      </c>
      <c r="F59" s="17">
        <f t="shared" si="1"/>
        <v>8.4499670632810817E-2</v>
      </c>
      <c r="G59" s="17" t="e">
        <f>INDEX('6cFF_measurements'!F$45:F$49,MATCH(Analysis!B59,'6cFF_measurements'!B$45:B$49,0))</f>
        <v>#N/A</v>
      </c>
      <c r="H59" s="17" t="e">
        <f t="shared" si="2"/>
        <v>#N/A</v>
      </c>
      <c r="I59" s="17" t="e">
        <f>INDEX('10cFF_measurements'!F$40:F$43,MATCH(Analysis!B59,'10cFF_measurements'!B$40:B$43,0))</f>
        <v>#N/A</v>
      </c>
      <c r="J59" s="17" t="e">
        <f t="shared" si="3"/>
        <v>#N/A</v>
      </c>
    </row>
    <row r="60" spans="2:10" x14ac:dyDescent="0.25">
      <c r="B60" s="12">
        <v>1</v>
      </c>
      <c r="C60" s="17">
        <f>INDEX('6FFF_measurements'!F$50:F$57, MATCH(Analysis!B60,'6FFF_measurements'!B$50:B$57,0))</f>
        <v>0.20799999999999999</v>
      </c>
      <c r="D60" s="17">
        <f t="shared" si="0"/>
        <v>0.12816904842998583</v>
      </c>
      <c r="E60" s="17">
        <f>INDEX('10FFF_measurements'!F54:F59,MATCH(Analysis!B60,'10FFF_measurements'!B54:B59,0))</f>
        <v>0.24299999999999999</v>
      </c>
      <c r="F60" s="17">
        <f t="shared" si="1"/>
        <v>0.12393285026145591</v>
      </c>
      <c r="G60" s="17">
        <f>INDEX('6cFF_measurements'!F$45:F$49,MATCH(Analysis!B60,'6cFF_measurements'!B$45:B$49,0))</f>
        <v>0.217</v>
      </c>
      <c r="H60" s="17">
        <f t="shared" si="2"/>
        <v>0.12718341592373664</v>
      </c>
      <c r="I60" s="17">
        <f>INDEX('10cFF_measurements'!F$40:F$43,MATCH(Analysis!B60,'10cFF_measurements'!B$40:B$43,0))</f>
        <v>0.23300000000000001</v>
      </c>
      <c r="J60" s="17">
        <f t="shared" si="3"/>
        <v>6.5999999999999975E-2</v>
      </c>
    </row>
    <row r="61" spans="2:10" x14ac:dyDescent="0.25">
      <c r="B61" s="12">
        <v>2</v>
      </c>
      <c r="C61" s="17">
        <f>INDEX('6FFF_measurements'!F$50:F$57, MATCH(Analysis!B61,'6FFF_measurements'!B$50:B$57,0))</f>
        <v>0.20050000000000001</v>
      </c>
      <c r="D61" s="17">
        <f t="shared" si="0"/>
        <v>0.14419017948373403</v>
      </c>
      <c r="E61" s="17">
        <f>INDEX('10FFF_measurements'!F55:F60,MATCH(Analysis!B61,'10FFF_measurements'!B55:B60,0))</f>
        <v>0.23499999999999999</v>
      </c>
      <c r="F61" s="17">
        <f t="shared" si="1"/>
        <v>0.13895501392951118</v>
      </c>
      <c r="G61" s="17">
        <f>INDEX('6cFF_measurements'!F$45:F$49,MATCH(Analysis!B61,'6cFF_measurements'!B$45:B$49,0))</f>
        <v>0.20899999999999999</v>
      </c>
      <c r="H61" s="17">
        <f t="shared" si="2"/>
        <v>0.14386320817602996</v>
      </c>
      <c r="I61" s="17">
        <f>INDEX('10cFF_measurements'!F$40:F$43,MATCH(Analysis!B61,'10cFF_measurements'!B$40:B$43,0))</f>
        <v>0.22500000000000001</v>
      </c>
      <c r="J61" s="17">
        <f t="shared" si="3"/>
        <v>7.3999999999999982E-2</v>
      </c>
    </row>
    <row r="62" spans="2:10" x14ac:dyDescent="0.25">
      <c r="B62" s="12">
        <v>3</v>
      </c>
      <c r="C62" s="17">
        <f>INDEX('6FFF_measurements'!F$50:F$57, MATCH(Analysis!B62,'6FFF_measurements'!B$50:B$57,0))</f>
        <v>0.2</v>
      </c>
      <c r="D62" s="17">
        <f t="shared" si="0"/>
        <v>0.14525825488731722</v>
      </c>
      <c r="E62" s="17" t="e">
        <f>INDEX('10FFF_measurements'!F56:F61,MATCH(Analysis!B62,'10FFF_measurements'!B56:B61,0))</f>
        <v>#N/A</v>
      </c>
      <c r="F62" s="17" t="e">
        <f t="shared" si="1"/>
        <v>#N/A</v>
      </c>
      <c r="G62" s="17">
        <f>INDEX('6cFF_measurements'!F$45:F$49,MATCH(Analysis!B62,'6cFF_measurements'!B$45:B$49,0))</f>
        <v>0.20899999999999999</v>
      </c>
      <c r="H62" s="17">
        <f t="shared" si="2"/>
        <v>0.14386320817602996</v>
      </c>
      <c r="I62" s="17" t="e">
        <f>INDEX('10cFF_measurements'!F$40:F$43,MATCH(Analysis!B62,'10cFF_measurements'!B$40:B$43,0))</f>
        <v>#N/A</v>
      </c>
      <c r="J62" s="17" t="e">
        <f t="shared" si="3"/>
        <v>#N/A</v>
      </c>
    </row>
    <row r="64" spans="2:10" ht="18" x14ac:dyDescent="0.25">
      <c r="F64" s="7" t="s">
        <v>26</v>
      </c>
      <c r="G64" s="7" t="s">
        <v>70</v>
      </c>
      <c r="H64" s="7" t="s">
        <v>72</v>
      </c>
      <c r="I64" s="7" t="s">
        <v>71</v>
      </c>
      <c r="J64" s="7" t="s">
        <v>72</v>
      </c>
    </row>
    <row r="65" spans="2:10" x14ac:dyDescent="0.25">
      <c r="F65" s="12">
        <v>0.2</v>
      </c>
      <c r="G65" s="37">
        <f>G56</f>
        <v>0.27133333333333337</v>
      </c>
      <c r="H65" s="37">
        <f t="shared" ref="H65:J65" si="4">H56</f>
        <v>1.3899826876911076E-2</v>
      </c>
      <c r="I65" s="37">
        <f t="shared" si="4"/>
        <v>0.28999999999999998</v>
      </c>
      <c r="J65" s="37">
        <f t="shared" si="4"/>
        <v>9.000000000000008E-3</v>
      </c>
    </row>
    <row r="66" spans="2:10" x14ac:dyDescent="0.25">
      <c r="F66" s="7">
        <v>0.5</v>
      </c>
      <c r="G66" s="37">
        <f>G58</f>
        <v>0.251</v>
      </c>
      <c r="H66" s="37">
        <f t="shared" ref="H66:J66" si="5">H58</f>
        <v>5.629429885149001E-2</v>
      </c>
      <c r="I66" s="37">
        <f t="shared" si="5"/>
        <v>0.26900000000000002</v>
      </c>
      <c r="J66" s="37">
        <f t="shared" si="5"/>
        <v>2.9999999999999971E-2</v>
      </c>
    </row>
    <row r="67" spans="2:10" x14ac:dyDescent="0.25">
      <c r="F67" s="12">
        <v>1</v>
      </c>
      <c r="G67" s="37">
        <f>G60</f>
        <v>0.217</v>
      </c>
      <c r="H67" s="37">
        <f t="shared" ref="H67:J67" si="6">H60</f>
        <v>0.12718341592373664</v>
      </c>
      <c r="I67" s="37">
        <f t="shared" si="6"/>
        <v>0.23300000000000001</v>
      </c>
      <c r="J67" s="37">
        <f t="shared" si="6"/>
        <v>6.5999999999999975E-2</v>
      </c>
    </row>
    <row r="69" spans="2:10" x14ac:dyDescent="0.25">
      <c r="B69" s="5" t="s">
        <v>73</v>
      </c>
    </row>
    <row r="71" spans="2:10" ht="19.5" x14ac:dyDescent="0.35">
      <c r="B71" s="38"/>
      <c r="C71" s="38" t="s">
        <v>74</v>
      </c>
      <c r="D71" s="38" t="s">
        <v>75</v>
      </c>
      <c r="E71" s="38" t="s">
        <v>64</v>
      </c>
      <c r="F71" s="38" t="s">
        <v>76</v>
      </c>
      <c r="G71" s="38" t="s">
        <v>78</v>
      </c>
      <c r="H71" s="38" t="s">
        <v>77</v>
      </c>
      <c r="I71" s="38" t="s">
        <v>79</v>
      </c>
      <c r="J71" s="38" t="s">
        <v>80</v>
      </c>
    </row>
    <row r="72" spans="2:10" x14ac:dyDescent="0.25">
      <c r="B72" s="38" t="s">
        <v>45</v>
      </c>
      <c r="C72" s="38">
        <f t="array" ref="C72:D73">LINEST(D55:D60,B55:B60,TRUE,TRUE)</f>
        <v>0.13735946469337626</v>
      </c>
      <c r="D72" s="38">
        <v>-8.917187671776107E-3</v>
      </c>
      <c r="E72" s="38">
        <f>D72/C72</f>
        <v>-6.4918625678119082E-2</v>
      </c>
      <c r="F72" s="40">
        <f>-1*E72</f>
        <v>6.4918625678119082E-2</v>
      </c>
      <c r="G72" s="38">
        <f>1-2*SQRT(C9)+C9</f>
        <v>0.81075706851708096</v>
      </c>
      <c r="H72" s="40">
        <f>C72/(2*G72)</f>
        <v>8.4710618030512053E-2</v>
      </c>
      <c r="I72" s="38">
        <f>(SQRT(C9)-C9)/(1-C9)</f>
        <v>9.0561441162884768E-2</v>
      </c>
      <c r="J72" s="40">
        <f>I16-I72*F72</f>
        <v>0.1016664090148888</v>
      </c>
    </row>
    <row r="73" spans="2:10" x14ac:dyDescent="0.25">
      <c r="B73" s="38"/>
      <c r="C73" s="38">
        <v>6.6301887576327497E-4</v>
      </c>
      <c r="D73" s="38">
        <v>3.7113267521705017E-4</v>
      </c>
      <c r="E73" s="38"/>
      <c r="F73" s="40"/>
      <c r="G73" s="38"/>
      <c r="H73" s="40"/>
      <c r="I73" s="38"/>
      <c r="J73" s="40"/>
    </row>
    <row r="74" spans="2:10" x14ac:dyDescent="0.25">
      <c r="B74" s="38" t="s">
        <v>46</v>
      </c>
      <c r="C74" s="38">
        <f t="array" ref="C74:D75">LINEST(F55:F60,B55:B60,TRUE,TRUE)</f>
        <v>0.1339549042202311</v>
      </c>
      <c r="D74" s="38">
        <v>-9.9347157979144327E-3</v>
      </c>
      <c r="E74" s="38">
        <f>D74/C74</f>
        <v>-7.4164629176853986E-2</v>
      </c>
      <c r="F74" s="40">
        <f>-1*E74</f>
        <v>7.4164629176853986E-2</v>
      </c>
      <c r="G74" s="38">
        <f>1-2*SQRT(E9)+E9</f>
        <v>0.79468618547539238</v>
      </c>
      <c r="H74" s="40">
        <f>C74/(2*G74)</f>
        <v>8.4281636367000271E-2</v>
      </c>
      <c r="I74" s="38">
        <f>(SQRT(E9)-E9)/(1-E9)</f>
        <v>9.7919300104913259E-2</v>
      </c>
      <c r="J74" s="40">
        <f>I18-I74*F74</f>
        <v>0.11663872052091444</v>
      </c>
    </row>
    <row r="75" spans="2:10" x14ac:dyDescent="0.25">
      <c r="B75" s="38"/>
      <c r="C75" s="38">
        <v>6.8830769045826715E-4</v>
      </c>
      <c r="D75" s="38">
        <v>3.8528838901933971E-4</v>
      </c>
      <c r="E75" s="38"/>
      <c r="F75" s="40"/>
      <c r="G75" s="38"/>
      <c r="H75" s="40"/>
      <c r="I75" s="38"/>
      <c r="J75" s="40"/>
    </row>
    <row r="76" spans="2:10" x14ac:dyDescent="0.25">
      <c r="B76" s="38" t="s">
        <v>47</v>
      </c>
      <c r="C76" s="38">
        <f t="array" ref="C76:D77">LINEST(H65:H67,F65:F67,TRUE,TRUE)</f>
        <v>0.14162221567954841</v>
      </c>
      <c r="D76" s="38">
        <v>-1.4460075001031525E-2</v>
      </c>
      <c r="E76" s="38">
        <f>D76/C76</f>
        <v>-0.10210315473209827</v>
      </c>
      <c r="F76" s="40">
        <f>-1*E76</f>
        <v>0.10210315473209827</v>
      </c>
      <c r="G76" s="38">
        <f>1-2*SQRT(G9)+G9</f>
        <v>0.80136828678380323</v>
      </c>
      <c r="H76" s="40">
        <f>C76/(2*G76)</f>
        <v>8.8362752816144252E-2</v>
      </c>
      <c r="I76" s="38">
        <f>(SQRT(G9)-G9)/(1-G9)</f>
        <v>9.4865548971830999E-2</v>
      </c>
      <c r="J76" s="40">
        <f>I20-I76*F76</f>
        <v>9.8736372164164421E-2</v>
      </c>
    </row>
    <row r="77" spans="2:10" x14ac:dyDescent="0.25">
      <c r="B77" s="38"/>
      <c r="C77" s="38">
        <v>1.228326855469763E-4</v>
      </c>
      <c r="D77" s="38">
        <v>8.0546778424921606E-5</v>
      </c>
      <c r="E77" s="38"/>
      <c r="F77" s="40"/>
      <c r="G77" s="38"/>
      <c r="H77" s="40"/>
      <c r="I77" s="38"/>
      <c r="J77" s="40"/>
    </row>
    <row r="78" spans="2:10" x14ac:dyDescent="0.25">
      <c r="B78" s="38" t="s">
        <v>60</v>
      </c>
      <c r="C78" s="38">
        <f t="array" ref="C78:D79">LINEST(J65:J67,F65:F67,TRUE,TRUE)</f>
        <v>7.1326530612244851E-2</v>
      </c>
      <c r="D78" s="38">
        <v>-5.4183673469387628E-3</v>
      </c>
      <c r="E78" s="38">
        <f>D78/C78</f>
        <v>-7.5965665236051375E-2</v>
      </c>
      <c r="F78" s="40">
        <f>-1*E78</f>
        <v>7.5965665236051375E-2</v>
      </c>
      <c r="G78" s="38">
        <f>1-2*SQRT(I9)+I9</f>
        <v>0.78416528719951806</v>
      </c>
      <c r="H78" s="40">
        <f>C78/(2*G78)</f>
        <v>4.5479270618425743E-2</v>
      </c>
      <c r="I78" s="38">
        <f>(SQRT(I9)-I9)/(1-I9)</f>
        <v>0.10271163350703337</v>
      </c>
      <c r="J78" s="40">
        <f>I22-I78*F78</f>
        <v>0.12443272026076101</v>
      </c>
    </row>
    <row r="79" spans="2:10" x14ac:dyDescent="0.25">
      <c r="B79" s="38"/>
      <c r="C79" s="38">
        <v>5.3021963497011453E-4</v>
      </c>
      <c r="D79" s="38">
        <v>3.4768826606943734E-4</v>
      </c>
      <c r="E79" s="38"/>
      <c r="F79" s="40"/>
      <c r="G79" s="38"/>
      <c r="H79" s="40"/>
      <c r="I79" s="38"/>
      <c r="J79" s="40"/>
    </row>
  </sheetData>
  <mergeCells count="3">
    <mergeCell ref="B1:J1"/>
    <mergeCell ref="B13:J13"/>
    <mergeCell ref="B50:J5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9"/>
  <sheetViews>
    <sheetView tabSelected="1" topLeftCell="A10" zoomScale="93" zoomScaleNormal="93" workbookViewId="0">
      <selection activeCell="G34" sqref="G34"/>
    </sheetView>
  </sheetViews>
  <sheetFormatPr defaultRowHeight="15.75" x14ac:dyDescent="0.25"/>
  <cols>
    <col min="1" max="1" width="2.625" customWidth="1"/>
    <col min="2" max="10" width="22.875" customWidth="1"/>
    <col min="11" max="11" width="2.625" customWidth="1"/>
  </cols>
  <sheetData>
    <row r="1" spans="2:10" ht="18" thickBot="1" x14ac:dyDescent="0.35">
      <c r="B1" s="41" t="s">
        <v>44</v>
      </c>
      <c r="C1" s="41"/>
      <c r="D1" s="41"/>
      <c r="E1" s="41"/>
      <c r="F1" s="41"/>
      <c r="G1" s="41"/>
      <c r="H1" s="41"/>
      <c r="I1" s="41"/>
      <c r="J1" s="41"/>
    </row>
    <row r="2" spans="2:10" ht="16.5" thickTop="1" x14ac:dyDescent="0.25"/>
    <row r="3" spans="2:10" x14ac:dyDescent="0.25">
      <c r="B3" s="31"/>
      <c r="C3" s="31" t="s">
        <v>45</v>
      </c>
      <c r="D3" s="31" t="s">
        <v>46</v>
      </c>
      <c r="E3" s="31" t="s">
        <v>47</v>
      </c>
      <c r="F3" s="31" t="s">
        <v>48</v>
      </c>
    </row>
    <row r="4" spans="2:10" x14ac:dyDescent="0.25">
      <c r="B4" s="31" t="s">
        <v>49</v>
      </c>
      <c r="C4" s="31">
        <f>'6FFF_measurements'!C9</f>
        <v>1.5093333333333334</v>
      </c>
      <c r="D4" s="31">
        <f>'10FFF_measurements'!C9</f>
        <v>1.7136666666666667</v>
      </c>
      <c r="E4" s="31">
        <f>'6cFF_measurements'!C9</f>
        <v>1.5536666666666665</v>
      </c>
      <c r="F4" s="31">
        <f>'10cFF_measurements'!C9</f>
        <v>1.6483333333333334</v>
      </c>
    </row>
    <row r="5" spans="2:10" x14ac:dyDescent="0.25">
      <c r="B5" s="31" t="s">
        <v>61</v>
      </c>
      <c r="C5" s="50">
        <f>'6FFF_measurements'!E24</f>
        <v>9.9160777385159E-3</v>
      </c>
      <c r="D5" s="50">
        <f>'10FFF_measurements'!E24</f>
        <v>1.1782727095895739E-2</v>
      </c>
      <c r="E5" s="50">
        <f>'6cFF_measurements'!E24</f>
        <v>1.0984767217335337E-2</v>
      </c>
      <c r="F5" s="50">
        <f>'10cFF_measurements'!E24</f>
        <v>1.3103134479271993E-2</v>
      </c>
    </row>
    <row r="7" spans="2:10" x14ac:dyDescent="0.25">
      <c r="B7" s="5" t="s">
        <v>56</v>
      </c>
    </row>
    <row r="9" spans="2:10" ht="18" thickBot="1" x14ac:dyDescent="0.35">
      <c r="B9" s="41" t="s">
        <v>65</v>
      </c>
      <c r="C9" s="41"/>
      <c r="D9" s="41"/>
      <c r="E9" s="41"/>
      <c r="F9" s="41"/>
      <c r="G9" s="41"/>
      <c r="H9" s="41"/>
      <c r="I9" s="41"/>
      <c r="J9" s="41"/>
    </row>
    <row r="10" spans="2:10" ht="16.5" thickTop="1" x14ac:dyDescent="0.25"/>
    <row r="11" spans="2:10" x14ac:dyDescent="0.25">
      <c r="B11" s="38"/>
      <c r="C11" s="38" t="s">
        <v>57</v>
      </c>
      <c r="D11" s="38" t="s">
        <v>58</v>
      </c>
      <c r="E11" s="38" t="s">
        <v>61</v>
      </c>
      <c r="F11" s="38" t="s">
        <v>154</v>
      </c>
      <c r="G11" s="38" t="s">
        <v>153</v>
      </c>
      <c r="H11" s="38" t="s">
        <v>155</v>
      </c>
      <c r="I11" s="38" t="s">
        <v>64</v>
      </c>
      <c r="J11" s="38" t="s">
        <v>120</v>
      </c>
    </row>
    <row r="12" spans="2:10" x14ac:dyDescent="0.25">
      <c r="B12" s="38" t="s">
        <v>45</v>
      </c>
      <c r="C12" s="32">
        <f t="array" ref="C12:D12">LINEST('6FFF_measurements'!H30:H36,'6FFF_measurements'!B30:B36)</f>
        <v>8.2145567183111362E-2</v>
      </c>
      <c r="D12" s="32">
        <v>1.2996058711606404E-2</v>
      </c>
      <c r="E12" s="58">
        <f>C5</f>
        <v>9.9160777385159E-3</v>
      </c>
      <c r="F12" s="37">
        <f>1-E12</f>
        <v>0.99008392226148412</v>
      </c>
      <c r="G12" s="66">
        <v>12</v>
      </c>
      <c r="H12" s="38">
        <f>E12*G12</f>
        <v>0.1189929328621908</v>
      </c>
      <c r="I12" s="38">
        <f>D12/C12</f>
        <v>0.15820766910814288</v>
      </c>
      <c r="J12" s="64">
        <f>(I12 - (H12/F12))</f>
        <v>3.8022975480965268E-2</v>
      </c>
    </row>
    <row r="13" spans="2:10" x14ac:dyDescent="0.25">
      <c r="B13" s="38" t="s">
        <v>46</v>
      </c>
      <c r="C13" s="32">
        <f t="array" ref="C13:D13">LINEST('10FFF_measurements'!H30:H36,'10FFF_measurements'!B30:B36)</f>
        <v>8.2294674786407923E-2</v>
      </c>
      <c r="D13" s="32">
        <v>1.5890353567848195E-2</v>
      </c>
      <c r="E13" s="58">
        <f>D5</f>
        <v>1.1782727095895739E-2</v>
      </c>
      <c r="F13" s="37">
        <f>1-E13</f>
        <v>0.98821727290410422</v>
      </c>
      <c r="G13" s="65">
        <f>G12</f>
        <v>12</v>
      </c>
      <c r="H13" s="38">
        <f t="shared" ref="H13:H15" si="0">E13*G13</f>
        <v>0.14139272515074885</v>
      </c>
      <c r="I13" s="38">
        <f>D13/C13</f>
        <v>0.19309090909090879</v>
      </c>
      <c r="J13" s="64">
        <f>(I13 - (H13/F13))</f>
        <v>5.0012328066683459E-2</v>
      </c>
    </row>
    <row r="14" spans="2:10" x14ac:dyDescent="0.25">
      <c r="B14" s="38" t="s">
        <v>47</v>
      </c>
      <c r="C14" s="32">
        <f t="array" ref="C14:D14">LINEST('6cFF_measurements'!H30:H33,'6cFF_measurements'!B30:B33)</f>
        <v>8.214055843319952E-2</v>
      </c>
      <c r="D14" s="32">
        <v>1.4573819229472512E-2</v>
      </c>
      <c r="E14" s="58">
        <f>E5</f>
        <v>1.0984767217335337E-2</v>
      </c>
      <c r="F14" s="37">
        <f>1-E14</f>
        <v>0.98901523278266468</v>
      </c>
      <c r="G14" s="65">
        <f>G12</f>
        <v>12</v>
      </c>
      <c r="H14" s="38">
        <f t="shared" si="0"/>
        <v>0.13181720660802404</v>
      </c>
      <c r="I14" s="38">
        <f>D14/C14</f>
        <v>0.17742537313432818</v>
      </c>
      <c r="J14" s="64">
        <f>(I14 - (H14/F14))</f>
        <v>4.414410279722028E-2</v>
      </c>
    </row>
    <row r="15" spans="2:10" x14ac:dyDescent="0.25">
      <c r="B15" s="38" t="s">
        <v>60</v>
      </c>
      <c r="C15" s="32">
        <f t="array" ref="C15:D15">LINEST('10cFF_measurements'!H30:H33,'10cFF_measurements'!B30:B33)</f>
        <v>8.1783981336602057E-2</v>
      </c>
      <c r="D15" s="32">
        <v>1.7774378498681034E-2</v>
      </c>
      <c r="E15" s="58">
        <f>F5</f>
        <v>1.3103134479271993E-2</v>
      </c>
      <c r="F15" s="37">
        <f>1-E15</f>
        <v>0.98689686552072797</v>
      </c>
      <c r="G15" s="65">
        <f>G12</f>
        <v>12</v>
      </c>
      <c r="H15" s="38">
        <f t="shared" si="0"/>
        <v>0.15723761375126391</v>
      </c>
      <c r="I15" s="38">
        <f>D15/C15</f>
        <v>0.21733325045067461</v>
      </c>
      <c r="J15" s="64">
        <f>(I15 - (H15/F15))</f>
        <v>5.8007976205023043E-2</v>
      </c>
    </row>
    <row r="17" spans="2:10" x14ac:dyDescent="0.25">
      <c r="B17" s="5" t="s">
        <v>82</v>
      </c>
    </row>
    <row r="19" spans="2:10" ht="18" thickBot="1" x14ac:dyDescent="0.35">
      <c r="B19" s="41" t="s">
        <v>81</v>
      </c>
      <c r="C19" s="41"/>
      <c r="D19" s="41"/>
      <c r="E19" s="41"/>
      <c r="F19" s="41"/>
      <c r="G19" s="41"/>
      <c r="H19" s="41"/>
      <c r="I19" s="41"/>
      <c r="J19" s="41"/>
    </row>
    <row r="20" spans="2:10" ht="16.5" thickTop="1" x14ac:dyDescent="0.25"/>
    <row r="21" spans="2:10" x14ac:dyDescent="0.25">
      <c r="B21" s="5" t="s">
        <v>165</v>
      </c>
    </row>
    <row r="23" spans="2:10" ht="19.5" x14ac:dyDescent="0.35">
      <c r="B23" s="38"/>
      <c r="C23" s="38" t="s">
        <v>74</v>
      </c>
      <c r="D23" s="38" t="s">
        <v>75</v>
      </c>
      <c r="E23" s="38" t="s">
        <v>64</v>
      </c>
      <c r="F23" s="38" t="s">
        <v>76</v>
      </c>
      <c r="G23" s="38" t="s">
        <v>78</v>
      </c>
      <c r="H23" s="38" t="s">
        <v>77</v>
      </c>
      <c r="I23" s="38" t="s">
        <v>79</v>
      </c>
      <c r="J23" s="38" t="s">
        <v>80</v>
      </c>
    </row>
    <row r="24" spans="2:10" x14ac:dyDescent="0.25">
      <c r="B24" s="38" t="s">
        <v>45</v>
      </c>
      <c r="C24" s="38">
        <f>'6FFF_measurements'!$F$60</f>
        <v>4.2603130906401533E-2</v>
      </c>
      <c r="D24" s="38">
        <f>'6FFF_measurements'!$G$60</f>
        <v>-2.765736708028585E-3</v>
      </c>
      <c r="E24" s="38">
        <f>D24/C24</f>
        <v>-6.4918625678119027E-2</v>
      </c>
      <c r="F24" s="40">
        <f>-1*E24</f>
        <v>6.4918625678119027E-2</v>
      </c>
      <c r="G24" s="38">
        <f>1-2*SQRT(C5)+C5</f>
        <v>0.81075706851708096</v>
      </c>
      <c r="H24" s="40">
        <f>C24/(G24)</f>
        <v>5.2547344402836954E-2</v>
      </c>
      <c r="I24" s="38">
        <f>(SQRT(C5)-C5)/(1-C5)</f>
        <v>9.0561441162884768E-2</v>
      </c>
      <c r="J24" s="40">
        <f>(0.5*J12)-(I24*F24)</f>
        <v>1.3132363440758316E-2</v>
      </c>
    </row>
    <row r="25" spans="2:10" x14ac:dyDescent="0.25">
      <c r="B25" s="38" t="s">
        <v>46</v>
      </c>
      <c r="C25" s="38">
        <f>'10FFF_measurements'!F58</f>
        <v>4.1628404572452218E-2</v>
      </c>
      <c r="D25" s="38">
        <f>'10FFF_measurements'!G58</f>
        <v>-3.0873551883399929E-3</v>
      </c>
      <c r="E25" s="38">
        <f>D25/C25</f>
        <v>-7.4164629176854499E-2</v>
      </c>
      <c r="F25" s="40">
        <f>-1*E25</f>
        <v>7.4164629176854499E-2</v>
      </c>
      <c r="G25" s="38">
        <f>1-2*SQRT(D5)+D5</f>
        <v>0.79468618547539238</v>
      </c>
      <c r="H25" s="40">
        <f>C25/(G25)</f>
        <v>5.2383450641651112E-2</v>
      </c>
      <c r="I25" s="38">
        <f>(SQRT(D5)-D5)/(1-D5)</f>
        <v>9.7919300104913259E-2</v>
      </c>
      <c r="J25" s="40">
        <f>(0.5*J13)-(I25*F25)</f>
        <v>1.7744015451803707E-2</v>
      </c>
    </row>
    <row r="26" spans="2:10" x14ac:dyDescent="0.25">
      <c r="B26" s="38" t="s">
        <v>47</v>
      </c>
      <c r="C26" s="38"/>
      <c r="D26" s="38"/>
      <c r="E26" s="38" t="e">
        <f>D26/C26</f>
        <v>#DIV/0!</v>
      </c>
      <c r="F26" s="40" t="e">
        <f>-1*E26</f>
        <v>#DIV/0!</v>
      </c>
      <c r="G26" s="38">
        <f>1-2*SQRT(E5)+E5</f>
        <v>0.80136828678380323</v>
      </c>
      <c r="H26" s="40">
        <f>C26/(G26)</f>
        <v>0</v>
      </c>
      <c r="I26" s="38">
        <f>(SQRT(E5)-E5)/(1-E5)</f>
        <v>9.4865548971830999E-2</v>
      </c>
      <c r="J26" s="40"/>
    </row>
    <row r="27" spans="2:10" x14ac:dyDescent="0.25">
      <c r="B27" s="38" t="s">
        <v>60</v>
      </c>
      <c r="C27" s="38"/>
      <c r="D27" s="38"/>
      <c r="E27" s="38" t="e">
        <f>D27/C27</f>
        <v>#DIV/0!</v>
      </c>
      <c r="F27" s="40" t="e">
        <f>-1*E27</f>
        <v>#DIV/0!</v>
      </c>
      <c r="G27" s="38">
        <f>1-2*SQRT(F5)+F5</f>
        <v>0.78416528719951806</v>
      </c>
      <c r="H27" s="40">
        <f>C27/(G27)</f>
        <v>0</v>
      </c>
      <c r="I27" s="38">
        <f>(SQRT(F5)-F5)/(1-F5)</f>
        <v>0.10271163350703337</v>
      </c>
      <c r="J27" s="40"/>
    </row>
    <row r="29" spans="2:10" ht="18.75" x14ac:dyDescent="0.35">
      <c r="B29" s="5" t="s">
        <v>166</v>
      </c>
    </row>
  </sheetData>
  <mergeCells count="3">
    <mergeCell ref="B1:J1"/>
    <mergeCell ref="B9:J9"/>
    <mergeCell ref="B19:J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0"/>
  <sheetViews>
    <sheetView topLeftCell="A13" zoomScale="71" zoomScaleNormal="71" workbookViewId="0">
      <selection activeCell="E20" sqref="E20"/>
    </sheetView>
  </sheetViews>
  <sheetFormatPr defaultRowHeight="15.75" x14ac:dyDescent="0.25"/>
  <cols>
    <col min="1" max="1" width="42.625" bestFit="1" customWidth="1"/>
    <col min="2" max="15" width="13.125" customWidth="1"/>
    <col min="17" max="17" width="41.5" bestFit="1" customWidth="1"/>
    <col min="18" max="18" width="8.75" customWidth="1"/>
    <col min="19" max="23" width="8.375" customWidth="1"/>
    <col min="24" max="26" width="8.75" customWidth="1"/>
    <col min="27" max="27" width="8.375" customWidth="1"/>
    <col min="28" max="28" width="8.75" customWidth="1"/>
    <col min="29" max="29" width="10.375" bestFit="1" customWidth="1"/>
  </cols>
  <sheetData>
    <row r="1" spans="1:15" x14ac:dyDescent="0.25">
      <c r="A1" t="s">
        <v>83</v>
      </c>
      <c r="B1" t="s">
        <v>84</v>
      </c>
    </row>
    <row r="3" spans="1:15" x14ac:dyDescent="0.25">
      <c r="A3" s="44" t="s">
        <v>109</v>
      </c>
    </row>
    <row r="5" spans="1:15" x14ac:dyDescent="0.25">
      <c r="A5" s="45" t="s">
        <v>108</v>
      </c>
    </row>
    <row r="6" spans="1:15" x14ac:dyDescent="0.25">
      <c r="A6" t="s">
        <v>85</v>
      </c>
      <c r="B6" t="s">
        <v>86</v>
      </c>
      <c r="C6" t="s">
        <v>87</v>
      </c>
      <c r="D6" t="s">
        <v>88</v>
      </c>
      <c r="E6" t="s">
        <v>89</v>
      </c>
      <c r="F6" t="s">
        <v>90</v>
      </c>
      <c r="G6" t="s">
        <v>91</v>
      </c>
      <c r="H6" t="s">
        <v>92</v>
      </c>
      <c r="I6" t="s">
        <v>93</v>
      </c>
      <c r="J6" t="s">
        <v>94</v>
      </c>
      <c r="K6" t="s">
        <v>95</v>
      </c>
      <c r="L6" t="s">
        <v>96</v>
      </c>
      <c r="M6" t="s">
        <v>97</v>
      </c>
      <c r="N6" t="s">
        <v>110</v>
      </c>
      <c r="O6" t="s">
        <v>136</v>
      </c>
    </row>
    <row r="7" spans="1:15" x14ac:dyDescent="0.25">
      <c r="A7" t="s">
        <v>104</v>
      </c>
      <c r="B7" s="43">
        <v>22500</v>
      </c>
      <c r="C7" s="43">
        <v>1.315E-2</v>
      </c>
      <c r="D7" s="43">
        <v>4.5100000000000001E-4</v>
      </c>
      <c r="E7" s="43">
        <v>1.298E-2</v>
      </c>
      <c r="F7" s="43">
        <v>1.197E-2</v>
      </c>
      <c r="G7" s="43">
        <v>1.503E-2</v>
      </c>
      <c r="H7" s="43">
        <v>595</v>
      </c>
      <c r="I7" s="43">
        <v>595</v>
      </c>
      <c r="J7" s="43">
        <v>295.89999999999998</v>
      </c>
      <c r="K7" s="43">
        <v>1.311E-2</v>
      </c>
      <c r="L7" s="43">
        <v>100</v>
      </c>
      <c r="M7" s="43">
        <v>295.89999999999998</v>
      </c>
      <c r="N7" s="43">
        <v>0.2</v>
      </c>
      <c r="O7" s="43">
        <f>Table2[[#This Row],[IntDen]]/$J$16</f>
        <v>2.8700290979631424E-2</v>
      </c>
    </row>
    <row r="8" spans="1:15" x14ac:dyDescent="0.25">
      <c r="A8" t="s">
        <v>107</v>
      </c>
      <c r="B8" s="43">
        <v>22500</v>
      </c>
      <c r="C8" s="43">
        <v>2.0449999999999999E-2</v>
      </c>
      <c r="D8" s="43">
        <v>4.4749999999999998E-4</v>
      </c>
      <c r="E8" s="43">
        <v>2.0279999999999999E-2</v>
      </c>
      <c r="F8" s="43">
        <v>1.9259999999999999E-2</v>
      </c>
      <c r="G8" s="43">
        <v>2.239E-2</v>
      </c>
      <c r="H8" s="43">
        <v>595</v>
      </c>
      <c r="I8" s="43">
        <v>595</v>
      </c>
      <c r="J8" s="43">
        <v>460.1</v>
      </c>
      <c r="K8" s="43">
        <v>2.0410000000000001E-2</v>
      </c>
      <c r="L8" s="43">
        <v>100</v>
      </c>
      <c r="M8" s="43">
        <v>460.1</v>
      </c>
      <c r="N8" s="43">
        <v>0.4</v>
      </c>
      <c r="O8" s="43">
        <f>Table2[[#This Row],[IntDen]]/$J$16</f>
        <v>4.4626576139670228E-2</v>
      </c>
    </row>
    <row r="9" spans="1:15" x14ac:dyDescent="0.25">
      <c r="A9" t="s">
        <v>99</v>
      </c>
      <c r="B9" s="43">
        <v>22500</v>
      </c>
      <c r="C9" s="43">
        <v>2.7980000000000001E-2</v>
      </c>
      <c r="D9" s="43">
        <v>4.4329999999999999E-4</v>
      </c>
      <c r="E9" s="43">
        <v>2.7820000000000001E-2</v>
      </c>
      <c r="F9" s="43">
        <v>2.6669999999999999E-2</v>
      </c>
      <c r="G9" s="43">
        <v>2.9919999999999999E-2</v>
      </c>
      <c r="H9" s="43">
        <v>595</v>
      </c>
      <c r="I9" s="43">
        <v>595</v>
      </c>
      <c r="J9" s="43">
        <v>629.6</v>
      </c>
      <c r="K9" s="43">
        <v>2.794E-2</v>
      </c>
      <c r="L9" s="43">
        <v>100</v>
      </c>
      <c r="M9" s="43">
        <v>629.6</v>
      </c>
      <c r="N9" s="43">
        <v>0.6</v>
      </c>
      <c r="O9" s="43">
        <f>Table2[[#This Row],[IntDen]]/$J$16</f>
        <v>6.1066925315227935E-2</v>
      </c>
    </row>
    <row r="10" spans="1:15" x14ac:dyDescent="0.25">
      <c r="A10" t="s">
        <v>105</v>
      </c>
      <c r="B10" s="43">
        <v>22500</v>
      </c>
      <c r="C10" s="43">
        <v>4.3139999999999998E-2</v>
      </c>
      <c r="D10" s="43">
        <v>4.3609999999999998E-4</v>
      </c>
      <c r="E10" s="43">
        <v>4.2970000000000001E-2</v>
      </c>
      <c r="F10" s="43">
        <v>4.1779999999999998E-2</v>
      </c>
      <c r="G10" s="43">
        <v>4.4999999999999998E-2</v>
      </c>
      <c r="H10" s="43">
        <v>595</v>
      </c>
      <c r="I10" s="43">
        <v>595</v>
      </c>
      <c r="J10" s="43">
        <v>970.6</v>
      </c>
      <c r="K10" s="43">
        <v>4.3099999999999999E-2</v>
      </c>
      <c r="L10" s="43">
        <v>100</v>
      </c>
      <c r="M10" s="43">
        <v>970.6</v>
      </c>
      <c r="N10" s="43">
        <v>1</v>
      </c>
      <c r="O10" s="43">
        <f>Table2[[#This Row],[IntDen]]/$J$16</f>
        <v>9.4141610087293895E-2</v>
      </c>
    </row>
    <row r="11" spans="1:15" x14ac:dyDescent="0.25">
      <c r="A11" t="s">
        <v>101</v>
      </c>
      <c r="B11" s="43">
        <v>22500</v>
      </c>
      <c r="C11" s="43">
        <v>5.8250000000000003E-2</v>
      </c>
      <c r="D11" s="43">
        <v>4.392E-4</v>
      </c>
      <c r="E11" s="43">
        <v>5.8180000000000003E-2</v>
      </c>
      <c r="F11" s="43">
        <v>5.6710000000000003E-2</v>
      </c>
      <c r="G11" s="43">
        <v>6.0449999999999997E-2</v>
      </c>
      <c r="H11" s="43">
        <v>595</v>
      </c>
      <c r="I11" s="43">
        <v>595</v>
      </c>
      <c r="J11" s="43">
        <v>1311</v>
      </c>
      <c r="K11" s="43">
        <v>5.8220000000000001E-2</v>
      </c>
      <c r="L11" s="43">
        <v>100</v>
      </c>
      <c r="M11" s="43">
        <v>1311</v>
      </c>
      <c r="N11" s="43">
        <v>1.4</v>
      </c>
      <c r="O11" s="43">
        <f>Table2[[#This Row],[IntDen]]/$J$16</f>
        <v>0.1271580989330747</v>
      </c>
    </row>
    <row r="12" spans="1:15" x14ac:dyDescent="0.25">
      <c r="A12" t="s">
        <v>106</v>
      </c>
      <c r="B12" s="43">
        <v>22500</v>
      </c>
      <c r="C12" s="43">
        <v>6.5839999999999996E-2</v>
      </c>
      <c r="D12" s="43">
        <v>4.3590000000000002E-4</v>
      </c>
      <c r="E12" s="43">
        <v>6.5729999999999997E-2</v>
      </c>
      <c r="F12" s="43">
        <v>6.4350000000000004E-2</v>
      </c>
      <c r="G12" s="43">
        <v>6.7820000000000005E-2</v>
      </c>
      <c r="H12" s="43">
        <v>595</v>
      </c>
      <c r="I12" s="43">
        <v>595</v>
      </c>
      <c r="J12" s="43">
        <v>1481</v>
      </c>
      <c r="K12" s="43">
        <v>6.5799999999999997E-2</v>
      </c>
      <c r="L12" s="43">
        <v>100</v>
      </c>
      <c r="M12" s="43">
        <v>1481</v>
      </c>
      <c r="N12" s="43">
        <v>1.6</v>
      </c>
      <c r="O12" s="43">
        <f>Table2[[#This Row],[IntDen]]/$J$16</f>
        <v>0.14364694471387002</v>
      </c>
    </row>
    <row r="13" spans="1:15" x14ac:dyDescent="0.25">
      <c r="A13" t="s">
        <v>98</v>
      </c>
      <c r="B13" s="43">
        <v>22500</v>
      </c>
      <c r="C13" s="43">
        <v>8.0979999999999996E-2</v>
      </c>
      <c r="D13" s="43">
        <v>4.3810000000000002E-4</v>
      </c>
      <c r="E13" s="43">
        <v>8.0949999999999994E-2</v>
      </c>
      <c r="F13" s="43">
        <v>7.9420000000000004E-2</v>
      </c>
      <c r="G13" s="43">
        <v>8.3019999999999997E-2</v>
      </c>
      <c r="H13" s="43">
        <v>595</v>
      </c>
      <c r="I13" s="43">
        <v>595</v>
      </c>
      <c r="J13" s="43">
        <v>1822</v>
      </c>
      <c r="K13" s="43">
        <v>8.0949999999999994E-2</v>
      </c>
      <c r="L13" s="43">
        <v>100</v>
      </c>
      <c r="M13" s="43">
        <v>1822</v>
      </c>
      <c r="N13" s="43">
        <v>2</v>
      </c>
      <c r="O13" s="43">
        <f>Table2[[#This Row],[IntDen]]/$J$16</f>
        <v>0.17672162948593598</v>
      </c>
    </row>
    <row r="14" spans="1:15" x14ac:dyDescent="0.25">
      <c r="A14" t="s">
        <v>102</v>
      </c>
      <c r="B14" s="43">
        <v>22500</v>
      </c>
      <c r="C14" s="43">
        <v>4.411E-3</v>
      </c>
      <c r="D14" s="43">
        <v>5.0299999999999997E-4</v>
      </c>
      <c r="E14" s="43">
        <v>4.1000000000000003E-3</v>
      </c>
      <c r="F14" s="43">
        <v>3.3700000000000002E-3</v>
      </c>
      <c r="G14" s="43">
        <v>6.3140000000000002E-3</v>
      </c>
      <c r="H14" s="43">
        <v>595</v>
      </c>
      <c r="I14" s="43">
        <v>595</v>
      </c>
      <c r="J14" s="43">
        <v>99.25</v>
      </c>
      <c r="K14" s="43">
        <v>4.3E-3</v>
      </c>
      <c r="L14" s="43">
        <v>100</v>
      </c>
      <c r="M14" s="43">
        <v>99.25</v>
      </c>
      <c r="N14" t="s">
        <v>111</v>
      </c>
      <c r="O14" s="43">
        <f>Table2[[#This Row],[IntDen]]/$J$16</f>
        <v>9.6265761396702228E-3</v>
      </c>
    </row>
    <row r="15" spans="1:15" x14ac:dyDescent="0.25">
      <c r="A15" t="s">
        <v>103</v>
      </c>
      <c r="B15" s="43">
        <v>22500</v>
      </c>
      <c r="C15" s="43">
        <v>4.313E-3</v>
      </c>
      <c r="D15" s="43">
        <v>4.4079999999999998E-4</v>
      </c>
      <c r="E15" s="43">
        <v>4.0439999999999999E-3</v>
      </c>
      <c r="F15" s="43">
        <v>3.3400000000000001E-3</v>
      </c>
      <c r="G15" s="43">
        <v>6.4739999999999997E-3</v>
      </c>
      <c r="H15" s="43">
        <v>595</v>
      </c>
      <c r="I15" s="43">
        <v>595</v>
      </c>
      <c r="J15" s="43">
        <v>97.05</v>
      </c>
      <c r="K15" s="43">
        <v>4.2389999999999997E-3</v>
      </c>
      <c r="L15" s="43">
        <v>100</v>
      </c>
      <c r="M15" s="43">
        <v>97.05</v>
      </c>
      <c r="N15" t="s">
        <v>112</v>
      </c>
      <c r="O15" s="43">
        <f>Table2[[#This Row],[IntDen]]/$J$16</f>
        <v>9.4131910766246368E-3</v>
      </c>
    </row>
    <row r="16" spans="1:15" x14ac:dyDescent="0.25">
      <c r="A16" t="s">
        <v>100</v>
      </c>
      <c r="B16" s="43">
        <v>22500</v>
      </c>
      <c r="C16" s="43">
        <v>0.4582</v>
      </c>
      <c r="D16" s="43">
        <v>9.2559999999999995E-4</v>
      </c>
      <c r="E16" s="43">
        <v>0.45850000000000002</v>
      </c>
      <c r="F16" s="43">
        <v>0.45319999999999999</v>
      </c>
      <c r="G16" s="43">
        <v>0.46279999999999999</v>
      </c>
      <c r="H16" s="43">
        <v>595</v>
      </c>
      <c r="I16" s="43">
        <v>595</v>
      </c>
      <c r="J16" s="43">
        <v>10310</v>
      </c>
      <c r="K16" s="43">
        <v>0.45829999999999999</v>
      </c>
      <c r="L16" s="43">
        <v>100</v>
      </c>
      <c r="M16" s="43">
        <v>10310</v>
      </c>
      <c r="N16" t="s">
        <v>121</v>
      </c>
      <c r="O16" s="43">
        <f>Table2[[#This Row],[IntDen]]/$J$16</f>
        <v>1</v>
      </c>
    </row>
    <row r="18" spans="1:29" x14ac:dyDescent="0.25">
      <c r="B18" s="13" t="s">
        <v>114</v>
      </c>
      <c r="C18" s="13" t="s">
        <v>115</v>
      </c>
      <c r="D18" s="13" t="s">
        <v>118</v>
      </c>
      <c r="E18" s="13" t="s">
        <v>20</v>
      </c>
    </row>
    <row r="19" spans="1:29" x14ac:dyDescent="0.25">
      <c r="A19" t="s">
        <v>113</v>
      </c>
      <c r="B19" s="48">
        <f>AVERAGE(O14:O15)</f>
        <v>9.5198836081474298E-3</v>
      </c>
      <c r="C19" s="47">
        <v>1.46E-2</v>
      </c>
      <c r="D19" s="46">
        <f>1-TRANSMISSION_6X</f>
        <v>0.99048011639185252</v>
      </c>
      <c r="E19" s="47">
        <v>10</v>
      </c>
    </row>
    <row r="21" spans="1:29" ht="18" x14ac:dyDescent="0.25">
      <c r="B21" s="13" t="s">
        <v>122</v>
      </c>
      <c r="C21" s="13" t="s">
        <v>117</v>
      </c>
      <c r="D21" s="51" t="s">
        <v>150</v>
      </c>
      <c r="E21" s="13" t="s">
        <v>120</v>
      </c>
    </row>
    <row r="22" spans="1:29" x14ac:dyDescent="0.25">
      <c r="A22" t="s">
        <v>119</v>
      </c>
      <c r="B22" s="46">
        <f t="array" ref="B22:C22">LINEST(O7:O13,N7:N13)</f>
        <v>8.2374903628540899E-2</v>
      </c>
      <c r="C22" s="46">
        <v>1.1851824218458526E-2</v>
      </c>
      <c r="D22" s="46">
        <f>C22/B22</f>
        <v>0.14387663834974318</v>
      </c>
      <c r="E22" s="49">
        <f>D22 - (E19*TRANSMISSION_6X/D19)</f>
        <v>4.776280980741246E-2</v>
      </c>
    </row>
    <row r="24" spans="1:29" x14ac:dyDescent="0.25">
      <c r="A24" s="45" t="s">
        <v>123</v>
      </c>
    </row>
    <row r="25" spans="1:29" x14ac:dyDescent="0.25">
      <c r="A25" t="s">
        <v>85</v>
      </c>
      <c r="B25" t="s">
        <v>86</v>
      </c>
      <c r="C25" t="s">
        <v>87</v>
      </c>
      <c r="D25" t="s">
        <v>88</v>
      </c>
      <c r="E25" t="s">
        <v>89</v>
      </c>
      <c r="F25" t="s">
        <v>90</v>
      </c>
      <c r="G25" t="s">
        <v>91</v>
      </c>
      <c r="H25" t="s">
        <v>92</v>
      </c>
      <c r="I25" t="s">
        <v>93</v>
      </c>
      <c r="J25" t="s">
        <v>94</v>
      </c>
      <c r="K25" t="s">
        <v>95</v>
      </c>
      <c r="L25" t="s">
        <v>96</v>
      </c>
      <c r="M25" t="s">
        <v>97</v>
      </c>
      <c r="N25" t="s">
        <v>110</v>
      </c>
      <c r="O25" t="s">
        <v>136</v>
      </c>
      <c r="Q25" t="s">
        <v>85</v>
      </c>
      <c r="R25" t="s">
        <v>86</v>
      </c>
      <c r="S25" t="s">
        <v>87</v>
      </c>
      <c r="T25" t="s">
        <v>88</v>
      </c>
      <c r="U25" t="s">
        <v>89</v>
      </c>
      <c r="V25" t="s">
        <v>90</v>
      </c>
      <c r="W25" t="s">
        <v>91</v>
      </c>
      <c r="X25" t="s">
        <v>92</v>
      </c>
      <c r="Y25" t="s">
        <v>93</v>
      </c>
      <c r="Z25" t="s">
        <v>94</v>
      </c>
      <c r="AA25" t="s">
        <v>95</v>
      </c>
      <c r="AB25" t="s">
        <v>96</v>
      </c>
      <c r="AC25" t="s">
        <v>97</v>
      </c>
    </row>
    <row r="26" spans="1:29" x14ac:dyDescent="0.25">
      <c r="A26" t="s">
        <v>124</v>
      </c>
      <c r="B26" s="43">
        <v>22500</v>
      </c>
      <c r="C26" s="43">
        <v>2.2490000000000001E-3</v>
      </c>
      <c r="D26" s="43">
        <v>3.1619999999999999E-4</v>
      </c>
      <c r="E26" s="43">
        <v>2.0530000000000001E-3</v>
      </c>
      <c r="F26" s="43">
        <v>1.4419999999999999E-3</v>
      </c>
      <c r="G26" s="43">
        <v>4.1619999999999999E-3</v>
      </c>
      <c r="H26" s="43">
        <v>595</v>
      </c>
      <c r="I26" s="43">
        <v>595</v>
      </c>
      <c r="J26" s="43">
        <v>50.61</v>
      </c>
      <c r="K26" s="43">
        <v>2.2070000000000002E-3</v>
      </c>
      <c r="L26" s="43">
        <v>100</v>
      </c>
      <c r="M26" s="43">
        <v>50.61</v>
      </c>
      <c r="N26" t="s">
        <v>111</v>
      </c>
      <c r="O26" s="43">
        <f>Table3[[#This Row],[IntDen]]/$J$28</f>
        <v>4.725490196078431E-3</v>
      </c>
      <c r="Q26" t="s">
        <v>124</v>
      </c>
      <c r="R26" s="43">
        <v>22500</v>
      </c>
      <c r="S26" s="43">
        <v>2.2490000000000001E-3</v>
      </c>
      <c r="T26" s="43">
        <v>3.1619999999999999E-4</v>
      </c>
      <c r="U26" s="43">
        <v>2.0530000000000001E-3</v>
      </c>
      <c r="V26" s="43">
        <v>1.4419999999999999E-3</v>
      </c>
      <c r="W26" s="43">
        <v>4.1619999999999999E-3</v>
      </c>
      <c r="X26" s="43">
        <v>595</v>
      </c>
      <c r="Y26" s="43">
        <v>595</v>
      </c>
      <c r="Z26" s="43">
        <v>50.61</v>
      </c>
      <c r="AA26" s="43">
        <v>2.2070000000000002E-3</v>
      </c>
      <c r="AB26" s="43">
        <v>100</v>
      </c>
      <c r="AC26" s="43">
        <v>50.61</v>
      </c>
    </row>
    <row r="27" spans="1:29" x14ac:dyDescent="0.25">
      <c r="A27" t="s">
        <v>125</v>
      </c>
      <c r="B27" s="43">
        <v>22500</v>
      </c>
      <c r="C27" s="43">
        <v>2.3240000000000001E-3</v>
      </c>
      <c r="D27" s="43">
        <v>3.547E-4</v>
      </c>
      <c r="E27" s="43">
        <v>2.1879999999999998E-3</v>
      </c>
      <c r="F27" s="43">
        <v>1.524E-3</v>
      </c>
      <c r="G27" s="43">
        <v>3.7469999999999999E-3</v>
      </c>
      <c r="H27" s="43">
        <v>595</v>
      </c>
      <c r="I27" s="43">
        <v>595</v>
      </c>
      <c r="J27" s="43">
        <v>52.3</v>
      </c>
      <c r="K27" s="43">
        <v>2.2560000000000002E-3</v>
      </c>
      <c r="L27" s="43">
        <v>100</v>
      </c>
      <c r="M27" s="43">
        <v>52.3</v>
      </c>
      <c r="N27" t="s">
        <v>112</v>
      </c>
      <c r="O27" s="43">
        <f>Table3[[#This Row],[IntDen]]/$J$28</f>
        <v>4.88328664799253E-3</v>
      </c>
      <c r="Q27" t="s">
        <v>125</v>
      </c>
      <c r="R27" s="43">
        <v>22500</v>
      </c>
      <c r="S27" s="43">
        <v>2.3240000000000001E-3</v>
      </c>
      <c r="T27" s="43">
        <v>3.547E-4</v>
      </c>
      <c r="U27" s="43">
        <v>2.1879999999999998E-3</v>
      </c>
      <c r="V27" s="43">
        <v>1.524E-3</v>
      </c>
      <c r="W27" s="43">
        <v>3.7469999999999999E-3</v>
      </c>
      <c r="X27" s="43">
        <v>595</v>
      </c>
      <c r="Y27" s="43">
        <v>595</v>
      </c>
      <c r="Z27" s="43">
        <v>52.3</v>
      </c>
      <c r="AA27" s="43">
        <v>2.2560000000000002E-3</v>
      </c>
      <c r="AB27" s="43">
        <v>100</v>
      </c>
      <c r="AC27" s="43">
        <v>52.3</v>
      </c>
    </row>
    <row r="28" spans="1:29" x14ac:dyDescent="0.25">
      <c r="A28" t="s">
        <v>127</v>
      </c>
      <c r="B28" s="43">
        <v>22500</v>
      </c>
      <c r="C28" s="43">
        <v>0.47620000000000001</v>
      </c>
      <c r="D28" s="43">
        <v>4.3119999999999999E-3</v>
      </c>
      <c r="E28" s="43">
        <v>0.47910000000000003</v>
      </c>
      <c r="F28" s="43">
        <v>0.4632</v>
      </c>
      <c r="G28" s="43">
        <v>0.48730000000000001</v>
      </c>
      <c r="H28" s="43">
        <v>595</v>
      </c>
      <c r="I28" s="43">
        <v>595</v>
      </c>
      <c r="J28" s="43">
        <v>10710</v>
      </c>
      <c r="K28" s="43">
        <v>0.47670000000000001</v>
      </c>
      <c r="L28" s="43">
        <v>100</v>
      </c>
      <c r="M28" s="43">
        <v>10710</v>
      </c>
      <c r="N28" t="s">
        <v>121</v>
      </c>
      <c r="O28" s="43">
        <f>Table3[[#This Row],[IntDen]]/$J$28</f>
        <v>1</v>
      </c>
      <c r="Q28" t="s">
        <v>127</v>
      </c>
      <c r="R28" s="43">
        <v>22500</v>
      </c>
      <c r="S28" s="43">
        <v>0.47620000000000001</v>
      </c>
      <c r="T28" s="43">
        <v>4.3119999999999999E-3</v>
      </c>
      <c r="U28" s="43">
        <v>0.47910000000000003</v>
      </c>
      <c r="V28" s="43">
        <v>0.4632</v>
      </c>
      <c r="W28" s="43">
        <v>0.48730000000000001</v>
      </c>
      <c r="X28" s="43">
        <v>595</v>
      </c>
      <c r="Y28" s="43">
        <v>595</v>
      </c>
      <c r="Z28" s="43">
        <v>10710</v>
      </c>
      <c r="AA28" s="43">
        <v>0.47670000000000001</v>
      </c>
      <c r="AB28" s="43">
        <v>100</v>
      </c>
      <c r="AC28" s="43">
        <v>10710</v>
      </c>
    </row>
    <row r="29" spans="1:29" x14ac:dyDescent="0.25">
      <c r="A29" t="s">
        <v>128</v>
      </c>
      <c r="B29" s="43">
        <v>22500</v>
      </c>
      <c r="C29" s="43">
        <v>2.588E-2</v>
      </c>
      <c r="D29" s="43">
        <v>4.2000000000000002E-4</v>
      </c>
      <c r="E29" s="43">
        <v>2.5839999999999998E-2</v>
      </c>
      <c r="F29" s="43">
        <v>2.4670000000000001E-2</v>
      </c>
      <c r="G29" s="43">
        <v>2.76E-2</v>
      </c>
      <c r="H29" s="43">
        <v>595</v>
      </c>
      <c r="I29" s="43">
        <v>595</v>
      </c>
      <c r="J29" s="43">
        <v>582.4</v>
      </c>
      <c r="K29" s="43">
        <v>2.5860000000000001E-2</v>
      </c>
      <c r="L29" s="43">
        <v>100</v>
      </c>
      <c r="M29" s="43">
        <v>582.4</v>
      </c>
      <c r="N29" s="52">
        <v>0.6</v>
      </c>
      <c r="O29" s="43">
        <f>Table3[[#This Row],[IntDen]]/$J$28</f>
        <v>5.437908496732026E-2</v>
      </c>
      <c r="Q29" t="s">
        <v>128</v>
      </c>
      <c r="R29" s="43">
        <v>22500</v>
      </c>
      <c r="S29" s="43">
        <v>2.588E-2</v>
      </c>
      <c r="T29" s="43">
        <v>4.2000000000000002E-4</v>
      </c>
      <c r="U29" s="43">
        <v>2.5839999999999998E-2</v>
      </c>
      <c r="V29" s="43">
        <v>2.4670000000000001E-2</v>
      </c>
      <c r="W29" s="43">
        <v>2.76E-2</v>
      </c>
      <c r="X29" s="43">
        <v>595</v>
      </c>
      <c r="Y29" s="43">
        <v>595</v>
      </c>
      <c r="Z29" s="43">
        <v>582.4</v>
      </c>
      <c r="AA29" s="43">
        <v>2.5860000000000001E-2</v>
      </c>
      <c r="AB29" s="43">
        <v>100</v>
      </c>
      <c r="AC29" s="43">
        <v>582.4</v>
      </c>
    </row>
    <row r="30" spans="1:29" x14ac:dyDescent="0.25">
      <c r="A30" t="s">
        <v>131</v>
      </c>
      <c r="B30" s="43">
        <v>22500</v>
      </c>
      <c r="C30" s="43">
        <v>1.8020000000000001E-2</v>
      </c>
      <c r="D30" s="43">
        <v>3.8729999999999998E-4</v>
      </c>
      <c r="E30" s="43">
        <v>1.7940000000000001E-2</v>
      </c>
      <c r="F30" s="43">
        <v>1.6910000000000001E-2</v>
      </c>
      <c r="G30" s="43">
        <v>1.9779999999999999E-2</v>
      </c>
      <c r="H30" s="43">
        <v>595</v>
      </c>
      <c r="I30" s="43">
        <v>595</v>
      </c>
      <c r="J30" s="43">
        <v>405.5</v>
      </c>
      <c r="K30" s="43">
        <v>1.7999999999999999E-2</v>
      </c>
      <c r="L30" s="43">
        <v>100</v>
      </c>
      <c r="M30" s="43">
        <v>405.5</v>
      </c>
      <c r="N30" s="52">
        <v>0.4</v>
      </c>
      <c r="O30" s="43">
        <f>Table3[[#This Row],[IntDen]]/$J$28</f>
        <v>3.7861811391223153E-2</v>
      </c>
      <c r="Q30" t="s">
        <v>131</v>
      </c>
      <c r="R30" s="43">
        <v>22500</v>
      </c>
      <c r="S30" s="43">
        <v>1.8020000000000001E-2</v>
      </c>
      <c r="T30" s="43">
        <v>3.8729999999999998E-4</v>
      </c>
      <c r="U30" s="43">
        <v>1.7940000000000001E-2</v>
      </c>
      <c r="V30" s="43">
        <v>1.6910000000000001E-2</v>
      </c>
      <c r="W30" s="43">
        <v>1.9779999999999999E-2</v>
      </c>
      <c r="X30" s="43">
        <v>595</v>
      </c>
      <c r="Y30" s="43">
        <v>595</v>
      </c>
      <c r="Z30" s="43">
        <v>405.5</v>
      </c>
      <c r="AA30" s="43">
        <v>1.7999999999999999E-2</v>
      </c>
      <c r="AB30" s="43">
        <v>100</v>
      </c>
      <c r="AC30" s="43">
        <v>405.5</v>
      </c>
    </row>
    <row r="31" spans="1:29" x14ac:dyDescent="0.25">
      <c r="A31" t="s">
        <v>129</v>
      </c>
      <c r="B31" s="43">
        <v>22500</v>
      </c>
      <c r="C31" s="43">
        <v>1.04E-2</v>
      </c>
      <c r="D31" s="43">
        <v>3.5940000000000001E-4</v>
      </c>
      <c r="E31" s="43">
        <v>1.039E-2</v>
      </c>
      <c r="F31" s="43">
        <v>9.4210000000000006E-3</v>
      </c>
      <c r="G31" s="43">
        <v>1.222E-2</v>
      </c>
      <c r="H31" s="43">
        <v>595</v>
      </c>
      <c r="I31" s="43">
        <v>595</v>
      </c>
      <c r="J31" s="43">
        <v>234</v>
      </c>
      <c r="K31" s="43">
        <v>1.038E-2</v>
      </c>
      <c r="L31" s="43">
        <v>100</v>
      </c>
      <c r="M31" s="43">
        <v>234</v>
      </c>
      <c r="N31" s="52">
        <v>0.2</v>
      </c>
      <c r="O31" s="43">
        <f>Table3[[#This Row],[IntDen]]/$J$28</f>
        <v>2.1848739495798318E-2</v>
      </c>
      <c r="Q31" t="s">
        <v>129</v>
      </c>
      <c r="R31" s="43">
        <v>22500</v>
      </c>
      <c r="S31" s="43">
        <v>1.04E-2</v>
      </c>
      <c r="T31" s="43">
        <v>3.5940000000000001E-4</v>
      </c>
      <c r="U31" s="43">
        <v>1.039E-2</v>
      </c>
      <c r="V31" s="43">
        <v>9.4210000000000006E-3</v>
      </c>
      <c r="W31" s="43">
        <v>1.222E-2</v>
      </c>
      <c r="X31" s="43">
        <v>595</v>
      </c>
      <c r="Y31" s="43">
        <v>595</v>
      </c>
      <c r="Z31" s="43">
        <v>234</v>
      </c>
      <c r="AA31" s="43">
        <v>1.038E-2</v>
      </c>
      <c r="AB31" s="43">
        <v>100</v>
      </c>
      <c r="AC31" s="43">
        <v>234</v>
      </c>
    </row>
    <row r="32" spans="1:29" x14ac:dyDescent="0.25">
      <c r="A32" t="s">
        <v>126</v>
      </c>
      <c r="B32" s="43">
        <v>22500</v>
      </c>
      <c r="C32" s="43">
        <v>8.1189999999999998E-2</v>
      </c>
      <c r="D32" s="43">
        <v>8.2180000000000003E-4</v>
      </c>
      <c r="E32" s="43">
        <v>8.1640000000000004E-2</v>
      </c>
      <c r="F32" s="43">
        <v>7.8829999999999997E-2</v>
      </c>
      <c r="G32" s="43">
        <v>8.3949999999999997E-2</v>
      </c>
      <c r="H32" s="43">
        <v>595</v>
      </c>
      <c r="I32" s="43">
        <v>595</v>
      </c>
      <c r="J32" s="43">
        <v>1827</v>
      </c>
      <c r="K32" s="43">
        <v>8.1269999999999995E-2</v>
      </c>
      <c r="L32" s="43">
        <v>100</v>
      </c>
      <c r="M32" s="43">
        <v>1827</v>
      </c>
      <c r="N32" s="52">
        <v>2</v>
      </c>
      <c r="O32" s="43">
        <f>Table3[[#This Row],[IntDen]]/$J$28</f>
        <v>0.17058823529411765</v>
      </c>
      <c r="Q32" t="s">
        <v>126</v>
      </c>
      <c r="R32" s="43">
        <v>22500</v>
      </c>
      <c r="S32" s="43">
        <v>8.1189999999999998E-2</v>
      </c>
      <c r="T32" s="43">
        <v>8.2180000000000003E-4</v>
      </c>
      <c r="U32" s="43">
        <v>8.1640000000000004E-2</v>
      </c>
      <c r="V32" s="43">
        <v>7.8829999999999997E-2</v>
      </c>
      <c r="W32" s="43">
        <v>8.3949999999999997E-2</v>
      </c>
      <c r="X32" s="43">
        <v>595</v>
      </c>
      <c r="Y32" s="43">
        <v>595</v>
      </c>
      <c r="Z32" s="43">
        <v>1827</v>
      </c>
      <c r="AA32" s="43">
        <v>8.1269999999999995E-2</v>
      </c>
      <c r="AB32" s="43">
        <v>100</v>
      </c>
      <c r="AC32" s="43">
        <v>1827</v>
      </c>
    </row>
    <row r="33" spans="1:29" x14ac:dyDescent="0.25">
      <c r="A33" t="s">
        <v>132</v>
      </c>
      <c r="B33" s="43">
        <v>22500</v>
      </c>
      <c r="C33" s="43">
        <v>6.5369999999999998E-2</v>
      </c>
      <c r="D33" s="43">
        <v>6.9519999999999998E-4</v>
      </c>
      <c r="E33" s="43">
        <v>6.5699999999999995E-2</v>
      </c>
      <c r="F33" s="43">
        <v>6.3329999999999997E-2</v>
      </c>
      <c r="G33" s="43">
        <v>6.7640000000000006E-2</v>
      </c>
      <c r="H33" s="43">
        <v>595</v>
      </c>
      <c r="I33" s="43">
        <v>595</v>
      </c>
      <c r="J33" s="43">
        <v>1471</v>
      </c>
      <c r="K33" s="43">
        <v>6.5420000000000006E-2</v>
      </c>
      <c r="L33" s="43">
        <v>100</v>
      </c>
      <c r="M33" s="43">
        <v>1471</v>
      </c>
      <c r="N33" s="52">
        <v>1.6</v>
      </c>
      <c r="O33" s="43">
        <f>Table3[[#This Row],[IntDen]]/$J$28</f>
        <v>0.1373482726423903</v>
      </c>
      <c r="Q33" t="s">
        <v>132</v>
      </c>
      <c r="R33" s="43">
        <v>22500</v>
      </c>
      <c r="S33" s="43">
        <v>6.5369999999999998E-2</v>
      </c>
      <c r="T33" s="43">
        <v>6.9519999999999998E-4</v>
      </c>
      <c r="U33" s="43">
        <v>6.5699999999999995E-2</v>
      </c>
      <c r="V33" s="43">
        <v>6.3329999999999997E-2</v>
      </c>
      <c r="W33" s="43">
        <v>6.7640000000000006E-2</v>
      </c>
      <c r="X33" s="43">
        <v>595</v>
      </c>
      <c r="Y33" s="43">
        <v>595</v>
      </c>
      <c r="Z33" s="43">
        <v>1471</v>
      </c>
      <c r="AA33" s="43">
        <v>6.5420000000000006E-2</v>
      </c>
      <c r="AB33" s="43">
        <v>100</v>
      </c>
      <c r="AC33" s="43">
        <v>1471</v>
      </c>
    </row>
    <row r="34" spans="1:29" x14ac:dyDescent="0.25">
      <c r="A34" t="s">
        <v>133</v>
      </c>
      <c r="B34" s="43">
        <v>22500</v>
      </c>
      <c r="C34" s="43">
        <v>5.747E-2</v>
      </c>
      <c r="D34" s="43">
        <v>6.3239999999999998E-4</v>
      </c>
      <c r="E34" s="43">
        <v>5.7529999999999998E-2</v>
      </c>
      <c r="F34" s="43">
        <v>5.5590000000000001E-2</v>
      </c>
      <c r="G34" s="43">
        <v>5.9740000000000001E-2</v>
      </c>
      <c r="H34" s="43">
        <v>595</v>
      </c>
      <c r="I34" s="43">
        <v>595</v>
      </c>
      <c r="J34" s="43">
        <v>1293</v>
      </c>
      <c r="K34" s="43">
        <v>5.7500000000000002E-2</v>
      </c>
      <c r="L34" s="43">
        <v>100</v>
      </c>
      <c r="M34" s="43">
        <v>1293</v>
      </c>
      <c r="N34" s="52">
        <v>1.4</v>
      </c>
      <c r="O34" s="43">
        <f>Table3[[#This Row],[IntDen]]/$J$28</f>
        <v>0.12072829131652661</v>
      </c>
      <c r="Q34" t="s">
        <v>133</v>
      </c>
      <c r="R34" s="43">
        <v>22500</v>
      </c>
      <c r="S34" s="43">
        <v>5.747E-2</v>
      </c>
      <c r="T34" s="43">
        <v>6.3239999999999998E-4</v>
      </c>
      <c r="U34" s="43">
        <v>5.7529999999999998E-2</v>
      </c>
      <c r="V34" s="43">
        <v>5.5590000000000001E-2</v>
      </c>
      <c r="W34" s="43">
        <v>5.9740000000000001E-2</v>
      </c>
      <c r="X34" s="43">
        <v>595</v>
      </c>
      <c r="Y34" s="43">
        <v>595</v>
      </c>
      <c r="Z34" s="43">
        <v>1293</v>
      </c>
      <c r="AA34" s="43">
        <v>5.7500000000000002E-2</v>
      </c>
      <c r="AB34" s="43">
        <v>100</v>
      </c>
      <c r="AC34" s="43">
        <v>1293</v>
      </c>
    </row>
    <row r="35" spans="1:29" x14ac:dyDescent="0.25">
      <c r="A35" t="s">
        <v>130</v>
      </c>
      <c r="B35" s="43">
        <v>22500</v>
      </c>
      <c r="C35" s="43">
        <v>4.1660000000000003E-2</v>
      </c>
      <c r="D35" s="43">
        <v>5.1730000000000005E-4</v>
      </c>
      <c r="E35" s="43">
        <v>4.1579999999999999E-2</v>
      </c>
      <c r="F35" s="43">
        <v>4.0129999999999999E-2</v>
      </c>
      <c r="G35" s="43">
        <v>4.3549999999999998E-2</v>
      </c>
      <c r="H35" s="43">
        <v>595</v>
      </c>
      <c r="I35" s="43">
        <v>595</v>
      </c>
      <c r="J35" s="43">
        <v>937.4</v>
      </c>
      <c r="K35" s="43">
        <v>4.1660000000000003E-2</v>
      </c>
      <c r="L35" s="43">
        <v>100</v>
      </c>
      <c r="M35" s="43">
        <v>937.4</v>
      </c>
      <c r="N35" s="52">
        <v>1</v>
      </c>
      <c r="O35" s="43">
        <f>Table3[[#This Row],[IntDen]]/$J$28</f>
        <v>8.7525676937441635E-2</v>
      </c>
      <c r="Q35" t="s">
        <v>130</v>
      </c>
      <c r="R35" s="43">
        <v>22500</v>
      </c>
      <c r="S35" s="43">
        <v>4.1660000000000003E-2</v>
      </c>
      <c r="T35" s="43">
        <v>5.1730000000000005E-4</v>
      </c>
      <c r="U35" s="43">
        <v>4.1579999999999999E-2</v>
      </c>
      <c r="V35" s="43">
        <v>4.0129999999999999E-2</v>
      </c>
      <c r="W35" s="43">
        <v>4.3549999999999998E-2</v>
      </c>
      <c r="X35" s="43">
        <v>595</v>
      </c>
      <c r="Y35" s="43">
        <v>595</v>
      </c>
      <c r="Z35" s="43">
        <v>937.4</v>
      </c>
      <c r="AA35" s="43">
        <v>4.1660000000000003E-2</v>
      </c>
      <c r="AB35" s="43">
        <v>100</v>
      </c>
      <c r="AC35" s="43">
        <v>937.4</v>
      </c>
    </row>
    <row r="36" spans="1:29" x14ac:dyDescent="0.25">
      <c r="R36" s="43"/>
      <c r="S36" s="43"/>
      <c r="T36" s="43"/>
      <c r="U36" s="43"/>
      <c r="V36" s="43"/>
      <c r="W36" s="43"/>
      <c r="X36" s="43"/>
      <c r="Y36" s="43"/>
      <c r="Z36" s="43"/>
      <c r="AA36" s="43"/>
      <c r="AB36" s="43"/>
      <c r="AC36" s="43"/>
    </row>
    <row r="37" spans="1:29" x14ac:dyDescent="0.25">
      <c r="B37" s="13" t="s">
        <v>114</v>
      </c>
      <c r="C37" s="13" t="s">
        <v>115</v>
      </c>
      <c r="D37" s="13" t="s">
        <v>118</v>
      </c>
      <c r="E37" s="13" t="s">
        <v>20</v>
      </c>
      <c r="R37" s="43"/>
      <c r="S37" s="43"/>
      <c r="T37" s="43"/>
      <c r="U37" s="43"/>
      <c r="V37" s="43"/>
      <c r="W37" s="43"/>
      <c r="X37" s="43"/>
      <c r="Y37" s="43"/>
      <c r="Z37" s="43"/>
      <c r="AA37" s="43"/>
      <c r="AB37" s="43"/>
      <c r="AC37" s="43"/>
    </row>
    <row r="38" spans="1:29" x14ac:dyDescent="0.25">
      <c r="A38" t="s">
        <v>134</v>
      </c>
      <c r="B38" s="48">
        <f t="array" ref="B38">AVERAGE(O26:O27)</f>
        <v>4.8043884220354809E-3</v>
      </c>
      <c r="C38" s="47"/>
      <c r="D38" s="46">
        <f>1-TRANSMISSION_6X_FFF</f>
        <v>0.99519561157796455</v>
      </c>
      <c r="E38" s="47">
        <v>10</v>
      </c>
      <c r="R38" s="43"/>
      <c r="S38" s="43"/>
      <c r="T38" s="43"/>
      <c r="U38" s="43"/>
      <c r="V38" s="43"/>
      <c r="W38" s="43"/>
      <c r="X38" s="43"/>
      <c r="Y38" s="43"/>
      <c r="Z38" s="43"/>
      <c r="AA38" s="43"/>
      <c r="AB38" s="43"/>
      <c r="AC38" s="43"/>
    </row>
    <row r="40" spans="1:29" ht="18" x14ac:dyDescent="0.25">
      <c r="B40" s="13" t="s">
        <v>122</v>
      </c>
      <c r="C40" s="13" t="s">
        <v>117</v>
      </c>
      <c r="D40" s="51" t="s">
        <v>150</v>
      </c>
      <c r="E40" s="13" t="s">
        <v>120</v>
      </c>
    </row>
    <row r="41" spans="1:29" x14ac:dyDescent="0.25">
      <c r="A41" t="s">
        <v>135</v>
      </c>
      <c r="B41" s="46">
        <f t="array" ref="B41:C41">LINEST(O29:O35,N29:N35)</f>
        <v>8.2763333253529359E-2</v>
      </c>
      <c r="C41" s="46">
        <v>4.9120160884866398E-3</v>
      </c>
      <c r="D41" s="46">
        <f>C41/B41</f>
        <v>5.9350148131898393E-2</v>
      </c>
      <c r="E41" s="49">
        <f>D41 - (E38*TRANSMISSION_6X_FFF/D38)</f>
        <v>1.1074328120818079E-2</v>
      </c>
    </row>
    <row r="43" spans="1:29" x14ac:dyDescent="0.25">
      <c r="A43" s="45" t="s">
        <v>137</v>
      </c>
    </row>
    <row r="44" spans="1:29" x14ac:dyDescent="0.25">
      <c r="A44" t="s">
        <v>85</v>
      </c>
      <c r="B44" t="s">
        <v>86</v>
      </c>
      <c r="C44" t="s">
        <v>87</v>
      </c>
      <c r="D44" t="s">
        <v>88</v>
      </c>
      <c r="E44" t="s">
        <v>89</v>
      </c>
      <c r="F44" t="s">
        <v>90</v>
      </c>
      <c r="G44" t="s">
        <v>91</v>
      </c>
      <c r="H44" t="s">
        <v>92</v>
      </c>
      <c r="I44" t="s">
        <v>93</v>
      </c>
      <c r="J44" t="s">
        <v>94</v>
      </c>
      <c r="K44" t="s">
        <v>95</v>
      </c>
      <c r="L44" t="s">
        <v>96</v>
      </c>
      <c r="M44" t="s">
        <v>97</v>
      </c>
      <c r="N44" t="s">
        <v>110</v>
      </c>
      <c r="O44" t="s">
        <v>136</v>
      </c>
    </row>
    <row r="45" spans="1:29" x14ac:dyDescent="0.25">
      <c r="A45" t="s">
        <v>139</v>
      </c>
      <c r="B45" s="43">
        <v>22500</v>
      </c>
      <c r="C45" s="43">
        <v>4.5909999999999999E-2</v>
      </c>
      <c r="D45" s="43">
        <v>8.5340000000000004E-4</v>
      </c>
      <c r="E45" s="43">
        <v>4.6219999999999997E-2</v>
      </c>
      <c r="F45" s="43">
        <v>4.3639999999999998E-2</v>
      </c>
      <c r="G45" s="43">
        <v>4.8710000000000003E-2</v>
      </c>
      <c r="H45" s="43">
        <v>595</v>
      </c>
      <c r="I45" s="43">
        <v>595</v>
      </c>
      <c r="J45" s="43">
        <v>1033</v>
      </c>
      <c r="K45" s="43">
        <v>4.5929999999999999E-2</v>
      </c>
      <c r="L45" s="43">
        <v>100</v>
      </c>
      <c r="M45" s="43">
        <v>1033</v>
      </c>
      <c r="N45" s="52">
        <v>1</v>
      </c>
      <c r="O45" s="43">
        <f>Table4[[#This Row],[IntDen]]/$J$52</f>
        <v>9.3231046931407949E-2</v>
      </c>
    </row>
    <row r="46" spans="1:29" x14ac:dyDescent="0.25">
      <c r="A46" t="s">
        <v>141</v>
      </c>
      <c r="B46" s="43">
        <v>22500</v>
      </c>
      <c r="C46" s="43">
        <v>6.2170000000000003E-2</v>
      </c>
      <c r="D46" s="43">
        <v>1.083E-3</v>
      </c>
      <c r="E46" s="43">
        <v>6.2659999999999993E-2</v>
      </c>
      <c r="F46" s="43">
        <v>5.9339999999999997E-2</v>
      </c>
      <c r="G46" s="43">
        <v>6.5430000000000002E-2</v>
      </c>
      <c r="H46" s="43">
        <v>595</v>
      </c>
      <c r="I46" s="43">
        <v>595</v>
      </c>
      <c r="J46" s="43">
        <v>1399</v>
      </c>
      <c r="K46" s="43">
        <v>6.2239999999999997E-2</v>
      </c>
      <c r="L46" s="43">
        <v>100</v>
      </c>
      <c r="M46" s="43">
        <v>1399</v>
      </c>
      <c r="N46" s="52">
        <v>1.4</v>
      </c>
      <c r="O46" s="43">
        <f>Table4[[#This Row],[IntDen]]/$J$52</f>
        <v>0.12626353790613717</v>
      </c>
    </row>
    <row r="47" spans="1:29" x14ac:dyDescent="0.25">
      <c r="A47" t="s">
        <v>143</v>
      </c>
      <c r="B47" s="43">
        <v>22500</v>
      </c>
      <c r="C47" s="43">
        <v>7.0330000000000004E-2</v>
      </c>
      <c r="D47" s="43">
        <v>1.2080000000000001E-3</v>
      </c>
      <c r="E47" s="43">
        <v>7.1220000000000006E-2</v>
      </c>
      <c r="F47" s="43">
        <v>6.7180000000000004E-2</v>
      </c>
      <c r="G47" s="43">
        <v>7.3959999999999998E-2</v>
      </c>
      <c r="H47" s="43">
        <v>595</v>
      </c>
      <c r="I47" s="43">
        <v>595</v>
      </c>
      <c r="J47" s="43">
        <v>1583</v>
      </c>
      <c r="K47" s="43">
        <v>7.041E-2</v>
      </c>
      <c r="L47" s="43">
        <v>100</v>
      </c>
      <c r="M47" s="43">
        <v>1583</v>
      </c>
      <c r="N47" s="52">
        <v>1.6</v>
      </c>
      <c r="O47" s="43">
        <f>Table4[[#This Row],[IntDen]]/$J$52</f>
        <v>0.14287003610108304</v>
      </c>
    </row>
    <row r="48" spans="1:29" x14ac:dyDescent="0.25">
      <c r="A48" t="s">
        <v>145</v>
      </c>
      <c r="B48" s="43">
        <v>22500</v>
      </c>
      <c r="C48" s="43">
        <v>8.659E-2</v>
      </c>
      <c r="D48" s="43">
        <v>1.459E-3</v>
      </c>
      <c r="E48" s="43">
        <v>8.7160000000000001E-2</v>
      </c>
      <c r="F48" s="43">
        <v>8.2860000000000003E-2</v>
      </c>
      <c r="G48" s="43">
        <v>9.0749999999999997E-2</v>
      </c>
      <c r="H48" s="43">
        <v>595</v>
      </c>
      <c r="I48" s="43">
        <v>595</v>
      </c>
      <c r="J48" s="43">
        <v>1948</v>
      </c>
      <c r="K48" s="43">
        <v>8.6709999999999995E-2</v>
      </c>
      <c r="L48" s="43">
        <v>100</v>
      </c>
      <c r="M48" s="43">
        <v>1948</v>
      </c>
      <c r="N48" s="52">
        <v>2</v>
      </c>
      <c r="O48" s="43">
        <f>Table4[[#This Row],[IntDen]]/$J$52</f>
        <v>0.17581227436823105</v>
      </c>
    </row>
    <row r="49" spans="1:15" x14ac:dyDescent="0.25">
      <c r="A49" t="s">
        <v>144</v>
      </c>
      <c r="B49" s="43">
        <v>22500</v>
      </c>
      <c r="C49" s="43">
        <v>1.374E-2</v>
      </c>
      <c r="D49" s="43">
        <v>4.6670000000000001E-4</v>
      </c>
      <c r="E49" s="43">
        <v>1.367E-2</v>
      </c>
      <c r="F49" s="43">
        <v>1.244E-2</v>
      </c>
      <c r="G49" s="43">
        <v>1.5890000000000001E-2</v>
      </c>
      <c r="H49" s="43">
        <v>595</v>
      </c>
      <c r="I49" s="43">
        <v>595</v>
      </c>
      <c r="J49" s="43">
        <v>309.10000000000002</v>
      </c>
      <c r="K49" s="43">
        <v>1.37E-2</v>
      </c>
      <c r="L49" s="43">
        <v>100</v>
      </c>
      <c r="M49" s="43">
        <v>309.10000000000002</v>
      </c>
      <c r="N49" s="52">
        <v>0.2</v>
      </c>
      <c r="O49" s="43">
        <f>Table4[[#This Row],[IntDen]]/$J$52</f>
        <v>2.7897111913357402E-2</v>
      </c>
    </row>
    <row r="50" spans="1:15" x14ac:dyDescent="0.25">
      <c r="A50" t="s">
        <v>138</v>
      </c>
      <c r="B50" s="43">
        <v>22500</v>
      </c>
      <c r="C50" s="43">
        <v>2.1559999999999999E-2</v>
      </c>
      <c r="D50" s="43">
        <v>5.4129999999999998E-4</v>
      </c>
      <c r="E50" s="43">
        <v>2.163E-2</v>
      </c>
      <c r="F50" s="43">
        <v>2.0039999999999999E-2</v>
      </c>
      <c r="G50" s="43">
        <v>2.3720000000000001E-2</v>
      </c>
      <c r="H50" s="43">
        <v>595</v>
      </c>
      <c r="I50" s="43">
        <v>595</v>
      </c>
      <c r="J50" s="43">
        <v>485.2</v>
      </c>
      <c r="K50" s="43">
        <v>2.154E-2</v>
      </c>
      <c r="L50" s="43">
        <v>100</v>
      </c>
      <c r="M50" s="43">
        <v>485.2</v>
      </c>
      <c r="N50" s="52">
        <v>0.4</v>
      </c>
      <c r="O50" s="43">
        <f>Table4[[#This Row],[IntDen]]/$J$52</f>
        <v>4.3790613718411552E-2</v>
      </c>
    </row>
    <row r="51" spans="1:15" x14ac:dyDescent="0.25">
      <c r="A51" t="s">
        <v>140</v>
      </c>
      <c r="B51" s="43">
        <v>22500</v>
      </c>
      <c r="C51" s="43">
        <v>2.964E-2</v>
      </c>
      <c r="D51" s="43">
        <v>6.3020000000000003E-4</v>
      </c>
      <c r="E51" s="43">
        <v>2.9850000000000002E-2</v>
      </c>
      <c r="F51" s="43">
        <v>2.7879999999999999E-2</v>
      </c>
      <c r="G51" s="43">
        <v>3.2030000000000003E-2</v>
      </c>
      <c r="H51" s="43">
        <v>595</v>
      </c>
      <c r="I51" s="43">
        <v>595</v>
      </c>
      <c r="J51" s="43">
        <v>667</v>
      </c>
      <c r="K51" s="43">
        <v>2.964E-2</v>
      </c>
      <c r="L51" s="43">
        <v>100</v>
      </c>
      <c r="M51" s="43">
        <v>667</v>
      </c>
      <c r="N51" s="52">
        <v>0.6</v>
      </c>
      <c r="O51" s="43">
        <f>Table4[[#This Row],[IntDen]]/$J$52</f>
        <v>6.0198555956678702E-2</v>
      </c>
    </row>
    <row r="52" spans="1:15" x14ac:dyDescent="0.25">
      <c r="A52" t="s">
        <v>142</v>
      </c>
      <c r="B52" s="43">
        <v>22500</v>
      </c>
      <c r="C52" s="43">
        <v>0.49230000000000002</v>
      </c>
      <c r="D52" s="43">
        <v>7.9070000000000008E-3</v>
      </c>
      <c r="E52" s="43">
        <v>0.498</v>
      </c>
      <c r="F52" s="43">
        <v>0.47199999999999998</v>
      </c>
      <c r="G52" s="43">
        <v>0.5131</v>
      </c>
      <c r="H52" s="43">
        <v>595</v>
      </c>
      <c r="I52" s="43">
        <v>595</v>
      </c>
      <c r="J52" s="43">
        <v>11080</v>
      </c>
      <c r="K52" s="43">
        <v>0.49299999999999999</v>
      </c>
      <c r="L52" s="43">
        <v>100</v>
      </c>
      <c r="M52" s="43">
        <v>11080</v>
      </c>
      <c r="N52" t="s">
        <v>121</v>
      </c>
      <c r="O52" s="43">
        <f>Table4[[#This Row],[IntDen]]/$J$52</f>
        <v>1</v>
      </c>
    </row>
    <row r="53" spans="1:15" x14ac:dyDescent="0.25">
      <c r="A53" t="s">
        <v>146</v>
      </c>
      <c r="B53" s="43">
        <v>22500</v>
      </c>
      <c r="C53" s="43">
        <v>4.2729999999999999E-3</v>
      </c>
      <c r="D53" s="43">
        <v>4.8220000000000001E-4</v>
      </c>
      <c r="E53" s="43">
        <v>4.0159999999999996E-3</v>
      </c>
      <c r="F53" s="43">
        <v>3.1800000000000001E-3</v>
      </c>
      <c r="G53" s="43">
        <v>6.1729999999999997E-3</v>
      </c>
      <c r="H53" s="43">
        <v>595</v>
      </c>
      <c r="I53" s="43">
        <v>595</v>
      </c>
      <c r="J53" s="43">
        <v>96.15</v>
      </c>
      <c r="K53" s="43">
        <v>4.1809999999999998E-3</v>
      </c>
      <c r="L53" s="43">
        <v>100</v>
      </c>
      <c r="M53" s="43">
        <v>96.15</v>
      </c>
      <c r="N53" t="s">
        <v>111</v>
      </c>
      <c r="O53" s="43">
        <f>Table4[[#This Row],[IntDen]]/$J$52</f>
        <v>8.6777978339350192E-3</v>
      </c>
    </row>
    <row r="54" spans="1:15" x14ac:dyDescent="0.25">
      <c r="A54" t="s">
        <v>147</v>
      </c>
      <c r="B54" s="43">
        <v>22500</v>
      </c>
      <c r="C54" s="43">
        <v>4.2519999999999997E-3</v>
      </c>
      <c r="D54" s="43">
        <v>3.949E-4</v>
      </c>
      <c r="E54" s="43">
        <v>4.0229999999999997E-3</v>
      </c>
      <c r="F54" s="43">
        <v>3.2650000000000001E-3</v>
      </c>
      <c r="G54" s="43">
        <v>7.267E-3</v>
      </c>
      <c r="H54" s="43">
        <v>595</v>
      </c>
      <c r="I54" s="43">
        <v>595</v>
      </c>
      <c r="J54" s="43">
        <v>95.66</v>
      </c>
      <c r="K54" s="43">
        <v>4.1970000000000002E-3</v>
      </c>
      <c r="L54" s="43">
        <v>100</v>
      </c>
      <c r="M54" s="43">
        <v>95.66</v>
      </c>
      <c r="N54" t="s">
        <v>112</v>
      </c>
      <c r="O54" s="43">
        <f>Table4[[#This Row],[IntDen]]/$J$52</f>
        <v>8.6335740072202155E-3</v>
      </c>
    </row>
    <row r="56" spans="1:15" x14ac:dyDescent="0.25">
      <c r="B56" s="13" t="s">
        <v>114</v>
      </c>
      <c r="C56" s="13" t="s">
        <v>115</v>
      </c>
      <c r="D56" s="13" t="s">
        <v>118</v>
      </c>
      <c r="E56" s="13" t="s">
        <v>20</v>
      </c>
    </row>
    <row r="57" spans="1:15" x14ac:dyDescent="0.25">
      <c r="A57" t="s">
        <v>148</v>
      </c>
      <c r="B57" s="48">
        <f>AVERAGE(O53,O54)</f>
        <v>8.6556859205776174E-3</v>
      </c>
      <c r="C57" s="47"/>
      <c r="D57" s="46">
        <f>1-TRANSMISSION_10X_FFF</f>
        <v>0.99134431407942236</v>
      </c>
      <c r="E57" s="47">
        <v>10</v>
      </c>
    </row>
    <row r="59" spans="1:15" ht="18" x14ac:dyDescent="0.25">
      <c r="B59" s="13" t="s">
        <v>122</v>
      </c>
      <c r="C59" s="13" t="s">
        <v>117</v>
      </c>
      <c r="D59" s="51" t="s">
        <v>150</v>
      </c>
      <c r="E59" s="13" t="s">
        <v>120</v>
      </c>
    </row>
    <row r="60" spans="1:15" x14ac:dyDescent="0.25">
      <c r="A60" t="s">
        <v>149</v>
      </c>
      <c r="B60" s="46">
        <f t="array" ref="B60:C60">LINEST(O45:O51,N45:N51)</f>
        <v>8.2348556728069358E-2</v>
      </c>
      <c r="C60" s="46">
        <v>1.1021938350458213E-2</v>
      </c>
      <c r="D60" s="46">
        <f>C60/B60</f>
        <v>0.1338449486960015</v>
      </c>
      <c r="E60" s="49">
        <f>D60 - (E57*TRANSMISSION_10X_FFF/D57)</f>
        <v>4.6532338963474598E-2</v>
      </c>
    </row>
  </sheetData>
  <sortState ref="Q26:AC35">
    <sortCondition descending="1" ref="Q26"/>
  </sortState>
  <pageMargins left="0.7" right="0.7" top="0.75" bottom="0.75" header="0.3" footer="0.3"/>
  <pageSetup paperSize="9"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3"/>
  <sheetViews>
    <sheetView topLeftCell="A28" zoomScale="75" zoomScaleNormal="75" workbookViewId="0">
      <selection activeCell="F61" sqref="F61:G61"/>
    </sheetView>
  </sheetViews>
  <sheetFormatPr defaultColWidth="11" defaultRowHeight="15.75" x14ac:dyDescent="0.25"/>
  <cols>
    <col min="1" max="1" width="2.875" customWidth="1"/>
    <col min="2" max="10" width="20.875" customWidth="1"/>
    <col min="11" max="11" width="2.875" customWidth="1"/>
  </cols>
  <sheetData>
    <row r="1" spans="2:10" ht="18" thickBot="1" x14ac:dyDescent="0.35">
      <c r="B1" s="41" t="s">
        <v>8</v>
      </c>
      <c r="C1" s="41"/>
      <c r="D1" s="41"/>
      <c r="E1" s="41"/>
      <c r="F1" s="41"/>
      <c r="G1" s="41"/>
      <c r="H1" s="27"/>
      <c r="I1" s="27"/>
      <c r="J1" s="27"/>
    </row>
    <row r="2" spans="2:10" ht="16.5" thickTop="1" x14ac:dyDescent="0.25">
      <c r="B2" s="6" t="s">
        <v>9</v>
      </c>
    </row>
    <row r="4" spans="2:10" x14ac:dyDescent="0.25">
      <c r="B4" s="7" t="s">
        <v>10</v>
      </c>
      <c r="C4" s="7" t="s">
        <v>11</v>
      </c>
    </row>
    <row r="5" spans="2:10" x14ac:dyDescent="0.25">
      <c r="B5" s="7">
        <v>1</v>
      </c>
      <c r="C5" s="17">
        <v>1.51</v>
      </c>
    </row>
    <row r="6" spans="2:10" x14ac:dyDescent="0.25">
      <c r="B6" s="7">
        <v>2</v>
      </c>
      <c r="C6" s="17">
        <v>1.5089999999999999</v>
      </c>
    </row>
    <row r="7" spans="2:10" x14ac:dyDescent="0.25">
      <c r="B7" s="7">
        <v>3</v>
      </c>
      <c r="C7" s="17">
        <v>1.5089999999999999</v>
      </c>
    </row>
    <row r="9" spans="2:10" x14ac:dyDescent="0.25">
      <c r="B9" s="9" t="s">
        <v>12</v>
      </c>
      <c r="C9" s="15">
        <f>AVERAGE(C5:C7)</f>
        <v>1.5093333333333334</v>
      </c>
    </row>
    <row r="10" spans="2:10" x14ac:dyDescent="0.25">
      <c r="B10" s="9" t="s">
        <v>13</v>
      </c>
      <c r="C10" s="16">
        <f>_xlfn.STDEV.S(C5:C7)/SQRT(2)</f>
        <v>4.0824829046390873E-4</v>
      </c>
    </row>
    <row r="12" spans="2:10" ht="18" thickBot="1" x14ac:dyDescent="0.35">
      <c r="B12" s="4" t="s">
        <v>14</v>
      </c>
      <c r="C12" s="4"/>
      <c r="D12" s="4"/>
      <c r="E12" s="4"/>
      <c r="F12" s="4"/>
      <c r="G12" s="4"/>
      <c r="H12" s="4"/>
      <c r="I12" s="4"/>
      <c r="J12" s="4"/>
    </row>
    <row r="13" spans="2:10" ht="16.5" thickTop="1" x14ac:dyDescent="0.25">
      <c r="B13" s="5" t="s">
        <v>15</v>
      </c>
    </row>
    <row r="14" spans="2:10" x14ac:dyDescent="0.25">
      <c r="B14" s="5" t="s">
        <v>36</v>
      </c>
    </row>
    <row r="16" spans="2:10" x14ac:dyDescent="0.25">
      <c r="B16" s="7"/>
      <c r="C16" s="7" t="s">
        <v>16</v>
      </c>
      <c r="D16" s="7" t="s">
        <v>17</v>
      </c>
    </row>
    <row r="17" spans="2:12" x14ac:dyDescent="0.25">
      <c r="B17" s="7" t="s">
        <v>10</v>
      </c>
      <c r="C17" s="7" t="s">
        <v>11</v>
      </c>
      <c r="D17" s="7" t="s">
        <v>11</v>
      </c>
    </row>
    <row r="18" spans="2:12" x14ac:dyDescent="0.25">
      <c r="B18" s="7">
        <v>1</v>
      </c>
      <c r="C18" s="7">
        <v>7.1999999999999995E-2</v>
      </c>
      <c r="D18" s="7">
        <v>7.8E-2</v>
      </c>
    </row>
    <row r="19" spans="2:12" x14ac:dyDescent="0.25">
      <c r="B19" s="7">
        <v>2</v>
      </c>
      <c r="C19" s="7">
        <v>7.2999999999999995E-2</v>
      </c>
      <c r="D19" s="7">
        <v>7.6999999999999999E-2</v>
      </c>
    </row>
    <row r="20" spans="2:12" x14ac:dyDescent="0.25">
      <c r="B20" s="7">
        <v>3</v>
      </c>
      <c r="C20" s="7">
        <v>7.0999999999999994E-2</v>
      </c>
      <c r="D20" s="7">
        <v>7.8E-2</v>
      </c>
    </row>
    <row r="22" spans="2:12" x14ac:dyDescent="0.25">
      <c r="B22" s="10" t="s">
        <v>12</v>
      </c>
      <c r="C22" s="15">
        <f>0.2*AVERAGE(C18:C20)</f>
        <v>1.44E-2</v>
      </c>
      <c r="D22" s="15">
        <f>0.2*AVERAGE(D18:D20)</f>
        <v>1.5533333333333333E-2</v>
      </c>
    </row>
    <row r="23" spans="2:12" x14ac:dyDescent="0.25">
      <c r="B23" s="10" t="s">
        <v>13</v>
      </c>
      <c r="C23" s="16">
        <f>0.2*_xlfn.STDEV.S(C18:C20)/SQRT(2)</f>
        <v>1.4142135623730964E-4</v>
      </c>
      <c r="D23" s="16">
        <f>0.2*_xlfn.STDEV.S(D18:D20)/SQRT(2)</f>
        <v>8.164965809277269E-5</v>
      </c>
    </row>
    <row r="24" spans="2:12" x14ac:dyDescent="0.25">
      <c r="B24" s="10" t="s">
        <v>151</v>
      </c>
      <c r="C24" s="57">
        <f>C22/C9</f>
        <v>9.540636042402826E-3</v>
      </c>
      <c r="D24" s="57">
        <f>D22/C9</f>
        <v>1.0291519434628974E-2</v>
      </c>
      <c r="E24" s="48">
        <f>AVERAGE(C24:D24)</f>
        <v>9.9160777385159E-3</v>
      </c>
    </row>
    <row r="26" spans="2:12" ht="18" thickBot="1" x14ac:dyDescent="0.35">
      <c r="B26" s="41" t="s">
        <v>18</v>
      </c>
      <c r="C26" s="41"/>
      <c r="D26" s="41"/>
      <c r="E26" s="41"/>
      <c r="F26" s="41"/>
      <c r="G26" s="41"/>
      <c r="H26" s="27"/>
      <c r="I26" s="27"/>
      <c r="J26" s="27"/>
    </row>
    <row r="27" spans="2:12" ht="16.5" thickTop="1" x14ac:dyDescent="0.25">
      <c r="B27" s="5" t="s">
        <v>19</v>
      </c>
    </row>
    <row r="29" spans="2:12" x14ac:dyDescent="0.25">
      <c r="B29" s="7" t="s">
        <v>20</v>
      </c>
      <c r="C29" s="7" t="s">
        <v>21</v>
      </c>
      <c r="D29" s="7" t="s">
        <v>22</v>
      </c>
      <c r="E29" s="7" t="s">
        <v>23</v>
      </c>
      <c r="F29" s="11" t="s">
        <v>12</v>
      </c>
      <c r="G29" s="11" t="s">
        <v>13</v>
      </c>
      <c r="H29" s="11" t="s">
        <v>152</v>
      </c>
      <c r="I29" s="11" t="s">
        <v>156</v>
      </c>
      <c r="J29" s="11" t="s">
        <v>157</v>
      </c>
    </row>
    <row r="30" spans="2:12" x14ac:dyDescent="0.25">
      <c r="B30" s="12">
        <v>0.2</v>
      </c>
      <c r="C30" s="7">
        <v>4.4999999999999998E-2</v>
      </c>
      <c r="D30" s="7">
        <v>4.4999999999999998E-2</v>
      </c>
      <c r="E30" s="7"/>
      <c r="F30" s="30">
        <f>AVERAGE(C30:E30)</f>
        <v>4.4999999999999998E-2</v>
      </c>
      <c r="G30" s="33">
        <v>5.0000000000000001E-4</v>
      </c>
      <c r="H30" s="33">
        <f>F30/$C$9</f>
        <v>2.9814487632508831E-2</v>
      </c>
      <c r="I30" s="33">
        <f>H30-($F$40*B30+$G$40)</f>
        <v>-3.0226192034201738E-3</v>
      </c>
      <c r="J30" s="33">
        <f>H30-($F$41*B30+$G$41)</f>
        <v>3.8931548428015536E-4</v>
      </c>
      <c r="L30">
        <f>F$41*B30+G$41</f>
        <v>2.9425172148228675E-2</v>
      </c>
    </row>
    <row r="31" spans="2:12" x14ac:dyDescent="0.25">
      <c r="B31" s="12">
        <v>0.4</v>
      </c>
      <c r="C31" s="7">
        <v>6.9000000000000006E-2</v>
      </c>
      <c r="D31" s="7">
        <v>6.9000000000000006E-2</v>
      </c>
      <c r="E31" s="7"/>
      <c r="F31" s="30">
        <f t="shared" ref="F31:F37" si="0">AVERAGE(C31:E31)</f>
        <v>6.9000000000000006E-2</v>
      </c>
      <c r="G31" s="33">
        <v>5.0000000000000001E-4</v>
      </c>
      <c r="H31" s="33">
        <f t="shared" ref="H31:H37" si="1">F31/$C$9</f>
        <v>4.5715547703180211E-2</v>
      </c>
      <c r="I31" s="33">
        <f t="shared" ref="I31:I37" si="2">H31-($F$40*B31+$G$40)</f>
        <v>-2.4756794485887787E-3</v>
      </c>
      <c r="J31" s="33">
        <f t="shared" ref="J31:J37" si="3">H31-($F$41*B31+$G$41)</f>
        <v>-1.3873788167073631E-4</v>
      </c>
      <c r="L31">
        <f t="shared" ref="L31:L37" si="4">F$41*B31+G$41</f>
        <v>4.5854285584850947E-2</v>
      </c>
    </row>
    <row r="32" spans="2:12" x14ac:dyDescent="0.25">
      <c r="B32" s="12">
        <v>0.6</v>
      </c>
      <c r="C32" s="7">
        <v>9.4E-2</v>
      </c>
      <c r="D32" s="7">
        <v>9.4E-2</v>
      </c>
      <c r="E32" s="7"/>
      <c r="F32" s="30">
        <f t="shared" si="0"/>
        <v>9.4E-2</v>
      </c>
      <c r="G32" s="33">
        <v>5.0000000000000001E-4</v>
      </c>
      <c r="H32" s="33">
        <f t="shared" si="1"/>
        <v>6.2279151943462896E-2</v>
      </c>
      <c r="I32" s="33">
        <f t="shared" si="2"/>
        <v>-1.2661955241460854E-3</v>
      </c>
      <c r="J32" s="33">
        <f t="shared" si="3"/>
        <v>-4.2470780103262551E-6</v>
      </c>
      <c r="L32">
        <f t="shared" si="4"/>
        <v>6.2283399021473222E-2</v>
      </c>
    </row>
    <row r="33" spans="2:12" x14ac:dyDescent="0.25">
      <c r="B33" s="12">
        <v>1</v>
      </c>
      <c r="C33" s="7">
        <v>0.14299999999999999</v>
      </c>
      <c r="D33" s="7">
        <v>0.14299999999999999</v>
      </c>
      <c r="E33" s="7"/>
      <c r="F33" s="30">
        <f t="shared" si="0"/>
        <v>0.14299999999999999</v>
      </c>
      <c r="G33" s="33">
        <v>5.0000000000000001E-4</v>
      </c>
      <c r="H33" s="33">
        <f t="shared" si="1"/>
        <v>9.4743816254416954E-2</v>
      </c>
      <c r="I33" s="33">
        <f t="shared" si="2"/>
        <v>4.90228155128003E-4</v>
      </c>
      <c r="J33" s="33">
        <f t="shared" si="3"/>
        <v>-3.9780964030081134E-4</v>
      </c>
      <c r="L33">
        <f t="shared" si="4"/>
        <v>9.5141625894717766E-2</v>
      </c>
    </row>
    <row r="34" spans="2:12" x14ac:dyDescent="0.25">
      <c r="B34" s="12">
        <v>1.4</v>
      </c>
      <c r="C34" s="7">
        <v>0.193</v>
      </c>
      <c r="D34" s="7">
        <v>0.193</v>
      </c>
      <c r="E34" s="7"/>
      <c r="F34" s="30">
        <f t="shared" si="0"/>
        <v>0.193</v>
      </c>
      <c r="G34" s="33">
        <v>5.0000000000000001E-4</v>
      </c>
      <c r="H34" s="33">
        <f t="shared" si="1"/>
        <v>0.12787102473498232</v>
      </c>
      <c r="I34" s="33">
        <f t="shared" si="2"/>
        <v>2.9091960040134035E-3</v>
      </c>
      <c r="J34" s="33">
        <f t="shared" si="3"/>
        <v>-1.2882803297997736E-4</v>
      </c>
      <c r="L34">
        <f t="shared" si="4"/>
        <v>0.1279998527679623</v>
      </c>
    </row>
    <row r="35" spans="2:12" x14ac:dyDescent="0.25">
      <c r="B35" s="12">
        <v>1.6</v>
      </c>
      <c r="C35" s="7">
        <v>0.218</v>
      </c>
      <c r="D35" s="7">
        <v>0.218</v>
      </c>
      <c r="E35" s="7"/>
      <c r="F35" s="30">
        <f t="shared" si="0"/>
        <v>0.218</v>
      </c>
      <c r="G35" s="33">
        <v>5.0000000000000001E-4</v>
      </c>
      <c r="H35" s="33">
        <f t="shared" si="1"/>
        <v>0.14443462897526502</v>
      </c>
      <c r="I35" s="33">
        <f t="shared" si="2"/>
        <v>4.1186799284561038E-3</v>
      </c>
      <c r="J35" s="33">
        <f t="shared" si="3"/>
        <v>5.6627706804535105E-6</v>
      </c>
      <c r="L35">
        <f t="shared" si="4"/>
        <v>0.14442896620458456</v>
      </c>
    </row>
    <row r="36" spans="2:12" x14ac:dyDescent="0.25">
      <c r="B36" s="12">
        <v>2</v>
      </c>
      <c r="C36" s="7">
        <v>0.26800000000000002</v>
      </c>
      <c r="D36" s="7">
        <v>0.26800000000000002</v>
      </c>
      <c r="E36" s="7"/>
      <c r="F36" s="30">
        <f t="shared" si="0"/>
        <v>0.26800000000000002</v>
      </c>
      <c r="G36" s="33">
        <v>5.0000000000000001E-4</v>
      </c>
      <c r="H36" s="33">
        <f t="shared" si="1"/>
        <v>0.1775618374558304</v>
      </c>
      <c r="I36" s="33">
        <f t="shared" si="2"/>
        <v>6.537647777341532E-3</v>
      </c>
      <c r="J36" s="33">
        <f t="shared" si="3"/>
        <v>2.7464437800125974E-4</v>
      </c>
      <c r="L36">
        <f t="shared" si="4"/>
        <v>0.17728719307782914</v>
      </c>
    </row>
    <row r="37" spans="2:12" x14ac:dyDescent="0.25">
      <c r="B37" s="12">
        <v>3</v>
      </c>
      <c r="C37" s="7">
        <v>0.36299999999999999</v>
      </c>
      <c r="D37" s="7">
        <v>0.36299999999999999</v>
      </c>
      <c r="E37" s="7"/>
      <c r="F37" s="30">
        <f t="shared" si="0"/>
        <v>0.36299999999999999</v>
      </c>
      <c r="G37" s="33">
        <v>5.0000000000000001E-4</v>
      </c>
      <c r="H37" s="33">
        <f t="shared" si="1"/>
        <v>0.24050353356890458</v>
      </c>
      <c r="I37" s="33">
        <f t="shared" si="2"/>
        <v>-7.2912576887842473E-3</v>
      </c>
      <c r="J37" s="33">
        <f t="shared" si="3"/>
        <v>-1.8929226692035894E-2</v>
      </c>
      <c r="L37">
        <f t="shared" si="4"/>
        <v>0.25943276026094048</v>
      </c>
    </row>
    <row r="38" spans="2:12" x14ac:dyDescent="0.25">
      <c r="B38" s="59"/>
      <c r="C38" s="60"/>
      <c r="D38" s="60"/>
      <c r="E38" s="60"/>
      <c r="G38" s="54"/>
      <c r="H38" s="54"/>
      <c r="I38" s="54"/>
      <c r="J38" s="54"/>
    </row>
    <row r="39" spans="2:12" x14ac:dyDescent="0.25">
      <c r="B39" s="59"/>
      <c r="C39" s="60"/>
      <c r="D39" s="60"/>
      <c r="E39" s="60"/>
      <c r="F39" t="s">
        <v>116</v>
      </c>
      <c r="G39" s="54" t="s">
        <v>117</v>
      </c>
      <c r="H39" s="54"/>
      <c r="I39" s="54"/>
      <c r="J39" s="54"/>
    </row>
    <row r="40" spans="2:12" x14ac:dyDescent="0.25">
      <c r="B40" s="59"/>
      <c r="C40" s="60"/>
      <c r="D40" s="60"/>
      <c r="E40" s="60" t="s">
        <v>160</v>
      </c>
      <c r="F40" s="56">
        <f t="array" ref="F40:G40">LINEST(H30:H37,B30:B37)</f>
        <v>7.6770601579199932E-2</v>
      </c>
      <c r="G40" s="61">
        <v>1.7482986520089019E-2</v>
      </c>
      <c r="H40" s="54"/>
      <c r="I40" s="54"/>
      <c r="J40" s="54"/>
    </row>
    <row r="41" spans="2:12" x14ac:dyDescent="0.25">
      <c r="B41" s="59"/>
      <c r="C41" s="60"/>
      <c r="D41" s="60"/>
      <c r="E41" s="60" t="s">
        <v>161</v>
      </c>
      <c r="F41" s="56">
        <f t="array" ref="F41:G41">LINEST(H30:H36,B30:B36)</f>
        <v>8.2145567183111362E-2</v>
      </c>
      <c r="G41" s="61">
        <v>1.2996058711606404E-2</v>
      </c>
      <c r="H41" s="54"/>
      <c r="I41" s="54"/>
      <c r="J41" s="54"/>
    </row>
    <row r="42" spans="2:12" x14ac:dyDescent="0.25">
      <c r="B42" s="59"/>
      <c r="C42" s="60"/>
      <c r="D42" s="60"/>
      <c r="E42" s="60"/>
      <c r="H42" s="54"/>
      <c r="I42" s="54"/>
      <c r="J42" s="54"/>
    </row>
    <row r="43" spans="2:12" x14ac:dyDescent="0.25">
      <c r="B43" s="59"/>
      <c r="C43" s="60"/>
      <c r="D43" s="60"/>
      <c r="E43" s="62" t="s">
        <v>158</v>
      </c>
      <c r="G43" s="54"/>
      <c r="H43" s="54"/>
      <c r="I43" s="54"/>
      <c r="J43" s="54"/>
    </row>
    <row r="45" spans="2:12" ht="18" thickBot="1" x14ac:dyDescent="0.35">
      <c r="B45" s="41" t="s">
        <v>24</v>
      </c>
      <c r="C45" s="41"/>
      <c r="D45" s="41"/>
      <c r="E45" s="41"/>
      <c r="F45" s="41"/>
      <c r="G45" s="41"/>
      <c r="H45" s="27"/>
      <c r="I45" s="27"/>
      <c r="J45" s="27"/>
    </row>
    <row r="46" spans="2:12" ht="16.5" thickTop="1" x14ac:dyDescent="0.25">
      <c r="B46" s="5" t="s">
        <v>25</v>
      </c>
    </row>
    <row r="48" spans="2:12" x14ac:dyDescent="0.25">
      <c r="B48" s="7" t="s">
        <v>26</v>
      </c>
      <c r="C48" s="7" t="s">
        <v>21</v>
      </c>
      <c r="D48" s="7" t="s">
        <v>22</v>
      </c>
      <c r="E48" s="7" t="s">
        <v>23</v>
      </c>
      <c r="F48" s="11" t="s">
        <v>12</v>
      </c>
      <c r="G48" s="11" t="s">
        <v>152</v>
      </c>
      <c r="H48" s="63" t="s">
        <v>162</v>
      </c>
      <c r="I48" s="63" t="s">
        <v>163</v>
      </c>
      <c r="J48" s="11" t="s">
        <v>156</v>
      </c>
    </row>
    <row r="49" spans="2:10" x14ac:dyDescent="0.25">
      <c r="B49" s="12">
        <v>0</v>
      </c>
      <c r="C49" s="7">
        <v>0.26800000000000002</v>
      </c>
      <c r="D49" s="7">
        <v>0.26800000000000002</v>
      </c>
      <c r="E49" s="7"/>
      <c r="F49" s="15">
        <f>AVERAGE(C49:E49)</f>
        <v>0.26800000000000002</v>
      </c>
      <c r="G49" s="33">
        <f>F49/$C$9</f>
        <v>0.1775618374558304</v>
      </c>
      <c r="H49" s="68">
        <f>$G$49-G49</f>
        <v>0</v>
      </c>
      <c r="I49" s="63">
        <f>F$60*B49+G$60</f>
        <v>-2.765736708028585E-3</v>
      </c>
      <c r="J49" s="69">
        <f>H49-I49</f>
        <v>2.765736708028585E-3</v>
      </c>
    </row>
    <row r="50" spans="2:10" x14ac:dyDescent="0.25">
      <c r="B50" s="7">
        <v>0.1</v>
      </c>
      <c r="C50" s="17">
        <v>0.26600000000000001</v>
      </c>
      <c r="D50" s="17">
        <v>0.26600000000000001</v>
      </c>
      <c r="E50" s="17"/>
      <c r="F50" s="15">
        <f>AVERAGE(C50:E50)</f>
        <v>0.26600000000000001</v>
      </c>
      <c r="G50" s="33">
        <f>F50/$C$9</f>
        <v>0.17623674911660778</v>
      </c>
      <c r="H50" s="68">
        <f t="shared" ref="H50:H57" si="5">$G$49-G50</f>
        <v>1.3250883392226243E-3</v>
      </c>
      <c r="I50" s="63">
        <f t="shared" ref="I50:I56" si="6">F$60*B50+G$60</f>
        <v>1.4945763826115684E-3</v>
      </c>
      <c r="J50" s="69">
        <f t="shared" ref="J50:J57" si="7">H50-I50</f>
        <v>-1.694880433889441E-4</v>
      </c>
    </row>
    <row r="51" spans="2:10" x14ac:dyDescent="0.25">
      <c r="B51" s="12">
        <v>0.2</v>
      </c>
      <c r="C51" s="17">
        <v>0.25900000000000001</v>
      </c>
      <c r="D51" s="17">
        <v>0.25900000000000001</v>
      </c>
      <c r="E51" s="17"/>
      <c r="F51" s="15">
        <f t="shared" ref="F51:F57" si="8">AVERAGE(C51:E51)</f>
        <v>0.25900000000000001</v>
      </c>
      <c r="G51" s="33">
        <f t="shared" ref="G51:G57" si="9">F51/$C$9</f>
        <v>0.17159893992932862</v>
      </c>
      <c r="H51" s="68">
        <f t="shared" si="5"/>
        <v>5.9628975265017814E-3</v>
      </c>
      <c r="I51" s="63">
        <f t="shared" si="6"/>
        <v>5.7548894732517217E-3</v>
      </c>
      <c r="J51" s="69">
        <f t="shared" si="7"/>
        <v>2.0800805325005972E-4</v>
      </c>
    </row>
    <row r="52" spans="2:10" x14ac:dyDescent="0.25">
      <c r="B52" s="12">
        <v>0.3</v>
      </c>
      <c r="C52" s="17">
        <v>0.253</v>
      </c>
      <c r="D52" s="17">
        <v>0.253</v>
      </c>
      <c r="E52" s="17"/>
      <c r="F52" s="15">
        <f t="shared" si="8"/>
        <v>0.253</v>
      </c>
      <c r="G52" s="33">
        <f t="shared" si="9"/>
        <v>0.16762367491166077</v>
      </c>
      <c r="H52" s="68">
        <f t="shared" si="5"/>
        <v>9.9381625441696264E-3</v>
      </c>
      <c r="I52" s="63">
        <f t="shared" si="6"/>
        <v>1.0015202563891875E-2</v>
      </c>
      <c r="J52" s="69">
        <f t="shared" si="7"/>
        <v>-7.7040019722248582E-5</v>
      </c>
    </row>
    <row r="53" spans="2:10" x14ac:dyDescent="0.25">
      <c r="B53" s="12">
        <v>0.5</v>
      </c>
      <c r="C53" s="17">
        <v>0.24</v>
      </c>
      <c r="D53" s="17">
        <v>0.24</v>
      </c>
      <c r="E53" s="17"/>
      <c r="F53" s="15">
        <f t="shared" si="8"/>
        <v>0.24</v>
      </c>
      <c r="G53" s="33">
        <f t="shared" si="9"/>
        <v>0.15901060070671377</v>
      </c>
      <c r="H53" s="68">
        <f t="shared" si="5"/>
        <v>1.8551236749116629E-2</v>
      </c>
      <c r="I53" s="63">
        <f t="shared" si="6"/>
        <v>1.8535828745172182E-2</v>
      </c>
      <c r="J53" s="69">
        <f t="shared" si="7"/>
        <v>1.5408003944446941E-5</v>
      </c>
    </row>
    <row r="54" spans="2:10" x14ac:dyDescent="0.25">
      <c r="B54" s="12">
        <v>0.7</v>
      </c>
      <c r="C54" s="24">
        <v>0.22700000000000001</v>
      </c>
      <c r="D54" s="17">
        <v>0.22700000000000001</v>
      </c>
      <c r="E54" s="17"/>
      <c r="F54" s="15">
        <f t="shared" si="8"/>
        <v>0.22700000000000001</v>
      </c>
      <c r="G54" s="33">
        <f t="shared" si="9"/>
        <v>0.15039752650176677</v>
      </c>
      <c r="H54" s="68">
        <f t="shared" si="5"/>
        <v>2.7164310954063631E-2</v>
      </c>
      <c r="I54" s="63">
        <f t="shared" si="6"/>
        <v>2.7056454926452485E-2</v>
      </c>
      <c r="J54" s="69">
        <f t="shared" si="7"/>
        <v>1.0785602761114593E-4</v>
      </c>
    </row>
    <row r="55" spans="2:10" x14ac:dyDescent="0.25">
      <c r="B55" s="12">
        <v>1</v>
      </c>
      <c r="C55" s="17">
        <v>0.20799999999999999</v>
      </c>
      <c r="D55" s="17">
        <v>0.20799999999999999</v>
      </c>
      <c r="E55" s="17"/>
      <c r="F55" s="15">
        <f t="shared" si="8"/>
        <v>0.20799999999999999</v>
      </c>
      <c r="G55" s="33">
        <f t="shared" si="9"/>
        <v>0.13780918727915192</v>
      </c>
      <c r="H55" s="68">
        <f t="shared" si="5"/>
        <v>3.9752650176678478E-2</v>
      </c>
      <c r="I55" s="63">
        <f t="shared" si="6"/>
        <v>3.9837394198372948E-2</v>
      </c>
      <c r="J55" s="69">
        <f t="shared" si="7"/>
        <v>-8.4744021694470317E-5</v>
      </c>
    </row>
    <row r="56" spans="2:10" x14ac:dyDescent="0.25">
      <c r="B56" s="12">
        <v>2</v>
      </c>
      <c r="C56" s="17">
        <v>0.2</v>
      </c>
      <c r="D56" s="17">
        <v>0.20100000000000001</v>
      </c>
      <c r="E56" s="17"/>
      <c r="F56" s="15">
        <f t="shared" si="8"/>
        <v>0.20050000000000001</v>
      </c>
      <c r="G56" s="33">
        <f t="shared" si="9"/>
        <v>0.13284010600706714</v>
      </c>
      <c r="H56" s="68">
        <f t="shared" si="5"/>
        <v>4.4721731448763263E-2</v>
      </c>
      <c r="I56" s="63">
        <f t="shared" si="6"/>
        <v>8.2440525104774481E-2</v>
      </c>
      <c r="J56" s="69">
        <f t="shared" si="7"/>
        <v>-3.7718793656011218E-2</v>
      </c>
    </row>
    <row r="57" spans="2:10" x14ac:dyDescent="0.25">
      <c r="B57" s="12">
        <v>3</v>
      </c>
      <c r="C57" s="17">
        <v>0.2</v>
      </c>
      <c r="D57" s="17"/>
      <c r="E57" s="17"/>
      <c r="F57" s="15">
        <f t="shared" si="8"/>
        <v>0.2</v>
      </c>
      <c r="G57" s="33">
        <f t="shared" si="9"/>
        <v>0.13250883392226148</v>
      </c>
      <c r="H57" s="68">
        <f t="shared" si="5"/>
        <v>4.5053003533568919E-2</v>
      </c>
      <c r="I57" s="63">
        <f>F$60*B57+G$60</f>
        <v>0.12504365601117601</v>
      </c>
      <c r="J57" s="69">
        <f t="shared" si="7"/>
        <v>-7.9990652477607088E-2</v>
      </c>
    </row>
    <row r="59" spans="2:10" x14ac:dyDescent="0.25">
      <c r="F59" t="s">
        <v>116</v>
      </c>
      <c r="G59" t="s">
        <v>159</v>
      </c>
    </row>
    <row r="60" spans="2:10" x14ac:dyDescent="0.25">
      <c r="E60" s="60" t="s">
        <v>164</v>
      </c>
      <c r="F60" s="46">
        <f t="array" ref="F60:G60">+LINEST(H50:H55,B50:B55)</f>
        <v>4.2603130906401533E-2</v>
      </c>
      <c r="G60" s="46">
        <v>-2.765736708028585E-3</v>
      </c>
    </row>
    <row r="61" spans="2:10" x14ac:dyDescent="0.25">
      <c r="F61">
        <f t="array" ref="F61:G61">LINEST(H53:H55,B53:B55)</f>
        <v>4.2367956109354669E-2</v>
      </c>
      <c r="G61">
        <v>-2.5804351869071832E-3</v>
      </c>
    </row>
    <row r="63" spans="2:10" ht="18" thickBot="1" x14ac:dyDescent="0.35">
      <c r="B63" s="42" t="s">
        <v>27</v>
      </c>
      <c r="C63" s="42"/>
      <c r="D63" s="42"/>
      <c r="E63" s="42"/>
      <c r="F63" s="42"/>
      <c r="G63" s="42"/>
      <c r="H63" s="28"/>
      <c r="I63" s="28"/>
      <c r="J63" s="28"/>
    </row>
    <row r="64" spans="2:10" ht="16.5" thickTop="1" x14ac:dyDescent="0.25">
      <c r="B64" s="18" t="s">
        <v>28</v>
      </c>
      <c r="C64" s="19"/>
      <c r="D64" s="19"/>
      <c r="E64" s="19"/>
      <c r="F64" s="19"/>
      <c r="G64" s="19"/>
      <c r="H64" s="19"/>
      <c r="I64" s="19"/>
      <c r="J64" s="19"/>
    </row>
    <row r="65" spans="2:10" x14ac:dyDescent="0.25">
      <c r="B65" s="18" t="s">
        <v>29</v>
      </c>
      <c r="C65" s="19"/>
      <c r="D65" s="19"/>
      <c r="E65" s="19"/>
      <c r="F65" s="19"/>
      <c r="G65" s="19"/>
      <c r="H65" s="19"/>
      <c r="I65" s="19"/>
      <c r="J65" s="19"/>
    </row>
    <row r="66" spans="2:10" x14ac:dyDescent="0.25">
      <c r="B66" s="19"/>
      <c r="C66" s="19"/>
      <c r="D66" s="19"/>
      <c r="E66" s="19"/>
      <c r="F66" s="19"/>
      <c r="G66" s="19"/>
      <c r="H66" s="19"/>
      <c r="I66" s="19"/>
      <c r="J66" s="19"/>
    </row>
    <row r="67" spans="2:10" x14ac:dyDescent="0.25">
      <c r="B67" s="19" t="s">
        <v>30</v>
      </c>
      <c r="C67" s="19"/>
      <c r="D67" s="19"/>
      <c r="E67" s="19"/>
      <c r="F67" s="19"/>
      <c r="G67" s="19"/>
      <c r="H67" s="19"/>
      <c r="I67" s="19"/>
      <c r="J67" s="19"/>
    </row>
    <row r="68" spans="2:10" x14ac:dyDescent="0.25">
      <c r="B68" s="19"/>
      <c r="C68" s="19"/>
      <c r="D68" s="19"/>
      <c r="E68" s="19"/>
      <c r="F68" s="19"/>
      <c r="G68" s="19"/>
      <c r="H68" s="19"/>
      <c r="I68" s="19"/>
      <c r="J68" s="19"/>
    </row>
    <row r="69" spans="2:10" x14ac:dyDescent="0.25">
      <c r="B69" s="20" t="s">
        <v>26</v>
      </c>
      <c r="C69" s="20" t="s">
        <v>21</v>
      </c>
      <c r="D69" s="20" t="s">
        <v>22</v>
      </c>
      <c r="E69" s="20" t="s">
        <v>23</v>
      </c>
      <c r="F69" s="21" t="s">
        <v>12</v>
      </c>
      <c r="G69" s="21" t="s">
        <v>13</v>
      </c>
      <c r="H69" s="55"/>
      <c r="I69" s="55"/>
      <c r="J69" s="55"/>
    </row>
    <row r="70" spans="2:10" x14ac:dyDescent="0.25">
      <c r="B70" s="22">
        <v>0.2</v>
      </c>
      <c r="C70" s="20"/>
      <c r="D70" s="20"/>
      <c r="E70" s="20"/>
      <c r="F70" s="23"/>
      <c r="G70" s="23"/>
      <c r="H70" s="23"/>
      <c r="I70" s="23"/>
      <c r="J70" s="23"/>
    </row>
    <row r="71" spans="2:10" x14ac:dyDescent="0.25">
      <c r="B71" s="22">
        <v>0.5</v>
      </c>
      <c r="C71" s="20"/>
      <c r="D71" s="20"/>
      <c r="E71" s="20"/>
      <c r="F71" s="23"/>
      <c r="G71" s="23"/>
      <c r="H71" s="23"/>
      <c r="I71" s="23"/>
      <c r="J71" s="23"/>
    </row>
    <row r="72" spans="2:10" x14ac:dyDescent="0.25">
      <c r="B72" s="22">
        <v>1</v>
      </c>
      <c r="C72" s="20"/>
      <c r="D72" s="20"/>
      <c r="E72" s="20"/>
      <c r="F72" s="23"/>
      <c r="G72" s="23"/>
      <c r="H72" s="23"/>
      <c r="I72" s="23"/>
      <c r="J72" s="23"/>
    </row>
    <row r="73" spans="2:10" x14ac:dyDescent="0.25">
      <c r="B73" s="22">
        <v>2</v>
      </c>
      <c r="C73" s="20"/>
      <c r="D73" s="20"/>
      <c r="E73" s="20"/>
      <c r="F73" s="23"/>
      <c r="G73" s="23"/>
      <c r="H73" s="23"/>
      <c r="I73" s="23"/>
      <c r="J73" s="23"/>
    </row>
    <row r="74" spans="2:10" x14ac:dyDescent="0.25">
      <c r="B74" s="22">
        <v>3</v>
      </c>
      <c r="C74" s="20"/>
      <c r="D74" s="20"/>
      <c r="E74" s="20"/>
      <c r="F74" s="23"/>
      <c r="G74" s="23"/>
      <c r="H74" s="23"/>
      <c r="I74" s="23"/>
      <c r="J74" s="23"/>
    </row>
    <row r="75" spans="2:10" x14ac:dyDescent="0.25">
      <c r="B75" s="19"/>
      <c r="C75" s="19"/>
      <c r="D75" s="19"/>
      <c r="E75" s="19"/>
      <c r="F75" s="19"/>
      <c r="G75" s="19"/>
      <c r="H75" s="19"/>
      <c r="I75" s="19"/>
      <c r="J75" s="19"/>
    </row>
    <row r="76" spans="2:10" x14ac:dyDescent="0.25">
      <c r="B76" s="19" t="s">
        <v>31</v>
      </c>
      <c r="C76" s="19"/>
      <c r="D76" s="19"/>
      <c r="E76" s="19"/>
      <c r="F76" s="19"/>
      <c r="G76" s="19"/>
      <c r="H76" s="19"/>
      <c r="I76" s="19"/>
      <c r="J76" s="19"/>
    </row>
    <row r="77" spans="2:10" x14ac:dyDescent="0.25">
      <c r="B77" s="19"/>
      <c r="C77" s="19"/>
      <c r="D77" s="19"/>
      <c r="E77" s="19"/>
      <c r="F77" s="19"/>
      <c r="G77" s="19"/>
      <c r="H77" s="19"/>
      <c r="I77" s="19"/>
      <c r="J77" s="19"/>
    </row>
    <row r="78" spans="2:10" x14ac:dyDescent="0.25">
      <c r="B78" s="20" t="s">
        <v>26</v>
      </c>
      <c r="C78" s="20" t="s">
        <v>21</v>
      </c>
      <c r="D78" s="20" t="s">
        <v>22</v>
      </c>
      <c r="E78" s="20" t="s">
        <v>23</v>
      </c>
      <c r="F78" s="21" t="s">
        <v>12</v>
      </c>
      <c r="G78" s="21" t="s">
        <v>13</v>
      </c>
      <c r="H78" s="55"/>
      <c r="I78" s="55"/>
      <c r="J78" s="55"/>
    </row>
    <row r="79" spans="2:10" x14ac:dyDescent="0.25">
      <c r="B79" s="22">
        <v>0.2</v>
      </c>
      <c r="C79" s="20"/>
      <c r="D79" s="20"/>
      <c r="E79" s="20"/>
      <c r="F79" s="23"/>
      <c r="G79" s="23"/>
      <c r="H79" s="23"/>
      <c r="I79" s="23"/>
      <c r="J79" s="23"/>
    </row>
    <row r="80" spans="2:10" x14ac:dyDescent="0.25">
      <c r="B80" s="22">
        <v>0.5</v>
      </c>
      <c r="C80" s="20"/>
      <c r="D80" s="20"/>
      <c r="E80" s="20"/>
      <c r="F80" s="23"/>
      <c r="G80" s="23"/>
      <c r="H80" s="23"/>
      <c r="I80" s="23"/>
      <c r="J80" s="23"/>
    </row>
    <row r="81" spans="2:10" x14ac:dyDescent="0.25">
      <c r="B81" s="22">
        <v>1</v>
      </c>
      <c r="C81" s="20"/>
      <c r="D81" s="20"/>
      <c r="E81" s="20"/>
      <c r="F81" s="23"/>
      <c r="G81" s="23"/>
      <c r="H81" s="23"/>
      <c r="I81" s="23"/>
      <c r="J81" s="23"/>
    </row>
    <row r="82" spans="2:10" x14ac:dyDescent="0.25">
      <c r="B82" s="22">
        <v>2</v>
      </c>
      <c r="C82" s="20"/>
      <c r="D82" s="20"/>
      <c r="E82" s="20"/>
      <c r="F82" s="23"/>
      <c r="G82" s="23"/>
      <c r="H82" s="23"/>
      <c r="I82" s="23"/>
      <c r="J82" s="23"/>
    </row>
    <row r="83" spans="2:10" x14ac:dyDescent="0.25">
      <c r="B83" s="22">
        <v>3</v>
      </c>
      <c r="C83" s="20"/>
      <c r="D83" s="20"/>
      <c r="E83" s="20"/>
      <c r="F83" s="23"/>
      <c r="G83" s="23"/>
      <c r="H83" s="23"/>
      <c r="I83" s="23"/>
      <c r="J83" s="23"/>
    </row>
  </sheetData>
  <mergeCells count="4">
    <mergeCell ref="B1:G1"/>
    <mergeCell ref="B26:G26"/>
    <mergeCell ref="B45:G45"/>
    <mergeCell ref="B63:G63"/>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8"/>
  <sheetViews>
    <sheetView topLeftCell="B1" workbookViewId="0">
      <selection activeCell="J48" sqref="J48"/>
    </sheetView>
  </sheetViews>
  <sheetFormatPr defaultColWidth="11" defaultRowHeight="15.75" x14ac:dyDescent="0.25"/>
  <cols>
    <col min="1" max="1" width="2.875" customWidth="1"/>
    <col min="2" max="10" width="20.875" customWidth="1"/>
    <col min="11" max="11" width="2.875" customWidth="1"/>
  </cols>
  <sheetData>
    <row r="1" spans="2:10" ht="18" thickBot="1" x14ac:dyDescent="0.35">
      <c r="B1" s="41" t="s">
        <v>8</v>
      </c>
      <c r="C1" s="41"/>
      <c r="D1" s="41"/>
      <c r="E1" s="41"/>
      <c r="F1" s="41"/>
      <c r="G1" s="41"/>
      <c r="H1" s="27"/>
      <c r="I1" s="27"/>
      <c r="J1" s="27"/>
    </row>
    <row r="2" spans="2:10" ht="16.5" thickTop="1" x14ac:dyDescent="0.25">
      <c r="B2" s="6" t="s">
        <v>9</v>
      </c>
    </row>
    <row r="4" spans="2:10" x14ac:dyDescent="0.25">
      <c r="B4" s="7" t="s">
        <v>10</v>
      </c>
      <c r="C4" s="7" t="s">
        <v>11</v>
      </c>
    </row>
    <row r="5" spans="2:10" x14ac:dyDescent="0.25">
      <c r="B5" s="7">
        <v>1</v>
      </c>
      <c r="C5" s="7">
        <v>1.714</v>
      </c>
    </row>
    <row r="6" spans="2:10" x14ac:dyDescent="0.25">
      <c r="B6" s="7">
        <v>2</v>
      </c>
      <c r="C6" s="7">
        <v>1.714</v>
      </c>
    </row>
    <row r="7" spans="2:10" x14ac:dyDescent="0.25">
      <c r="B7" s="7">
        <v>3</v>
      </c>
      <c r="C7" s="7">
        <v>1.7130000000000001</v>
      </c>
    </row>
    <row r="9" spans="2:10" x14ac:dyDescent="0.25">
      <c r="B9" s="9" t="s">
        <v>12</v>
      </c>
      <c r="C9" s="15">
        <f>AVERAGE(C5:C7)</f>
        <v>1.7136666666666667</v>
      </c>
    </row>
    <row r="10" spans="2:10" x14ac:dyDescent="0.25">
      <c r="B10" s="9" t="s">
        <v>13</v>
      </c>
      <c r="C10" s="16">
        <f>_xlfn.STDEV.S(C5:C7)/SQRT(2)</f>
        <v>4.0824829046381804E-4</v>
      </c>
    </row>
    <row r="12" spans="2:10" ht="18" thickBot="1" x14ac:dyDescent="0.35">
      <c r="B12" s="4" t="s">
        <v>14</v>
      </c>
      <c r="C12" s="4"/>
      <c r="D12" s="4"/>
      <c r="E12" s="4"/>
      <c r="F12" s="4"/>
      <c r="G12" s="4"/>
      <c r="H12" s="4"/>
      <c r="I12" s="4"/>
      <c r="J12" s="4"/>
    </row>
    <row r="13" spans="2:10" ht="16.5" thickTop="1" x14ac:dyDescent="0.25">
      <c r="B13" s="5" t="s">
        <v>15</v>
      </c>
    </row>
    <row r="14" spans="2:10" x14ac:dyDescent="0.25">
      <c r="B14" s="5" t="s">
        <v>38</v>
      </c>
    </row>
    <row r="16" spans="2:10" x14ac:dyDescent="0.25">
      <c r="B16" s="7"/>
      <c r="C16" s="7" t="s">
        <v>16</v>
      </c>
      <c r="D16" s="7" t="s">
        <v>17</v>
      </c>
    </row>
    <row r="17" spans="2:12" x14ac:dyDescent="0.25">
      <c r="B17" s="7" t="s">
        <v>10</v>
      </c>
      <c r="C17" s="7" t="s">
        <v>37</v>
      </c>
      <c r="D17" s="7" t="s">
        <v>37</v>
      </c>
    </row>
    <row r="18" spans="2:12" x14ac:dyDescent="0.25">
      <c r="B18" s="7">
        <v>1</v>
      </c>
      <c r="C18" s="25">
        <v>19.48</v>
      </c>
      <c r="D18" s="25">
        <v>20.81</v>
      </c>
    </row>
    <row r="19" spans="2:12" x14ac:dyDescent="0.25">
      <c r="B19" s="7">
        <v>2</v>
      </c>
      <c r="C19" s="26">
        <v>19.54</v>
      </c>
      <c r="D19" s="25">
        <v>20.91</v>
      </c>
    </row>
    <row r="20" spans="2:12" x14ac:dyDescent="0.25">
      <c r="B20" s="7">
        <v>3</v>
      </c>
      <c r="C20" s="25">
        <v>19.63</v>
      </c>
      <c r="D20" s="25">
        <v>20.78</v>
      </c>
    </row>
    <row r="22" spans="2:12" x14ac:dyDescent="0.25">
      <c r="B22" s="10" t="s">
        <v>12</v>
      </c>
      <c r="C22" s="16">
        <f>0.001*AVERAGE(C18:C20)</f>
        <v>1.9549999999999998E-2</v>
      </c>
      <c r="D22" s="16">
        <f>0.001*AVERAGE(D18:D20)</f>
        <v>2.0833333333333332E-2</v>
      </c>
    </row>
    <row r="23" spans="2:12" x14ac:dyDescent="0.25">
      <c r="B23" s="10" t="s">
        <v>13</v>
      </c>
      <c r="C23" s="29">
        <f>0.001*_xlfn.STDEV.S(C18:C20)/SQRT(2)</f>
        <v>5.3385391260156081E-5</v>
      </c>
      <c r="D23" s="29">
        <f>0.001*_xlfn.STDEV.S(D18:D20)/SQRT(2)</f>
        <v>4.8131763593978728E-5</v>
      </c>
    </row>
    <row r="24" spans="2:12" x14ac:dyDescent="0.25">
      <c r="B24" s="10" t="s">
        <v>61</v>
      </c>
      <c r="C24" s="57">
        <f>C22/C9</f>
        <v>1.1408286325617583E-2</v>
      </c>
      <c r="D24" s="57">
        <f>D22/C9</f>
        <v>1.2157167866173895E-2</v>
      </c>
      <c r="E24" s="48">
        <f>AVERAGE(C24:D24)</f>
        <v>1.1782727095895739E-2</v>
      </c>
    </row>
    <row r="26" spans="2:12" ht="18" thickBot="1" x14ac:dyDescent="0.35">
      <c r="B26" s="41" t="s">
        <v>18</v>
      </c>
      <c r="C26" s="41"/>
      <c r="D26" s="41"/>
      <c r="E26" s="41"/>
      <c r="F26" s="41"/>
      <c r="G26" s="41"/>
      <c r="H26" s="27"/>
      <c r="I26" s="27"/>
      <c r="J26" s="27"/>
    </row>
    <row r="27" spans="2:12" ht="16.5" thickTop="1" x14ac:dyDescent="0.25">
      <c r="B27" s="5" t="s">
        <v>19</v>
      </c>
    </row>
    <row r="29" spans="2:12" x14ac:dyDescent="0.25">
      <c r="B29" s="7" t="s">
        <v>20</v>
      </c>
      <c r="C29" s="7" t="s">
        <v>21</v>
      </c>
      <c r="D29" s="7" t="s">
        <v>22</v>
      </c>
      <c r="E29" s="7" t="s">
        <v>23</v>
      </c>
      <c r="F29" s="11" t="s">
        <v>12</v>
      </c>
      <c r="G29" s="11" t="s">
        <v>13</v>
      </c>
      <c r="H29" s="11" t="s">
        <v>152</v>
      </c>
      <c r="I29" s="11" t="s">
        <v>156</v>
      </c>
      <c r="J29" s="11" t="s">
        <v>157</v>
      </c>
    </row>
    <row r="30" spans="2:12" x14ac:dyDescent="0.25">
      <c r="B30" s="12">
        <v>0.2</v>
      </c>
      <c r="C30" s="7">
        <v>5.6000000000000001E-2</v>
      </c>
      <c r="D30" s="7">
        <v>5.6000000000000001E-2</v>
      </c>
      <c r="E30" s="7"/>
      <c r="F30" s="8">
        <f>AVERAGE(C30:E30)</f>
        <v>5.6000000000000001E-2</v>
      </c>
      <c r="G30" s="8"/>
      <c r="H30" s="33">
        <f>F30/$C$9</f>
        <v>3.2678467224275434E-2</v>
      </c>
      <c r="I30" s="33">
        <f>H30-($F$40*B30+$G$40)</f>
        <v>-3.1741915033103307E-3</v>
      </c>
      <c r="J30" s="33">
        <f>H30-($F$41*B30+$G$41)</f>
        <v>3.2917869914565745E-4</v>
      </c>
      <c r="L30">
        <f>F$41*B30 + G$41</f>
        <v>3.2349288525129777E-2</v>
      </c>
    </row>
    <row r="31" spans="2:12" x14ac:dyDescent="0.25">
      <c r="B31" s="12">
        <v>0.4</v>
      </c>
      <c r="C31" s="7">
        <v>8.3000000000000004E-2</v>
      </c>
      <c r="D31" s="7">
        <v>8.3000000000000004E-2</v>
      </c>
      <c r="E31" s="7"/>
      <c r="F31" s="8">
        <f t="shared" ref="F31:F37" si="0">AVERAGE(C31:E31)</f>
        <v>8.3000000000000004E-2</v>
      </c>
      <c r="G31" s="8"/>
      <c r="H31" s="33">
        <f t="shared" ref="H31:H37" si="1">F31/$C$9</f>
        <v>4.8434156778836807E-2</v>
      </c>
      <c r="I31" s="33">
        <f t="shared" ref="I31:I37" si="2">H31-($F$40*B31+$G$40)</f>
        <v>-2.7736353353937301E-3</v>
      </c>
      <c r="J31" s="33">
        <f t="shared" ref="J31:J37" si="3">H31-($F$41*B31+$G$41)</f>
        <v>-3.7406670357455901E-4</v>
      </c>
      <c r="L31">
        <f t="shared" ref="L31:L36" si="4">F$41*B31 + G$41</f>
        <v>4.8808223482411366E-2</v>
      </c>
    </row>
    <row r="32" spans="2:12" x14ac:dyDescent="0.25">
      <c r="B32" s="12">
        <v>0.6</v>
      </c>
      <c r="C32" s="7">
        <v>0.112</v>
      </c>
      <c r="D32" s="7">
        <v>0.112</v>
      </c>
      <c r="E32" s="7"/>
      <c r="F32" s="8">
        <f t="shared" si="0"/>
        <v>0.112</v>
      </c>
      <c r="G32" s="8"/>
      <c r="H32" s="33">
        <f t="shared" si="1"/>
        <v>6.5356934448550869E-2</v>
      </c>
      <c r="I32" s="33">
        <f t="shared" si="2"/>
        <v>-1.2059910523244399E-3</v>
      </c>
      <c r="J32" s="33">
        <f t="shared" si="3"/>
        <v>8.9776008857928025E-5</v>
      </c>
      <c r="L32">
        <f t="shared" si="4"/>
        <v>6.5267158439692941E-2</v>
      </c>
    </row>
    <row r="33" spans="2:12" x14ac:dyDescent="0.25">
      <c r="B33" s="12">
        <v>1</v>
      </c>
      <c r="C33" s="7">
        <v>0.16800000000000001</v>
      </c>
      <c r="D33" s="7">
        <v>0.16800000000000001</v>
      </c>
      <c r="E33" s="7"/>
      <c r="F33" s="8">
        <f t="shared" si="0"/>
        <v>0.16800000000000001</v>
      </c>
      <c r="G33" s="8"/>
      <c r="H33" s="33">
        <f t="shared" si="1"/>
        <v>9.8035401672826303E-2</v>
      </c>
      <c r="I33" s="33">
        <f t="shared" si="2"/>
        <v>7.6220939866146475E-4</v>
      </c>
      <c r="J33" s="33">
        <f t="shared" si="3"/>
        <v>-1.4962668142981528E-4</v>
      </c>
      <c r="L33">
        <f t="shared" si="4"/>
        <v>9.8185028354256118E-2</v>
      </c>
    </row>
    <row r="34" spans="2:12" x14ac:dyDescent="0.25">
      <c r="B34" s="12">
        <v>1.4</v>
      </c>
      <c r="C34" s="7">
        <v>0.224</v>
      </c>
      <c r="D34" s="7">
        <v>0.224</v>
      </c>
      <c r="E34" s="7"/>
      <c r="F34" s="8">
        <f t="shared" si="0"/>
        <v>0.224</v>
      </c>
      <c r="G34" s="8"/>
      <c r="H34" s="33">
        <f t="shared" si="1"/>
        <v>0.13071386889710174</v>
      </c>
      <c r="I34" s="33">
        <f t="shared" si="2"/>
        <v>2.7304098496473694E-3</v>
      </c>
      <c r="J34" s="33">
        <f t="shared" si="3"/>
        <v>-3.8902937171753083E-4</v>
      </c>
      <c r="L34">
        <f t="shared" si="4"/>
        <v>0.13110289826881927</v>
      </c>
    </row>
    <row r="35" spans="2:12" x14ac:dyDescent="0.25">
      <c r="B35" s="12">
        <v>1.6</v>
      </c>
      <c r="C35" s="7">
        <v>0.254</v>
      </c>
      <c r="D35" s="7">
        <v>0.254</v>
      </c>
      <c r="E35" s="7"/>
      <c r="F35" s="8">
        <f t="shared" si="0"/>
        <v>0.254</v>
      </c>
      <c r="G35" s="8"/>
      <c r="H35" s="33">
        <f t="shared" si="1"/>
        <v>0.14822019062439215</v>
      </c>
      <c r="I35" s="33">
        <f t="shared" si="2"/>
        <v>4.8815981902930183E-3</v>
      </c>
      <c r="J35" s="33">
        <f t="shared" si="3"/>
        <v>6.5835739829125939E-4</v>
      </c>
      <c r="L35">
        <f t="shared" si="4"/>
        <v>0.14756183322610089</v>
      </c>
    </row>
    <row r="36" spans="2:12" x14ac:dyDescent="0.25">
      <c r="B36" s="12">
        <v>2</v>
      </c>
      <c r="C36" s="7">
        <v>0.309</v>
      </c>
      <c r="D36" s="7">
        <v>0.309</v>
      </c>
      <c r="E36" s="7"/>
      <c r="F36" s="8">
        <f t="shared" si="0"/>
        <v>0.309</v>
      </c>
      <c r="G36" s="8"/>
      <c r="H36" s="33">
        <f t="shared" si="1"/>
        <v>0.18031511379109122</v>
      </c>
      <c r="I36" s="33">
        <f t="shared" si="2"/>
        <v>6.2662545837025574E-3</v>
      </c>
      <c r="J36" s="33">
        <f t="shared" si="3"/>
        <v>-1.6458934957280791E-4</v>
      </c>
      <c r="L36">
        <f t="shared" si="4"/>
        <v>0.18047970314066403</v>
      </c>
    </row>
    <row r="37" spans="2:12" x14ac:dyDescent="0.25">
      <c r="B37" s="12">
        <v>3</v>
      </c>
      <c r="C37" s="7">
        <v>0.41699999999999998</v>
      </c>
      <c r="D37" s="7">
        <v>0.41699999999999998</v>
      </c>
      <c r="E37" s="7"/>
      <c r="F37" s="8">
        <f t="shared" si="0"/>
        <v>0.41699999999999998</v>
      </c>
      <c r="G37" s="8"/>
      <c r="H37" s="33">
        <f t="shared" si="1"/>
        <v>0.24333787200933668</v>
      </c>
      <c r="I37" s="33">
        <f t="shared" si="2"/>
        <v>-7.4866541312758328E-3</v>
      </c>
      <c r="J37" s="33">
        <f t="shared" si="3"/>
        <v>-1.9436505917735297E-2</v>
      </c>
      <c r="L37">
        <f>F$41*B37 + G$41</f>
        <v>0.26277437792707198</v>
      </c>
    </row>
    <row r="38" spans="2:12" x14ac:dyDescent="0.25">
      <c r="B38" s="59"/>
      <c r="C38" s="60"/>
      <c r="D38" s="60"/>
      <c r="E38" s="60"/>
      <c r="H38" s="54"/>
      <c r="I38" s="54"/>
      <c r="J38" s="54"/>
    </row>
    <row r="39" spans="2:12" x14ac:dyDescent="0.25">
      <c r="B39" s="59"/>
      <c r="C39" s="60"/>
      <c r="D39" s="60"/>
      <c r="E39" s="60"/>
      <c r="F39" t="s">
        <v>116</v>
      </c>
      <c r="G39" t="s">
        <v>117</v>
      </c>
      <c r="H39" s="54"/>
      <c r="I39" s="54"/>
      <c r="J39" s="54"/>
    </row>
    <row r="40" spans="2:12" x14ac:dyDescent="0.25">
      <c r="B40" s="59"/>
      <c r="C40" s="60"/>
      <c r="D40" s="60"/>
      <c r="E40" s="60" t="s">
        <v>160</v>
      </c>
      <c r="F40" s="46">
        <f t="array" ref="F40:G40">LINEST(H30:H37,B30:B37)</f>
        <v>7.6775666933223838E-2</v>
      </c>
      <c r="G40" s="46">
        <v>2.0497525340941E-2</v>
      </c>
      <c r="H40" s="54"/>
      <c r="I40" s="54"/>
      <c r="J40" s="54"/>
    </row>
    <row r="41" spans="2:12" x14ac:dyDescent="0.25">
      <c r="B41" s="59"/>
      <c r="C41" s="60"/>
      <c r="D41" s="60"/>
      <c r="E41" s="60" t="s">
        <v>161</v>
      </c>
      <c r="F41" s="46">
        <f t="array" ref="F41:G41">LINEST(H30:H36,B30:B36)</f>
        <v>8.2294674786407923E-2</v>
      </c>
      <c r="G41" s="46">
        <v>1.5890353567848195E-2</v>
      </c>
      <c r="H41" s="54"/>
      <c r="I41" s="54"/>
      <c r="J41" s="54"/>
    </row>
    <row r="42" spans="2:12" x14ac:dyDescent="0.25">
      <c r="B42" s="59"/>
      <c r="C42" s="60"/>
      <c r="D42" s="60"/>
      <c r="E42" s="60"/>
      <c r="H42" s="54"/>
      <c r="I42" s="54"/>
      <c r="J42" s="54"/>
    </row>
    <row r="44" spans="2:12" ht="18" thickBot="1" x14ac:dyDescent="0.35">
      <c r="B44" s="41" t="s">
        <v>24</v>
      </c>
      <c r="C44" s="41"/>
      <c r="D44" s="41"/>
      <c r="E44" s="41"/>
      <c r="F44" s="41"/>
      <c r="G44" s="41"/>
      <c r="H44" s="27"/>
      <c r="I44" s="27"/>
      <c r="J44" s="27"/>
    </row>
    <row r="45" spans="2:12" ht="16.5" thickTop="1" x14ac:dyDescent="0.25">
      <c r="B45" s="5" t="s">
        <v>25</v>
      </c>
    </row>
    <row r="47" spans="2:12" x14ac:dyDescent="0.25">
      <c r="B47" s="7" t="s">
        <v>26</v>
      </c>
      <c r="C47" s="7" t="s">
        <v>21</v>
      </c>
      <c r="D47" s="7" t="s">
        <v>22</v>
      </c>
      <c r="E47" s="7" t="s">
        <v>23</v>
      </c>
      <c r="F47" s="11" t="s">
        <v>12</v>
      </c>
      <c r="G47" s="11" t="s">
        <v>152</v>
      </c>
      <c r="H47" s="63" t="s">
        <v>162</v>
      </c>
      <c r="I47" s="63" t="s">
        <v>163</v>
      </c>
      <c r="J47" s="11" t="s">
        <v>156</v>
      </c>
    </row>
    <row r="48" spans="2:12" x14ac:dyDescent="0.25">
      <c r="B48" s="12">
        <v>0</v>
      </c>
      <c r="C48" s="7">
        <v>0.309</v>
      </c>
      <c r="D48" s="7">
        <v>0.309</v>
      </c>
      <c r="E48" s="7"/>
      <c r="F48" s="8">
        <f>AVERAGE(C48:E48)</f>
        <v>0.309</v>
      </c>
      <c r="G48" s="33">
        <f>F48/$C$9</f>
        <v>0.18031511379109122</v>
      </c>
      <c r="H48" s="67">
        <f>$H$36-G48</f>
        <v>0</v>
      </c>
      <c r="I48" s="11">
        <f>$F$58*B48+$G$58</f>
        <v>-3.0873551883399929E-3</v>
      </c>
      <c r="J48" s="32">
        <f>H48-I48</f>
        <v>3.0873551883399929E-3</v>
      </c>
    </row>
    <row r="49" spans="2:10" x14ac:dyDescent="0.25">
      <c r="B49" s="7">
        <v>0.1</v>
      </c>
      <c r="C49" s="17">
        <v>0.307</v>
      </c>
      <c r="D49" s="17">
        <v>0.307</v>
      </c>
      <c r="E49" s="17"/>
      <c r="F49" s="8">
        <f>AVERAGE(C49:E49)</f>
        <v>0.307</v>
      </c>
      <c r="G49" s="33">
        <f>F49/$C$9</f>
        <v>0.17914802567593854</v>
      </c>
      <c r="H49" s="67">
        <f>$H$36-G49</f>
        <v>1.1670881151526757E-3</v>
      </c>
      <c r="I49" s="11">
        <f>$F$58*B49+$G$58</f>
        <v>1.075485268905229E-3</v>
      </c>
      <c r="J49" s="32">
        <f t="shared" ref="J49:J55" si="5">H49-I49</f>
        <v>9.1602846247446773E-5</v>
      </c>
    </row>
    <row r="50" spans="2:10" x14ac:dyDescent="0.25">
      <c r="B50" s="12">
        <v>0.2</v>
      </c>
      <c r="C50" s="17">
        <v>0.3</v>
      </c>
      <c r="D50" s="17">
        <v>0.3</v>
      </c>
      <c r="E50" s="17"/>
      <c r="F50" s="8">
        <f t="shared" ref="F50:F55" si="6">AVERAGE(C50:E50)</f>
        <v>0.3</v>
      </c>
      <c r="G50" s="33">
        <f>F50/$C$9</f>
        <v>0.17506321727290411</v>
      </c>
      <c r="H50" s="67">
        <f t="shared" ref="H50:H55" si="7">$H$36-G50</f>
        <v>5.2518965181871102E-3</v>
      </c>
      <c r="I50" s="11">
        <f>$F$58*B50+$G$58</f>
        <v>5.2383257261504508E-3</v>
      </c>
      <c r="J50" s="32">
        <f t="shared" si="5"/>
        <v>1.3570792036659424E-5</v>
      </c>
    </row>
    <row r="51" spans="2:10" x14ac:dyDescent="0.25">
      <c r="B51" s="12">
        <v>0.3</v>
      </c>
      <c r="C51" s="17">
        <v>0.29299999999999998</v>
      </c>
      <c r="D51" s="17">
        <v>0.29299999999999998</v>
      </c>
      <c r="E51" s="17"/>
      <c r="F51" s="8">
        <f t="shared" si="6"/>
        <v>0.29299999999999998</v>
      </c>
      <c r="G51" s="33">
        <f>F51/$C$9</f>
        <v>0.17097840886986967</v>
      </c>
      <c r="H51" s="67">
        <f t="shared" si="7"/>
        <v>9.3367049212215447E-3</v>
      </c>
      <c r="I51" s="11">
        <f>$F$58*B51+$G$58</f>
        <v>9.4011661833956726E-3</v>
      </c>
      <c r="J51" s="32">
        <f t="shared" si="5"/>
        <v>-6.4461262174127926E-5</v>
      </c>
    </row>
    <row r="52" spans="2:10" x14ac:dyDescent="0.25">
      <c r="B52" s="12">
        <v>0.5</v>
      </c>
      <c r="C52" s="17">
        <v>0.27900000000000003</v>
      </c>
      <c r="D52" s="17">
        <v>0.27900000000000003</v>
      </c>
      <c r="E52" s="17"/>
      <c r="F52" s="8">
        <f t="shared" si="6"/>
        <v>0.27900000000000003</v>
      </c>
      <c r="G52" s="33">
        <f>F52/$C$9</f>
        <v>0.16280879206380083</v>
      </c>
      <c r="H52" s="67">
        <f t="shared" si="7"/>
        <v>1.7506321727290386E-2</v>
      </c>
      <c r="I52" s="11">
        <f>$F$58*B52+$G$58</f>
        <v>1.7726847097886116E-2</v>
      </c>
      <c r="J52" s="32">
        <f t="shared" si="5"/>
        <v>-2.2052537059573038E-4</v>
      </c>
    </row>
    <row r="53" spans="2:10" x14ac:dyDescent="0.25">
      <c r="B53" s="12">
        <v>0.7</v>
      </c>
      <c r="C53" s="17">
        <v>0.26400000000000001</v>
      </c>
      <c r="D53" s="17">
        <v>0.26400000000000001</v>
      </c>
      <c r="F53" s="8">
        <f t="shared" si="6"/>
        <v>0.26400000000000001</v>
      </c>
      <c r="G53" s="33">
        <f>F53/$C$9</f>
        <v>0.15405563120015561</v>
      </c>
      <c r="H53" s="67">
        <f t="shared" si="7"/>
        <v>2.6259482590935607E-2</v>
      </c>
      <c r="I53" s="11">
        <f>$F$58*B53+$G$58</f>
        <v>2.6052528012376557E-2</v>
      </c>
      <c r="J53" s="32">
        <f t="shared" si="5"/>
        <v>2.0695457855905014E-4</v>
      </c>
    </row>
    <row r="54" spans="2:10" x14ac:dyDescent="0.25">
      <c r="B54" s="12">
        <v>1</v>
      </c>
      <c r="C54" s="17">
        <v>0.24299999999999999</v>
      </c>
      <c r="D54" s="17">
        <v>0.24299999999999999</v>
      </c>
      <c r="E54" s="17"/>
      <c r="F54" s="8">
        <f t="shared" si="6"/>
        <v>0.24299999999999999</v>
      </c>
      <c r="G54" s="33">
        <f>F54/$C$9</f>
        <v>0.14180120599105231</v>
      </c>
      <c r="H54" s="67">
        <f t="shared" si="7"/>
        <v>3.851390780003891E-2</v>
      </c>
      <c r="I54" s="11">
        <f>$F$58*B54+$G$58</f>
        <v>3.8541049384112222E-2</v>
      </c>
      <c r="J54" s="32">
        <f t="shared" si="5"/>
        <v>-2.7141584073311908E-5</v>
      </c>
    </row>
    <row r="55" spans="2:10" x14ac:dyDescent="0.25">
      <c r="B55" s="12">
        <v>2</v>
      </c>
      <c r="C55" s="17">
        <v>0.23499999999999999</v>
      </c>
      <c r="D55" s="17">
        <v>0.23499999999999999</v>
      </c>
      <c r="E55" s="17"/>
      <c r="F55" s="8">
        <f t="shared" si="6"/>
        <v>0.23499999999999999</v>
      </c>
      <c r="G55" s="33">
        <f>F55/$C$9</f>
        <v>0.13713285353044155</v>
      </c>
      <c r="H55" s="67">
        <f t="shared" si="7"/>
        <v>4.3182260260649669E-2</v>
      </c>
      <c r="I55" s="11">
        <f>$F$58*B55+$G$58</f>
        <v>8.016945395656444E-2</v>
      </c>
      <c r="J55" s="32">
        <f t="shared" si="5"/>
        <v>-3.6987193695914772E-2</v>
      </c>
    </row>
    <row r="57" spans="2:10" x14ac:dyDescent="0.25">
      <c r="F57" t="s">
        <v>116</v>
      </c>
      <c r="G57" t="s">
        <v>117</v>
      </c>
    </row>
    <row r="58" spans="2:10" x14ac:dyDescent="0.25">
      <c r="E58" s="60" t="s">
        <v>164</v>
      </c>
      <c r="F58" s="46">
        <f t="array" ref="F58:G58">LINEST(H49:H54,B49:B54)</f>
        <v>4.1628404572452218E-2</v>
      </c>
      <c r="G58" s="46">
        <v>-3.0873551883399929E-3</v>
      </c>
    </row>
  </sheetData>
  <mergeCells count="3">
    <mergeCell ref="B1:G1"/>
    <mergeCell ref="B26:G26"/>
    <mergeCell ref="B44:G4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9"/>
  <sheetViews>
    <sheetView topLeftCell="A25" workbookViewId="0">
      <selection activeCell="E37" sqref="E37:E38"/>
    </sheetView>
  </sheetViews>
  <sheetFormatPr defaultColWidth="11" defaultRowHeight="15.75" x14ac:dyDescent="0.25"/>
  <cols>
    <col min="1" max="1" width="2.875" customWidth="1"/>
    <col min="2" max="10" width="20.875" customWidth="1"/>
    <col min="11" max="11" width="2.875" customWidth="1"/>
  </cols>
  <sheetData>
    <row r="1" spans="2:10" ht="18" thickBot="1" x14ac:dyDescent="0.35">
      <c r="B1" s="41" t="s">
        <v>8</v>
      </c>
      <c r="C1" s="41"/>
      <c r="D1" s="41"/>
      <c r="E1" s="41"/>
      <c r="F1" s="41"/>
      <c r="G1" s="41"/>
      <c r="H1" s="27"/>
      <c r="I1" s="27"/>
      <c r="J1" s="27"/>
    </row>
    <row r="2" spans="2:10" ht="16.5" thickTop="1" x14ac:dyDescent="0.25">
      <c r="B2" s="6" t="s">
        <v>9</v>
      </c>
    </row>
    <row r="4" spans="2:10" x14ac:dyDescent="0.25">
      <c r="B4" s="7" t="s">
        <v>10</v>
      </c>
      <c r="C4" s="7" t="s">
        <v>11</v>
      </c>
    </row>
    <row r="5" spans="2:10" x14ac:dyDescent="0.25">
      <c r="B5" s="7">
        <v>1</v>
      </c>
      <c r="C5" s="7">
        <v>1.5529999999999999</v>
      </c>
    </row>
    <row r="6" spans="2:10" x14ac:dyDescent="0.25">
      <c r="B6" s="7">
        <v>2</v>
      </c>
      <c r="C6" s="7">
        <v>1.5549999999999999</v>
      </c>
    </row>
    <row r="7" spans="2:10" x14ac:dyDescent="0.25">
      <c r="B7" s="7">
        <v>3</v>
      </c>
      <c r="C7" s="7">
        <v>1.5529999999999999</v>
      </c>
    </row>
    <row r="9" spans="2:10" x14ac:dyDescent="0.25">
      <c r="B9" s="9" t="s">
        <v>12</v>
      </c>
      <c r="C9" s="15">
        <f>AVERAGE(C5:C7)</f>
        <v>1.5536666666666665</v>
      </c>
    </row>
    <row r="10" spans="2:10" x14ac:dyDescent="0.25">
      <c r="B10" s="9" t="s">
        <v>13</v>
      </c>
      <c r="C10" s="16">
        <f>_xlfn.STDEV.S(C5:C7)/SQRT(2)</f>
        <v>8.1649658092772682E-4</v>
      </c>
    </row>
    <row r="12" spans="2:10" ht="18" thickBot="1" x14ac:dyDescent="0.35">
      <c r="B12" s="4" t="s">
        <v>14</v>
      </c>
      <c r="C12" s="4"/>
      <c r="D12" s="4"/>
      <c r="E12" s="4"/>
      <c r="F12" s="4"/>
      <c r="G12" s="4"/>
      <c r="H12" s="4"/>
      <c r="I12" s="4"/>
      <c r="J12" s="4"/>
    </row>
    <row r="13" spans="2:10" ht="16.5" thickTop="1" x14ac:dyDescent="0.25">
      <c r="B13" s="5" t="s">
        <v>15</v>
      </c>
    </row>
    <row r="14" spans="2:10" x14ac:dyDescent="0.25">
      <c r="B14" s="5" t="s">
        <v>35</v>
      </c>
    </row>
    <row r="16" spans="2:10" x14ac:dyDescent="0.25">
      <c r="B16" s="7"/>
      <c r="C16" s="7" t="s">
        <v>16</v>
      </c>
      <c r="D16" s="7" t="s">
        <v>17</v>
      </c>
    </row>
    <row r="17" spans="2:10" x14ac:dyDescent="0.25">
      <c r="B17" s="7" t="s">
        <v>10</v>
      </c>
      <c r="C17" s="7" t="s">
        <v>11</v>
      </c>
      <c r="D17" s="7" t="s">
        <v>11</v>
      </c>
    </row>
    <row r="18" spans="2:10" x14ac:dyDescent="0.25">
      <c r="B18" s="7">
        <v>1</v>
      </c>
      <c r="C18" s="7">
        <v>8.2000000000000003E-2</v>
      </c>
      <c r="D18" s="7">
        <v>8.8999999999999996E-2</v>
      </c>
    </row>
    <row r="19" spans="2:10" x14ac:dyDescent="0.25">
      <c r="B19" s="7">
        <v>2</v>
      </c>
      <c r="C19" s="7">
        <v>8.2000000000000003E-2</v>
      </c>
      <c r="D19" s="7">
        <v>8.8999999999999996E-2</v>
      </c>
    </row>
    <row r="20" spans="2:10" x14ac:dyDescent="0.25">
      <c r="B20" s="7">
        <v>3</v>
      </c>
      <c r="C20" s="7">
        <v>8.2000000000000003E-2</v>
      </c>
      <c r="D20" s="7">
        <v>8.7999999999999995E-2</v>
      </c>
    </row>
    <row r="22" spans="2:10" x14ac:dyDescent="0.25">
      <c r="B22" s="10" t="s">
        <v>12</v>
      </c>
      <c r="C22" s="8">
        <f>0.2*(AVERAGE(C18:C20))</f>
        <v>1.6400000000000001E-2</v>
      </c>
      <c r="D22" s="15">
        <f>0.2*(AVERAGE(D18:D20))</f>
        <v>1.7733333333333334E-2</v>
      </c>
    </row>
    <row r="23" spans="2:10" x14ac:dyDescent="0.25">
      <c r="B23" s="10" t="s">
        <v>13</v>
      </c>
      <c r="C23" s="16">
        <v>5.0000000000000001E-4</v>
      </c>
      <c r="D23" s="16">
        <f>_xlfn.STDEV.S(D18:D20)/SQRT(2)</f>
        <v>4.0824829046386341E-4</v>
      </c>
    </row>
    <row r="24" spans="2:10" x14ac:dyDescent="0.25">
      <c r="B24" s="10" t="s">
        <v>61</v>
      </c>
      <c r="C24" s="57">
        <f>C22/C9</f>
        <v>1.0555674747908176E-2</v>
      </c>
      <c r="D24" s="57">
        <f>D22/C9</f>
        <v>1.1413859686762498E-2</v>
      </c>
      <c r="E24" s="48">
        <f>AVERAGE(C24:D24)</f>
        <v>1.0984767217335337E-2</v>
      </c>
    </row>
    <row r="26" spans="2:10" ht="18" thickBot="1" x14ac:dyDescent="0.35">
      <c r="B26" s="41" t="s">
        <v>18</v>
      </c>
      <c r="C26" s="41"/>
      <c r="D26" s="41"/>
      <c r="E26" s="41"/>
      <c r="F26" s="41"/>
      <c r="G26" s="41"/>
      <c r="H26" s="27"/>
      <c r="I26" s="27"/>
      <c r="J26" s="27"/>
    </row>
    <row r="27" spans="2:10" ht="16.5" thickTop="1" x14ac:dyDescent="0.25">
      <c r="B27" s="5" t="s">
        <v>19</v>
      </c>
    </row>
    <row r="29" spans="2:10" x14ac:dyDescent="0.25">
      <c r="B29" s="7" t="s">
        <v>20</v>
      </c>
      <c r="C29" s="7" t="s">
        <v>21</v>
      </c>
      <c r="D29" s="7" t="s">
        <v>22</v>
      </c>
      <c r="E29" s="7" t="s">
        <v>23</v>
      </c>
      <c r="F29" s="11" t="s">
        <v>12</v>
      </c>
      <c r="G29" s="11" t="s">
        <v>13</v>
      </c>
      <c r="H29" s="11" t="s">
        <v>152</v>
      </c>
      <c r="I29" s="11" t="s">
        <v>156</v>
      </c>
      <c r="J29" s="11" t="s">
        <v>157</v>
      </c>
    </row>
    <row r="30" spans="2:10" x14ac:dyDescent="0.25">
      <c r="B30" s="12">
        <v>0.2</v>
      </c>
      <c r="C30" s="17">
        <v>4.9000000000000002E-2</v>
      </c>
      <c r="D30" s="17">
        <v>4.8000000000000001E-2</v>
      </c>
      <c r="E30" s="17">
        <v>4.8000000000000001E-2</v>
      </c>
      <c r="F30" s="15">
        <f>AVERAGE(C30:E30)</f>
        <v>4.8333333333333339E-2</v>
      </c>
      <c r="G30" s="16">
        <f>_xlfn.STDEV.S(D30:F30)/SQRT(2)</f>
        <v>1.3608276348795636E-4</v>
      </c>
      <c r="H30" s="33">
        <f>F30/$C$9</f>
        <v>3.1109204033469218E-2</v>
      </c>
      <c r="I30" s="33">
        <f>H30-($F$37*B30+$G$37)</f>
        <v>-2.6052042786648931E-3</v>
      </c>
      <c r="J30" s="33">
        <f>H30-($F$38*B30+$G$38)</f>
        <v>1.0727311735680284E-4</v>
      </c>
    </row>
    <row r="31" spans="2:10" x14ac:dyDescent="0.25">
      <c r="B31" s="12">
        <v>0.4</v>
      </c>
      <c r="C31" s="17">
        <v>7.2999999999999995E-2</v>
      </c>
      <c r="D31" s="17">
        <v>7.3999999999999996E-2</v>
      </c>
      <c r="E31" s="17">
        <v>7.3999999999999996E-2</v>
      </c>
      <c r="F31" s="15">
        <f t="shared" ref="F31:F34" si="0">AVERAGE(C31:E31)</f>
        <v>7.3666666666666658E-2</v>
      </c>
      <c r="G31" s="16">
        <f t="shared" ref="G31:G34" si="1">_xlfn.STDEV.S(D31:F31)/SQRT(2)</f>
        <v>1.3608276348795633E-4</v>
      </c>
      <c r="H31" s="33">
        <f t="shared" ref="H31:H34" si="2">F31/$C$9</f>
        <v>4.7414717871701352E-2</v>
      </c>
      <c r="I31" s="33">
        <f t="shared" ref="I31:I34" si="3">H31-($F$37*B31+$G$37)</f>
        <v>-1.565311814491939E-3</v>
      </c>
      <c r="J31" s="33">
        <f t="shared" ref="J31:J34" si="4">H31-($F$38*B31+$G$38)</f>
        <v>-1.5324731050966878E-5</v>
      </c>
    </row>
    <row r="32" spans="2:10" x14ac:dyDescent="0.25">
      <c r="B32" s="12">
        <v>1</v>
      </c>
      <c r="C32" s="17">
        <v>0.15</v>
      </c>
      <c r="D32" s="17">
        <v>0.15</v>
      </c>
      <c r="E32" s="17">
        <v>0.15</v>
      </c>
      <c r="F32" s="15">
        <f t="shared" si="0"/>
        <v>0.15</v>
      </c>
      <c r="G32" s="16">
        <f t="shared" si="1"/>
        <v>0</v>
      </c>
      <c r="H32" s="33">
        <f t="shared" si="2"/>
        <v>9.6545805621111355E-2</v>
      </c>
      <c r="I32" s="33">
        <f t="shared" si="3"/>
        <v>1.7689118127405395E-3</v>
      </c>
      <c r="J32" s="33">
        <f t="shared" si="4"/>
        <v>-1.6857204156067729E-4</v>
      </c>
    </row>
    <row r="33" spans="2:10" x14ac:dyDescent="0.25">
      <c r="B33" s="12">
        <v>2</v>
      </c>
      <c r="C33" s="17">
        <v>0.27800000000000002</v>
      </c>
      <c r="D33" s="17">
        <v>0.27800000000000002</v>
      </c>
      <c r="E33" s="17">
        <v>0.27800000000000002</v>
      </c>
      <c r="F33" s="15">
        <f t="shared" si="0"/>
        <v>0.27800000000000002</v>
      </c>
      <c r="G33" s="16">
        <f t="shared" si="1"/>
        <v>0</v>
      </c>
      <c r="H33" s="33">
        <f t="shared" si="2"/>
        <v>0.1789315597511264</v>
      </c>
      <c r="I33" s="33">
        <f t="shared" si="3"/>
        <v>7.8265590724597156E-3</v>
      </c>
      <c r="J33" s="33">
        <f t="shared" si="4"/>
        <v>7.6623655254848266E-5</v>
      </c>
    </row>
    <row r="34" spans="2:10" x14ac:dyDescent="0.25">
      <c r="B34" s="12">
        <v>3</v>
      </c>
      <c r="C34" s="17">
        <v>0.376</v>
      </c>
      <c r="D34" s="17">
        <v>0.376</v>
      </c>
      <c r="E34" s="17">
        <v>0.376</v>
      </c>
      <c r="F34" s="15">
        <f t="shared" si="0"/>
        <v>0.37600000000000006</v>
      </c>
      <c r="G34" s="16">
        <f t="shared" si="1"/>
        <v>3.9252311467094373E-17</v>
      </c>
      <c r="H34" s="33">
        <f t="shared" si="2"/>
        <v>0.24200815275691917</v>
      </c>
      <c r="I34" s="33">
        <f t="shared" si="3"/>
        <v>-5.4249547920434127E-3</v>
      </c>
      <c r="J34" s="33">
        <f t="shared" si="4"/>
        <v>-1.8987341772151944E-2</v>
      </c>
    </row>
    <row r="36" spans="2:10" x14ac:dyDescent="0.25">
      <c r="F36" t="s">
        <v>116</v>
      </c>
      <c r="G36" t="s">
        <v>159</v>
      </c>
    </row>
    <row r="37" spans="2:10" x14ac:dyDescent="0.25">
      <c r="E37" s="60" t="s">
        <v>160</v>
      </c>
      <c r="F37" s="46">
        <f t="array" ref="F37:G37">LINEST(H30:H34,B30:B34)</f>
        <v>7.6328106870295884E-2</v>
      </c>
      <c r="G37" s="46">
        <v>1.8448786938074932E-2</v>
      </c>
    </row>
    <row r="38" spans="2:10" x14ac:dyDescent="0.25">
      <c r="E38" s="60" t="s">
        <v>161</v>
      </c>
      <c r="F38" s="46">
        <f t="array" ref="F38:G38">LINEST(H30:H33,B30:B33)</f>
        <v>8.214055843319952E-2</v>
      </c>
      <c r="G38" s="46">
        <v>1.4573819229472512E-2</v>
      </c>
    </row>
    <row r="41" spans="2:10" ht="18" thickBot="1" x14ac:dyDescent="0.35">
      <c r="B41" s="41" t="s">
        <v>24</v>
      </c>
      <c r="C41" s="41"/>
      <c r="D41" s="41"/>
      <c r="E41" s="41"/>
      <c r="F41" s="41"/>
      <c r="G41" s="41"/>
      <c r="H41" s="27"/>
      <c r="I41" s="27"/>
      <c r="J41" s="27"/>
    </row>
    <row r="42" spans="2:10" ht="16.5" thickTop="1" x14ac:dyDescent="0.25">
      <c r="B42" s="5" t="s">
        <v>25</v>
      </c>
    </row>
    <row r="44" spans="2:10" x14ac:dyDescent="0.25">
      <c r="B44" s="7" t="s">
        <v>26</v>
      </c>
      <c r="C44" s="7" t="s">
        <v>21</v>
      </c>
      <c r="D44" s="7" t="s">
        <v>22</v>
      </c>
      <c r="E44" s="7" t="s">
        <v>23</v>
      </c>
      <c r="F44" s="11" t="s">
        <v>12</v>
      </c>
      <c r="G44" s="11" t="s">
        <v>13</v>
      </c>
      <c r="H44" s="11" t="s">
        <v>152</v>
      </c>
      <c r="I44" s="53"/>
      <c r="J44" s="53"/>
    </row>
    <row r="45" spans="2:10" x14ac:dyDescent="0.25">
      <c r="B45" s="12">
        <v>0.2</v>
      </c>
      <c r="C45" s="7">
        <v>0.27100000000000002</v>
      </c>
      <c r="D45" s="7">
        <v>0.27200000000000002</v>
      </c>
      <c r="E45" s="7">
        <v>0.27100000000000002</v>
      </c>
      <c r="F45" s="15">
        <f>AVERAGE(C45:E45)</f>
        <v>0.27133333333333337</v>
      </c>
      <c r="G45" s="16">
        <f>_xlfn.STDEV.S(D45:F45)/SQRT(2)</f>
        <v>3.6004114991154663E-4</v>
      </c>
      <c r="H45" s="33">
        <f>F45/$C$9</f>
        <v>0.17464063505685479</v>
      </c>
      <c r="I45" s="54"/>
      <c r="J45" s="54"/>
    </row>
    <row r="46" spans="2:10" x14ac:dyDescent="0.25">
      <c r="B46" s="12">
        <v>0.5</v>
      </c>
      <c r="C46" s="7">
        <v>0.251</v>
      </c>
      <c r="D46" s="7">
        <v>0.251</v>
      </c>
      <c r="E46" s="7">
        <v>0.251</v>
      </c>
      <c r="F46" s="15">
        <f t="shared" ref="F46:F49" si="5">AVERAGE(C46:E46)</f>
        <v>0.251</v>
      </c>
      <c r="G46" s="16">
        <f t="shared" ref="G46:G49" si="6">_xlfn.STDEV.S(D46:F46)/SQRT(2)</f>
        <v>0</v>
      </c>
      <c r="H46" s="33">
        <f t="shared" ref="H46:H49" si="7">F46/$C$9</f>
        <v>0.16155331473932633</v>
      </c>
      <c r="I46" s="54"/>
      <c r="J46" s="54"/>
    </row>
    <row r="47" spans="2:10" x14ac:dyDescent="0.25">
      <c r="B47" s="12">
        <v>1</v>
      </c>
      <c r="C47" s="7">
        <v>0.217</v>
      </c>
      <c r="D47" s="7">
        <v>0.217</v>
      </c>
      <c r="E47" s="7">
        <v>0.217</v>
      </c>
      <c r="F47" s="15">
        <f t="shared" si="5"/>
        <v>0.217</v>
      </c>
      <c r="G47" s="16">
        <f t="shared" si="6"/>
        <v>0</v>
      </c>
      <c r="H47" s="33">
        <f t="shared" si="7"/>
        <v>0.1396695987985411</v>
      </c>
      <c r="I47" s="54"/>
      <c r="J47" s="54"/>
    </row>
    <row r="48" spans="2:10" x14ac:dyDescent="0.25">
      <c r="B48" s="12">
        <v>2</v>
      </c>
      <c r="C48" s="7">
        <v>0.20899999999999999</v>
      </c>
      <c r="D48" s="7">
        <v>0.20899999999999999</v>
      </c>
      <c r="E48" s="7">
        <v>0.20899999999999999</v>
      </c>
      <c r="F48" s="15">
        <f t="shared" si="5"/>
        <v>0.20899999999999999</v>
      </c>
      <c r="G48" s="16">
        <f t="shared" si="6"/>
        <v>0</v>
      </c>
      <c r="H48" s="33">
        <f t="shared" si="7"/>
        <v>0.13452048916541515</v>
      </c>
      <c r="I48" s="54"/>
      <c r="J48" s="54"/>
    </row>
    <row r="49" spans="2:10" x14ac:dyDescent="0.25">
      <c r="B49" s="12">
        <v>3</v>
      </c>
      <c r="C49" s="7">
        <v>0.20899999999999999</v>
      </c>
      <c r="D49" s="7">
        <v>0.20899999999999999</v>
      </c>
      <c r="E49" s="7">
        <v>0.20899999999999999</v>
      </c>
      <c r="F49" s="15">
        <f t="shared" si="5"/>
        <v>0.20899999999999999</v>
      </c>
      <c r="G49" s="16">
        <f t="shared" si="6"/>
        <v>0</v>
      </c>
      <c r="H49" s="33">
        <f t="shared" si="7"/>
        <v>0.13452048916541515</v>
      </c>
      <c r="I49" s="54"/>
      <c r="J49" s="54"/>
    </row>
  </sheetData>
  <mergeCells count="3">
    <mergeCell ref="B1:G1"/>
    <mergeCell ref="B26:G26"/>
    <mergeCell ref="B41:G4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3"/>
  <sheetViews>
    <sheetView topLeftCell="A28" workbookViewId="0">
      <selection activeCell="E51" sqref="E51"/>
    </sheetView>
  </sheetViews>
  <sheetFormatPr defaultColWidth="11" defaultRowHeight="15.75" x14ac:dyDescent="0.25"/>
  <cols>
    <col min="1" max="1" width="2.875" customWidth="1"/>
    <col min="2" max="8" width="20.875" customWidth="1"/>
    <col min="9" max="9" width="2.875" customWidth="1"/>
  </cols>
  <sheetData>
    <row r="1" spans="2:8" ht="18" thickBot="1" x14ac:dyDescent="0.35">
      <c r="B1" s="41" t="s">
        <v>8</v>
      </c>
      <c r="C1" s="41"/>
      <c r="D1" s="41"/>
      <c r="E1" s="41"/>
      <c r="F1" s="41"/>
      <c r="G1" s="41"/>
      <c r="H1" s="27"/>
    </row>
    <row r="2" spans="2:8" ht="16.5" thickTop="1" x14ac:dyDescent="0.25">
      <c r="B2" s="6" t="s">
        <v>9</v>
      </c>
    </row>
    <row r="4" spans="2:8" x14ac:dyDescent="0.25">
      <c r="B4" s="7" t="s">
        <v>10</v>
      </c>
      <c r="C4" s="7" t="s">
        <v>11</v>
      </c>
    </row>
    <row r="5" spans="2:8" x14ac:dyDescent="0.25">
      <c r="B5" s="7">
        <v>1</v>
      </c>
      <c r="C5" s="17">
        <v>1.65</v>
      </c>
    </row>
    <row r="6" spans="2:8" x14ac:dyDescent="0.25">
      <c r="B6" s="7">
        <v>2</v>
      </c>
      <c r="C6" s="17">
        <v>1.6479999999999999</v>
      </c>
    </row>
    <row r="7" spans="2:8" x14ac:dyDescent="0.25">
      <c r="B7" s="7">
        <v>3</v>
      </c>
      <c r="C7" s="17">
        <v>1.647</v>
      </c>
    </row>
    <row r="9" spans="2:8" x14ac:dyDescent="0.25">
      <c r="B9" s="9" t="s">
        <v>12</v>
      </c>
      <c r="C9" s="15">
        <f>AVERAGE(C5:C7)</f>
        <v>1.6483333333333334</v>
      </c>
    </row>
    <row r="10" spans="2:8" x14ac:dyDescent="0.25">
      <c r="B10" s="9" t="s">
        <v>13</v>
      </c>
      <c r="C10" s="16">
        <f>_xlfn.STDEV.S(C5:C7)/SQRT(2)</f>
        <v>1.0801234497346099E-3</v>
      </c>
    </row>
    <row r="12" spans="2:8" ht="18" thickBot="1" x14ac:dyDescent="0.35">
      <c r="B12" s="4" t="s">
        <v>14</v>
      </c>
      <c r="C12" s="4"/>
      <c r="D12" s="4"/>
      <c r="E12" s="4"/>
      <c r="F12" s="4"/>
      <c r="G12" s="4"/>
      <c r="H12" s="4"/>
    </row>
    <row r="13" spans="2:8" ht="16.5" thickTop="1" x14ac:dyDescent="0.25">
      <c r="B13" s="5" t="s">
        <v>15</v>
      </c>
    </row>
    <row r="14" spans="2:8" x14ac:dyDescent="0.25">
      <c r="B14" s="5" t="s">
        <v>39</v>
      </c>
    </row>
    <row r="16" spans="2:8" x14ac:dyDescent="0.25">
      <c r="B16" s="7"/>
      <c r="C16" s="7" t="s">
        <v>16</v>
      </c>
      <c r="D16" s="7" t="s">
        <v>17</v>
      </c>
    </row>
    <row r="17" spans="2:8" x14ac:dyDescent="0.25">
      <c r="B17" s="7" t="s">
        <v>10</v>
      </c>
      <c r="C17" s="7" t="s">
        <v>37</v>
      </c>
      <c r="D17" s="7" t="s">
        <v>40</v>
      </c>
    </row>
    <row r="18" spans="2:8" x14ac:dyDescent="0.25">
      <c r="B18" s="7">
        <v>1</v>
      </c>
      <c r="C18" s="7">
        <v>21.02</v>
      </c>
      <c r="D18" s="7">
        <v>22.13</v>
      </c>
    </row>
    <row r="19" spans="2:8" x14ac:dyDescent="0.25">
      <c r="B19" s="7">
        <v>2</v>
      </c>
      <c r="C19" s="7">
        <v>21.03</v>
      </c>
      <c r="D19" s="7">
        <v>22.19</v>
      </c>
    </row>
    <row r="20" spans="2:8" x14ac:dyDescent="0.25">
      <c r="B20" s="7">
        <v>3</v>
      </c>
      <c r="C20" s="7">
        <v>21.01</v>
      </c>
      <c r="D20" s="7">
        <v>22.21</v>
      </c>
    </row>
    <row r="22" spans="2:8" x14ac:dyDescent="0.25">
      <c r="B22" s="10" t="s">
        <v>12</v>
      </c>
      <c r="C22" s="15">
        <f>0.001*(AVERAGE(C18:C20))</f>
        <v>2.102E-2</v>
      </c>
      <c r="D22" s="15">
        <f>0.001*(AVERAGE(D18:D20))</f>
        <v>2.2176666666666667E-2</v>
      </c>
    </row>
    <row r="23" spans="2:8" x14ac:dyDescent="0.25">
      <c r="B23" s="10" t="s">
        <v>13</v>
      </c>
      <c r="C23" s="29">
        <f>0.001*_xlfn.STDEV.S(C18:C20)/SQRT(2)</f>
        <v>7.0710678118653248E-6</v>
      </c>
      <c r="D23" s="29">
        <f>0.001*_xlfn.STDEV.S(D18:D20)/SQRT(2)</f>
        <v>2.943920288776027E-5</v>
      </c>
    </row>
    <row r="24" spans="2:8" x14ac:dyDescent="0.25">
      <c r="B24" s="10" t="s">
        <v>61</v>
      </c>
      <c r="C24" s="57">
        <f>C22/C9</f>
        <v>1.2752275025278058E-2</v>
      </c>
      <c r="D24" s="57">
        <f>D22/C9</f>
        <v>1.3453993933265926E-2</v>
      </c>
      <c r="E24" s="48">
        <f>AVERAGE(C24:D24)</f>
        <v>1.3103134479271993E-2</v>
      </c>
    </row>
    <row r="26" spans="2:8" ht="18" thickBot="1" x14ac:dyDescent="0.35">
      <c r="B26" s="41" t="s">
        <v>18</v>
      </c>
      <c r="C26" s="41"/>
      <c r="D26" s="41"/>
      <c r="E26" s="41"/>
      <c r="F26" s="41"/>
      <c r="G26" s="41"/>
      <c r="H26" s="27"/>
    </row>
    <row r="27" spans="2:8" ht="16.5" thickTop="1" x14ac:dyDescent="0.25">
      <c r="B27" s="5" t="s">
        <v>19</v>
      </c>
    </row>
    <row r="29" spans="2:8" x14ac:dyDescent="0.25">
      <c r="B29" s="7" t="s">
        <v>20</v>
      </c>
      <c r="C29" s="7" t="s">
        <v>21</v>
      </c>
      <c r="D29" s="7" t="s">
        <v>22</v>
      </c>
      <c r="E29" s="7" t="s">
        <v>23</v>
      </c>
      <c r="F29" s="11" t="s">
        <v>12</v>
      </c>
      <c r="G29" s="11" t="s">
        <v>13</v>
      </c>
      <c r="H29" s="11" t="s">
        <v>152</v>
      </c>
    </row>
    <row r="30" spans="2:8" x14ac:dyDescent="0.25">
      <c r="B30" s="12">
        <v>0.2</v>
      </c>
      <c r="C30" s="17">
        <f>56.46*0.001</f>
        <v>5.6460000000000003E-2</v>
      </c>
      <c r="D30" s="17"/>
      <c r="E30" s="17"/>
      <c r="F30" s="15">
        <f>AVERAGE(C30:E30)</f>
        <v>5.6460000000000003E-2</v>
      </c>
      <c r="G30" s="16" t="e">
        <f>_xlfn.STDEV.S(D30:F30)/SQRT(2)</f>
        <v>#DIV/0!</v>
      </c>
      <c r="H30" s="33">
        <f>F30/$C$9</f>
        <v>3.4252780586450961E-2</v>
      </c>
    </row>
    <row r="31" spans="2:8" x14ac:dyDescent="0.25">
      <c r="B31" s="12">
        <v>0.6</v>
      </c>
      <c r="C31" s="17">
        <v>0.11</v>
      </c>
      <c r="D31" s="17"/>
      <c r="E31" s="17"/>
      <c r="F31" s="15">
        <f t="shared" ref="F31:F34" si="0">AVERAGE(C31:E31)</f>
        <v>0.11</v>
      </c>
      <c r="G31" s="16" t="e">
        <f t="shared" ref="G31:G34" si="1">_xlfn.STDEV.S(D31:F31)/SQRT(2)</f>
        <v>#DIV/0!</v>
      </c>
      <c r="H31" s="33">
        <f t="shared" ref="H31:H34" si="2">F31/$C$9</f>
        <v>6.6734074823053588E-2</v>
      </c>
    </row>
    <row r="32" spans="2:8" x14ac:dyDescent="0.25">
      <c r="B32" s="12">
        <v>1</v>
      </c>
      <c r="C32" s="17">
        <v>0.16400000000000001</v>
      </c>
      <c r="D32" s="17"/>
      <c r="E32" s="17"/>
      <c r="F32" s="15">
        <f t="shared" si="0"/>
        <v>0.16400000000000001</v>
      </c>
      <c r="G32" s="16" t="e">
        <f t="shared" si="1"/>
        <v>#DIV/0!</v>
      </c>
      <c r="H32" s="33">
        <f t="shared" si="2"/>
        <v>9.9494438827098075E-2</v>
      </c>
    </row>
    <row r="33" spans="2:8" x14ac:dyDescent="0.25">
      <c r="B33" s="12">
        <v>2</v>
      </c>
      <c r="C33" s="17">
        <v>0.29899999999999999</v>
      </c>
      <c r="D33" s="17"/>
      <c r="E33" s="17"/>
      <c r="F33" s="15">
        <f t="shared" si="0"/>
        <v>0.29899999999999999</v>
      </c>
      <c r="G33" s="16" t="e">
        <f t="shared" si="1"/>
        <v>#DIV/0!</v>
      </c>
      <c r="H33" s="33">
        <f t="shared" si="2"/>
        <v>0.18139534883720929</v>
      </c>
    </row>
    <row r="34" spans="2:8" x14ac:dyDescent="0.25">
      <c r="B34" s="12">
        <v>3</v>
      </c>
      <c r="C34" s="17">
        <v>0.40300000000000002</v>
      </c>
      <c r="D34" s="17"/>
      <c r="E34" s="17"/>
      <c r="F34" s="15">
        <f t="shared" si="0"/>
        <v>0.40300000000000002</v>
      </c>
      <c r="G34" s="16" t="e">
        <f t="shared" si="1"/>
        <v>#DIV/0!</v>
      </c>
      <c r="H34" s="33">
        <f t="shared" si="2"/>
        <v>0.24448938321536906</v>
      </c>
    </row>
    <row r="36" spans="2:8" ht="18" thickBot="1" x14ac:dyDescent="0.35">
      <c r="B36" s="41" t="s">
        <v>24</v>
      </c>
      <c r="C36" s="41"/>
      <c r="D36" s="41"/>
      <c r="E36" s="41"/>
      <c r="F36" s="41"/>
      <c r="G36" s="41"/>
      <c r="H36" s="27"/>
    </row>
    <row r="37" spans="2:8" ht="16.5" thickTop="1" x14ac:dyDescent="0.25">
      <c r="B37" s="5" t="s">
        <v>25</v>
      </c>
    </row>
    <row r="39" spans="2:8" x14ac:dyDescent="0.25">
      <c r="B39" s="7" t="s">
        <v>26</v>
      </c>
      <c r="C39" s="7" t="s">
        <v>21</v>
      </c>
      <c r="D39" s="7" t="s">
        <v>22</v>
      </c>
      <c r="E39" s="7" t="s">
        <v>23</v>
      </c>
      <c r="F39" s="11" t="s">
        <v>12</v>
      </c>
      <c r="G39" s="11" t="s">
        <v>13</v>
      </c>
      <c r="H39" s="11" t="s">
        <v>152</v>
      </c>
    </row>
    <row r="40" spans="2:8" x14ac:dyDescent="0.25">
      <c r="B40" s="12">
        <v>0.2</v>
      </c>
      <c r="C40" s="17">
        <v>0.28999999999999998</v>
      </c>
      <c r="D40" s="7"/>
      <c r="E40" s="7"/>
      <c r="F40" s="15">
        <f>AVERAGE(C40:E40)</f>
        <v>0.28999999999999998</v>
      </c>
      <c r="G40" s="16" t="e">
        <f>_xlfn.STDEV.S(D40:F40)/SQRT(2)</f>
        <v>#DIV/0!</v>
      </c>
      <c r="H40" s="33">
        <f>F40/$C$9</f>
        <v>0.17593528816986853</v>
      </c>
    </row>
    <row r="41" spans="2:8" x14ac:dyDescent="0.25">
      <c r="B41" s="12">
        <v>0.5</v>
      </c>
      <c r="C41" s="17">
        <v>0.26900000000000002</v>
      </c>
      <c r="D41" s="7"/>
      <c r="E41" s="7"/>
      <c r="F41" s="15">
        <f t="shared" ref="F41:F43" si="3">AVERAGE(C41:E41)</f>
        <v>0.26900000000000002</v>
      </c>
      <c r="G41" s="16" t="e">
        <f t="shared" ref="G41:G43" si="4">_xlfn.STDEV.S(D41:F41)/SQRT(2)</f>
        <v>#DIV/0!</v>
      </c>
      <c r="H41" s="33">
        <f t="shared" ref="H41:H43" si="5">F41/$C$9</f>
        <v>0.16319514661274015</v>
      </c>
    </row>
    <row r="42" spans="2:8" x14ac:dyDescent="0.25">
      <c r="B42" s="12">
        <v>1</v>
      </c>
      <c r="C42" s="17">
        <v>0.23300000000000001</v>
      </c>
      <c r="D42" s="7"/>
      <c r="E42" s="7"/>
      <c r="F42" s="15">
        <f t="shared" si="3"/>
        <v>0.23300000000000001</v>
      </c>
      <c r="G42" s="16" t="e">
        <f t="shared" si="4"/>
        <v>#DIV/0!</v>
      </c>
      <c r="H42" s="33">
        <f t="shared" si="5"/>
        <v>0.14135490394337716</v>
      </c>
    </row>
    <row r="43" spans="2:8" x14ac:dyDescent="0.25">
      <c r="B43" s="12">
        <v>2</v>
      </c>
      <c r="C43" s="17">
        <v>0.22500000000000001</v>
      </c>
      <c r="D43" s="7"/>
      <c r="E43" s="7"/>
      <c r="F43" s="15">
        <f t="shared" si="3"/>
        <v>0.22500000000000001</v>
      </c>
      <c r="G43" s="16" t="e">
        <f t="shared" si="4"/>
        <v>#DIV/0!</v>
      </c>
      <c r="H43" s="33">
        <f t="shared" si="5"/>
        <v>0.1365015166835187</v>
      </c>
    </row>
  </sheetData>
  <mergeCells count="3">
    <mergeCell ref="B1:G1"/>
    <mergeCell ref="B26:G26"/>
    <mergeCell ref="B36:G36"/>
  </mergeCells>
  <pageMargins left="0.7" right="0.7" top="0.75" bottom="0.75" header="0.3" footer="0.3"/>
  <pageSetup paperSize="9" orientation="portrait" r:id="rId1"/>
</worksheet>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Notes</vt:lpstr>
      <vt:lpstr>Analysis</vt:lpstr>
      <vt:lpstr>Analysis_2</vt:lpstr>
      <vt:lpstr>ImageJ</vt:lpstr>
      <vt:lpstr>6FFF_measurements</vt:lpstr>
      <vt:lpstr>10FFF_measurements</vt:lpstr>
      <vt:lpstr>6cFF_measurements</vt:lpstr>
      <vt:lpstr>10cFF_measurements</vt:lpstr>
      <vt:lpstr>TRANSMISSION_10X_FFF</vt:lpstr>
      <vt:lpstr>TRANSMISSION_6X</vt:lpstr>
      <vt:lpstr>TRANSMISSION_6X_FFF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Thomas Edward Stubbington</dc:creator>
  <cp:keywords/>
  <dc:description/>
  <cp:lastModifiedBy>Stubbington, Liam</cp:lastModifiedBy>
  <cp:revision/>
  <dcterms:created xsi:type="dcterms:W3CDTF">2022-12-19T09:39:36Z</dcterms:created>
  <dcterms:modified xsi:type="dcterms:W3CDTF">2023-01-04T17:20:26Z</dcterms:modified>
  <cp:category/>
  <cp:contentStatus/>
</cp:coreProperties>
</file>