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jordi/Dropbox/Projectes_Recerca/dlg_tg_victor/DICOM_clean_plans/RayStation/Varian_HD120/"/>
    </mc:Choice>
  </mc:AlternateContent>
  <xr:revisionPtr revIDLastSave="0" documentId="13_ncr:1_{87EBE571-017A-1748-9498-5A63E437A163}" xr6:coauthVersionLast="47" xr6:coauthVersionMax="47" xr10:uidLastSave="{00000000-0000-0000-0000-000000000000}"/>
  <bookViews>
    <workbookView xWindow="0" yWindow="500" windowWidth="33600" windowHeight="19140" activeTab="1" xr2:uid="{00000000-000D-0000-FFFF-FFFF00000000}"/>
  </bookViews>
  <sheets>
    <sheet name="Information" sheetId="24" r:id="rId1"/>
    <sheet name="6 MV" sheetId="23" r:id="rId2"/>
    <sheet name="Other energies" sheetId="26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74" i="23" l="1"/>
  <c r="AB75" i="23" s="1"/>
  <c r="AA68" i="23"/>
  <c r="AB69" i="23" s="1"/>
  <c r="W48" i="23"/>
  <c r="M34" i="23" l="1"/>
  <c r="S45" i="23"/>
  <c r="G69" i="26"/>
  <c r="G68" i="26"/>
  <c r="G67" i="26"/>
  <c r="G66" i="26"/>
  <c r="G65" i="26"/>
  <c r="T64" i="26"/>
  <c r="G64" i="26"/>
  <c r="T63" i="26"/>
  <c r="G63" i="26"/>
  <c r="T62" i="26"/>
  <c r="G58" i="26"/>
  <c r="G57" i="26"/>
  <c r="G56" i="26"/>
  <c r="T55" i="26"/>
  <c r="G55" i="26"/>
  <c r="T54" i="26"/>
  <c r="G54" i="26"/>
  <c r="T53" i="26"/>
  <c r="G53" i="26"/>
  <c r="T52" i="26"/>
  <c r="G52" i="26"/>
  <c r="T51" i="26"/>
  <c r="V47" i="26"/>
  <c r="G47" i="26"/>
  <c r="T46" i="26"/>
  <c r="G46" i="26"/>
  <c r="T45" i="26"/>
  <c r="G45" i="26"/>
  <c r="T44" i="26"/>
  <c r="G44" i="26"/>
  <c r="T43" i="26"/>
  <c r="G43" i="26"/>
  <c r="T42" i="26"/>
  <c r="G39" i="26"/>
  <c r="G38" i="26"/>
  <c r="G37" i="26"/>
  <c r="T36" i="26"/>
  <c r="G36" i="26"/>
  <c r="T35" i="26"/>
  <c r="G35" i="26"/>
  <c r="T34" i="26"/>
  <c r="G34" i="26"/>
  <c r="T33" i="26"/>
  <c r="G33" i="26"/>
  <c r="T32" i="26"/>
  <c r="G32" i="26"/>
  <c r="T31" i="26"/>
  <c r="G31" i="26"/>
  <c r="T30" i="26"/>
  <c r="G27" i="26"/>
  <c r="G26" i="26"/>
  <c r="G25" i="26"/>
  <c r="G24" i="26"/>
  <c r="G23" i="26"/>
  <c r="G22" i="26"/>
  <c r="G21" i="26"/>
  <c r="U20" i="26"/>
  <c r="U22" i="26" s="1"/>
  <c r="S44" i="23"/>
  <c r="R56" i="23"/>
  <c r="R57" i="23"/>
  <c r="R58" i="23"/>
  <c r="R59" i="23"/>
  <c r="R60" i="23"/>
  <c r="R55" i="23"/>
  <c r="G56" i="23"/>
  <c r="G57" i="23"/>
  <c r="G58" i="23"/>
  <c r="G59" i="23"/>
  <c r="G60" i="23"/>
  <c r="G55" i="23"/>
  <c r="G46" i="23"/>
  <c r="G47" i="23"/>
  <c r="G48" i="23"/>
  <c r="G49" i="23"/>
  <c r="G50" i="23"/>
  <c r="G51" i="23"/>
  <c r="G45" i="23"/>
  <c r="S46" i="23" l="1"/>
  <c r="S55" i="23" s="1"/>
  <c r="S47" i="23"/>
  <c r="S58" i="23"/>
  <c r="J34" i="23"/>
  <c r="H67" i="26"/>
  <c r="I67" i="26" s="1"/>
  <c r="H27" i="26"/>
  <c r="I27" i="26" s="1"/>
  <c r="H33" i="26"/>
  <c r="I33" i="26" s="1"/>
  <c r="H36" i="26"/>
  <c r="I36" i="26" s="1"/>
  <c r="H43" i="26"/>
  <c r="I43" i="26" s="1"/>
  <c r="H46" i="26"/>
  <c r="I46" i="26" s="1"/>
  <c r="H66" i="26"/>
  <c r="I66" i="26" s="1"/>
  <c r="H23" i="26"/>
  <c r="I23" i="26" s="1"/>
  <c r="H31" i="26"/>
  <c r="H34" i="26"/>
  <c r="I34" i="26" s="1"/>
  <c r="H37" i="26"/>
  <c r="I37" i="26" s="1"/>
  <c r="H44" i="26"/>
  <c r="I44" i="26" s="1"/>
  <c r="H47" i="26"/>
  <c r="I47" i="26" s="1"/>
  <c r="H24" i="26"/>
  <c r="I24" i="26" s="1"/>
  <c r="H38" i="26"/>
  <c r="I38" i="26" s="1"/>
  <c r="H57" i="26"/>
  <c r="I57" i="26" s="1"/>
  <c r="H68" i="26"/>
  <c r="I68" i="26" s="1"/>
  <c r="H25" i="26"/>
  <c r="I25" i="26" s="1"/>
  <c r="H32" i="26"/>
  <c r="I32" i="26" s="1"/>
  <c r="H35" i="26"/>
  <c r="I35" i="26" s="1"/>
  <c r="H39" i="26"/>
  <c r="I39" i="26" s="1"/>
  <c r="H45" i="26"/>
  <c r="I45" i="26" s="1"/>
  <c r="I31" i="26"/>
  <c r="U64" i="26"/>
  <c r="U62" i="26"/>
  <c r="U53" i="26"/>
  <c r="U55" i="26"/>
  <c r="U63" i="26"/>
  <c r="U54" i="26"/>
  <c r="U51" i="26"/>
  <c r="U46" i="26"/>
  <c r="Y29" i="26" s="1"/>
  <c r="U45" i="26"/>
  <c r="Y28" i="26" s="1"/>
  <c r="U44" i="26"/>
  <c r="U43" i="26"/>
  <c r="U42" i="26"/>
  <c r="U36" i="26"/>
  <c r="Y27" i="26" s="1"/>
  <c r="U35" i="26"/>
  <c r="Y26" i="26" s="1"/>
  <c r="U34" i="26"/>
  <c r="Y25" i="26" s="1"/>
  <c r="U33" i="26"/>
  <c r="Y24" i="26" s="1"/>
  <c r="U32" i="26"/>
  <c r="Y23" i="26" s="1"/>
  <c r="U31" i="26"/>
  <c r="Y22" i="26" s="1"/>
  <c r="U30" i="26"/>
  <c r="Y21" i="26" s="1"/>
  <c r="U52" i="26"/>
  <c r="H22" i="26"/>
  <c r="H53" i="26"/>
  <c r="I53" i="26" s="1"/>
  <c r="H55" i="26"/>
  <c r="I55" i="26" s="1"/>
  <c r="H58" i="26"/>
  <c r="I58" i="26" s="1"/>
  <c r="H63" i="26"/>
  <c r="H65" i="26"/>
  <c r="I65" i="26" s="1"/>
  <c r="H69" i="26"/>
  <c r="I69" i="26" s="1"/>
  <c r="U21" i="26"/>
  <c r="U23" i="26" s="1"/>
  <c r="H21" i="26"/>
  <c r="I21" i="26" s="1"/>
  <c r="H26" i="26"/>
  <c r="I26" i="26" s="1"/>
  <c r="H52" i="26"/>
  <c r="H54" i="26"/>
  <c r="I54" i="26" s="1"/>
  <c r="H56" i="26"/>
  <c r="I56" i="26" s="1"/>
  <c r="H64" i="26"/>
  <c r="I64" i="26" s="1"/>
  <c r="H47" i="23"/>
  <c r="I47" i="23" s="1"/>
  <c r="H57" i="23"/>
  <c r="I57" i="23" s="1"/>
  <c r="H45" i="23"/>
  <c r="I45" i="23" s="1"/>
  <c r="H56" i="23"/>
  <c r="I56" i="23" s="1"/>
  <c r="H46" i="23"/>
  <c r="I46" i="23" s="1"/>
  <c r="H60" i="23"/>
  <c r="I60" i="23" s="1"/>
  <c r="H49" i="23"/>
  <c r="I49" i="23" s="1"/>
  <c r="H59" i="23"/>
  <c r="I59" i="23" s="1"/>
  <c r="H51" i="23"/>
  <c r="I51" i="23" s="1"/>
  <c r="H48" i="23"/>
  <c r="I48" i="23" s="1"/>
  <c r="H50" i="23"/>
  <c r="I50" i="23" s="1"/>
  <c r="H55" i="23"/>
  <c r="H58" i="23"/>
  <c r="I58" i="23" s="1"/>
  <c r="S57" i="23" l="1"/>
  <c r="S56" i="23"/>
  <c r="S60" i="23"/>
  <c r="S59" i="23"/>
  <c r="I55" i="23"/>
  <c r="V20" i="26"/>
  <c r="V22" i="26" s="1"/>
  <c r="V54" i="26" s="1"/>
  <c r="V21" i="26"/>
  <c r="V23" i="26" s="1"/>
  <c r="I22" i="26"/>
  <c r="I52" i="26"/>
  <c r="I63" i="26"/>
  <c r="T44" i="23"/>
  <c r="T45" i="23"/>
  <c r="W45" i="23" l="1"/>
  <c r="W44" i="23"/>
  <c r="M36" i="23" s="1"/>
  <c r="W47" i="23"/>
  <c r="W50" i="23" s="1"/>
  <c r="M37" i="23" s="1"/>
  <c r="T47" i="23"/>
  <c r="T46" i="23"/>
  <c r="T58" i="23" s="1"/>
  <c r="V52" i="26"/>
  <c r="V51" i="26"/>
  <c r="V62" i="26"/>
  <c r="V53" i="26"/>
  <c r="V34" i="26"/>
  <c r="V36" i="26"/>
  <c r="V43" i="26"/>
  <c r="V42" i="26"/>
  <c r="V35" i="26"/>
  <c r="Z26" i="26" s="1"/>
  <c r="V46" i="26"/>
  <c r="Z29" i="26" s="1"/>
  <c r="V31" i="26"/>
  <c r="V30" i="26"/>
  <c r="Z21" i="26" s="1"/>
  <c r="V33" i="26"/>
  <c r="Z24" i="26" s="1"/>
  <c r="V32" i="26"/>
  <c r="V44" i="26"/>
  <c r="V45" i="26"/>
  <c r="Z28" i="26" s="1"/>
  <c r="V63" i="26"/>
  <c r="V64" i="26"/>
  <c r="V55" i="26"/>
  <c r="M35" i="23" l="1"/>
  <c r="T59" i="23"/>
  <c r="T60" i="23"/>
  <c r="T55" i="23"/>
  <c r="T57" i="23"/>
  <c r="T56" i="23"/>
  <c r="Z22" i="26"/>
  <c r="Z27" i="26"/>
  <c r="Z23" i="26"/>
  <c r="Z25" i="26"/>
  <c r="X45" i="23" l="1"/>
  <c r="X44" i="23"/>
  <c r="X48" i="23"/>
  <c r="J36" i="23" s="1"/>
  <c r="X47" i="23" l="1"/>
  <c r="J35" i="23" s="1"/>
  <c r="X50" i="23" l="1"/>
  <c r="J37" i="2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Victor Hernandez Masgrau</author>
  </authors>
  <commentList>
    <comment ref="B36" authorId="0" shapeId="0" xr:uid="{0E230C60-3A27-4ED9-93B8-18C1B79AF595}">
      <text>
        <r>
          <rPr>
            <b/>
            <sz val="9"/>
            <color rgb="FF000000"/>
            <rFont val="Tahoma"/>
            <family val="2"/>
          </rPr>
          <t>@ isocenter</t>
        </r>
      </text>
    </comment>
    <comment ref="I44" authorId="0" shapeId="0" xr:uid="{116AD985-E90B-488F-AE92-3AFFF30DB828}">
      <text>
        <r>
          <rPr>
            <b/>
            <sz val="9"/>
            <color rgb="FF000000"/>
            <rFont val="Tahoma"/>
            <family val="2"/>
          </rPr>
          <t>(calc-meas)/meas</t>
        </r>
      </text>
    </comment>
    <comment ref="I54" authorId="0" shapeId="0" xr:uid="{5F74F61D-337A-FA47-B5B5-F9CB9BB8E996}">
      <text>
        <r>
          <rPr>
            <b/>
            <sz val="9"/>
            <color rgb="FF000000"/>
            <rFont val="Tahoma"/>
            <family val="2"/>
          </rPr>
          <t>(calc-meas)/meas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Victor Hernandez Masgrau</author>
  </authors>
  <commentList>
    <comment ref="B12" authorId="0" shapeId="0" xr:uid="{9359D1D8-378A-4034-B72D-32EF4FDE9760}">
      <text>
        <r>
          <rPr>
            <b/>
            <sz val="9"/>
            <color indexed="81"/>
            <rFont val="Tahoma"/>
            <family val="2"/>
          </rPr>
          <t>@ isocenter</t>
        </r>
      </text>
    </comment>
    <comment ref="I20" authorId="0" shapeId="0" xr:uid="{576F1091-D295-4F8D-BAE1-18F6789ACB53}">
      <text>
        <r>
          <rPr>
            <b/>
            <sz val="9"/>
            <color indexed="81"/>
            <rFont val="Tahoma"/>
            <family val="2"/>
          </rPr>
          <t>(calc-meas)/meas</t>
        </r>
      </text>
    </comment>
  </commentList>
</comments>
</file>

<file path=xl/sharedStrings.xml><?xml version="1.0" encoding="utf-8"?>
<sst xmlns="http://schemas.openxmlformats.org/spreadsheetml/2006/main" count="194" uniqueCount="105">
  <si>
    <t>10x10</t>
  </si>
  <si>
    <t>Transm_A</t>
  </si>
  <si>
    <t>Transm_B</t>
  </si>
  <si>
    <t>ROUND1</t>
  </si>
  <si>
    <t>ROUND2</t>
  </si>
  <si>
    <t>AVERAGE</t>
  </si>
  <si>
    <t>Beam</t>
  </si>
  <si>
    <t>s</t>
  </si>
  <si>
    <t>s (mm)</t>
  </si>
  <si>
    <t>k =</t>
  </si>
  <si>
    <t>gamma =</t>
  </si>
  <si>
    <t>lambda =</t>
  </si>
  <si>
    <t>This excel workbook is an implementation of the procedure described in the paper that can be found at:</t>
  </si>
  <si>
    <t>https://iopscience.iop.org/article/10.1088/1361-6560/ab8cd5</t>
  </si>
  <si>
    <t>MEASUREMENT SETUP</t>
  </si>
  <si>
    <t>-1.00 cm</t>
  </si>
  <si>
    <t>Round1 @</t>
  </si>
  <si>
    <t>Round2 @</t>
  </si>
  <si>
    <t>+1.25cm</t>
  </si>
  <si>
    <t>Agility:</t>
  </si>
  <si>
    <t>Use a Farmer-type ionization chamber. Longitudinal axis perpendicular to leaf motion.</t>
  </si>
  <si>
    <t>to obtain the optimal parameters for VARIAN MLCs in the RayStation TPS extended to Elekta's Agility.</t>
  </si>
  <si>
    <t>Please return the excel workbook to your contact person at RaySearch.</t>
  </si>
  <si>
    <t>Clinic:</t>
  </si>
  <si>
    <t>Linac model:</t>
  </si>
  <si>
    <t>MLC model:</t>
  </si>
  <si>
    <t>Measure at two different longitudinal (Gun-Target) positions (Round 1 and Round 2) at (-x) cm and (+x) cm + 0.5*leafwidth.</t>
  </si>
  <si>
    <t>delta [mm] =</t>
  </si>
  <si>
    <t>Agility</t>
  </si>
  <si>
    <t>Linac name :</t>
  </si>
  <si>
    <t>T =</t>
  </si>
  <si>
    <t>LT =</t>
  </si>
  <si>
    <t>TG =</t>
  </si>
  <si>
    <t>Offset =</t>
  </si>
  <si>
    <t>Gain =</t>
  </si>
  <si>
    <t>Curvature =</t>
  </si>
  <si>
    <t>Used for techniques:</t>
  </si>
  <si>
    <t>Did you decide to use the model clinically?</t>
  </si>
  <si>
    <t>Contact person:</t>
  </si>
  <si>
    <t>email:</t>
  </si>
  <si>
    <t>Parameters used in your clinical model:</t>
  </si>
  <si>
    <t>SSD = 90 cm</t>
  </si>
  <si>
    <t>Depth = 10 cm</t>
  </si>
  <si>
    <t>aSG20</t>
  </si>
  <si>
    <t>aSG40</t>
  </si>
  <si>
    <t>aSG10 (optional)</t>
  </si>
  <si>
    <t>aSG5 (optional)</t>
  </si>
  <si>
    <t>SG (DLG beams, s=0)</t>
  </si>
  <si>
    <t>TPS</t>
  </si>
  <si>
    <t>Measured dose</t>
  </si>
  <si>
    <t>Diff (%)</t>
  </si>
  <si>
    <t>TPS dose</t>
  </si>
  <si>
    <t>Leaf  width (mm)</t>
  </si>
  <si>
    <t>Delta_phi (s)</t>
  </si>
  <si>
    <t>Delta_phi</t>
  </si>
  <si>
    <t>Measured</t>
  </si>
  <si>
    <t>Calc</t>
  </si>
  <si>
    <t>If a compromise is needed, prioritize the region between 0 and 20 mm</t>
  </si>
  <si>
    <t>Energy (MV):</t>
  </si>
  <si>
    <t>WFF/FFF:</t>
  </si>
  <si>
    <t xml:space="preserve"> SG-aSG tests (duplicate sheet for more energies)</t>
  </si>
  <si>
    <t>Water or plastic phantom</t>
  </si>
  <si>
    <t>HD120</t>
  </si>
  <si>
    <t>Intercept =</t>
  </si>
  <si>
    <t>Slope =</t>
  </si>
  <si>
    <t>LeafTipWidth (cm)</t>
  </si>
  <si>
    <t>TongueAndGroove (cm)</t>
  </si>
  <si>
    <t>Data from Sweeping Gaps..</t>
  </si>
  <si>
    <t>Data from Asynchronous Sweeping Gaps..</t>
  </si>
  <si>
    <t>LT(cm) =</t>
  </si>
  <si>
    <t>TG (cm) =</t>
  </si>
  <si>
    <t>Offset (cm) =</t>
  </si>
  <si>
    <t>Gain (cm) =</t>
  </si>
  <si>
    <t>Curvature (cm) =</t>
  </si>
  <si>
    <t>xoff (cm)</t>
  </si>
  <si>
    <t>The slope of the linear part of Delta_phi defines the tongue and groove width. The intercept with the x-axis of this linear part determines the leaf tip width.</t>
  </si>
  <si>
    <t>The x-offset parameter can be determined from the leaf tip width and delta calculated previously with the SG data.</t>
  </si>
  <si>
    <t>1. Farmer chamber. Long axis perpendicular to leaf motion.</t>
  </si>
  <si>
    <t>2. Isocentric set-up. SSD 90 cm, depth 10 cm.</t>
  </si>
  <si>
    <t>3. Water or real water.</t>
  </si>
  <si>
    <t>Image not to scale.</t>
  </si>
  <si>
    <t>1. Import the DICOM set provided into RayStation.</t>
  </si>
  <si>
    <t>4. (Recommended) Use two different measuring positions:</t>
  </si>
  <si>
    <t>Round1 @ 1.00 cm towards Gun</t>
  </si>
  <si>
    <t>Round2 @ 1.125 cm towards Target</t>
  </si>
  <si>
    <t>(This is to further average the response taking into account more leafs)</t>
  </si>
  <si>
    <t>Parameters recommended  (measurement):</t>
  </si>
  <si>
    <t>Parameters obtained (from TPS):</t>
  </si>
  <si>
    <t>2. Calculate all the beams. Use the same number of MUs on every field.</t>
  </si>
  <si>
    <t>5. Fill the data on the corresponding cells in columns C and D</t>
  </si>
  <si>
    <t xml:space="preserve"> SG-aSG Workflow for obtaining 'optimal' MLC configuration parameters in RayStation</t>
  </si>
  <si>
    <t>7. Use the 'optimal parameters' in RayStation. Recalculate all the beams.</t>
  </si>
  <si>
    <t>9. Cells on M29:M34 should calculate the parameters you just introduce.</t>
  </si>
  <si>
    <t>7. Use you 'original parameters' in RayStation. Recalculate all the beams.</t>
  </si>
  <si>
    <t>3. Measure the data from the plan SG and aSG20 (Only these beams are require to obtain all the parameters)</t>
  </si>
  <si>
    <t>4. Perform the measurements as described :</t>
  </si>
  <si>
    <t>Measuring instructions</t>
  </si>
  <si>
    <t>6. Cells on J29:J34 contain the 'optimal parameters' calculated from your measured data.</t>
  </si>
  <si>
    <t>8. Fill the values on column 'E' with the average doses calculated by RayStation. Use the script provided to extract per beam doses.</t>
  </si>
  <si>
    <t>(Option1): Verify that the optimal parameters minimized dose differences in SG/aSG beams</t>
  </si>
  <si>
    <t>(Option 2): Assess the differences from your original set of parameters.</t>
  </si>
  <si>
    <t>Optimal model</t>
  </si>
  <si>
    <t>DeltaPhis</t>
  </si>
  <si>
    <t>Calculation model</t>
  </si>
  <si>
    <t>Only for plotting purposes: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</si>
</sst>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0"/>
    <numFmt numFmtId="166" formatCode="0.000"/>
    <numFmt numFmtId="167" formatCode="0.0%"/>
    <numFmt numFmtId="168" formatCode="0.0000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FF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Tahoma"/>
      <family val="2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</borders>
  <cellStyleXfs count="24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78">
    <xf numFmtId="0" fontId="0" fillId="0" borderId="0" xfId="0"/>
    <xf numFmtId="0" fontId="0" fillId="0" borderId="0" xfId="0" applyAlignment="1">
      <alignment horizontal="center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1" xfId="0" applyBorder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horizont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0" fillId="0" borderId="6" xfId="0" applyBorder="1" applyAlignment="1" applyProtection="1">
      <alignment horizontal="center" vertical="center"/>
      <protection hidden="1"/>
    </xf>
    <xf numFmtId="0" fontId="0" fillId="0" borderId="1" xfId="0" applyFill="1" applyBorder="1" applyAlignment="1" applyProtection="1">
      <alignment horizontal="center" vertical="center"/>
      <protection hidden="1"/>
    </xf>
    <xf numFmtId="0" fontId="0" fillId="0" borderId="7" xfId="0" applyFill="1" applyBorder="1" applyAlignment="1" applyProtection="1">
      <alignment horizontal="center" vertical="center"/>
      <protection hidden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Fill="1" applyBorder="1" applyAlignment="1" applyProtection="1">
      <alignment horizontal="center"/>
      <protection hidden="1"/>
    </xf>
    <xf numFmtId="2" fontId="0" fillId="0" borderId="0" xfId="0" applyNumberFormat="1" applyAlignment="1">
      <alignment horizontal="center"/>
    </xf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8" fillId="0" borderId="0" xfId="23" applyFont="1" applyAlignment="1">
      <alignment vertical="top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/>
    <xf numFmtId="0" fontId="0" fillId="0" borderId="5" xfId="0" applyBorder="1" applyAlignment="1">
      <alignment horizontal="right"/>
    </xf>
    <xf numFmtId="0" fontId="0" fillId="0" borderId="13" xfId="0" applyBorder="1"/>
    <xf numFmtId="0" fontId="9" fillId="0" borderId="0" xfId="0" applyFont="1"/>
    <xf numFmtId="0" fontId="0" fillId="3" borderId="1" xfId="0" applyFill="1" applyBorder="1" applyAlignment="1" applyProtection="1">
      <alignment horizontal="center" vertical="center"/>
      <protection hidden="1"/>
    </xf>
    <xf numFmtId="0" fontId="0" fillId="0" borderId="10" xfId="0" applyBorder="1" applyAlignment="1" applyProtection="1">
      <alignment horizontal="left"/>
      <protection hidden="1"/>
    </xf>
    <xf numFmtId="0" fontId="0" fillId="0" borderId="0" xfId="0" applyBorder="1" applyAlignment="1" applyProtection="1">
      <alignment horizontal="left"/>
      <protection hidden="1"/>
    </xf>
    <xf numFmtId="0" fontId="0" fillId="0" borderId="11" xfId="0" applyFill="1" applyBorder="1" applyAlignment="1">
      <alignment horizontal="left"/>
    </xf>
    <xf numFmtId="0" fontId="0" fillId="0" borderId="10" xfId="0" applyBorder="1" applyProtection="1">
      <protection hidden="1"/>
    </xf>
    <xf numFmtId="0" fontId="0" fillId="0" borderId="0" xfId="0" applyBorder="1" applyProtection="1">
      <protection hidden="1"/>
    </xf>
    <xf numFmtId="0" fontId="0" fillId="0" borderId="0" xfId="0" quotePrefix="1" applyBorder="1" applyProtection="1">
      <protection hidden="1"/>
    </xf>
    <xf numFmtId="0" fontId="0" fillId="0" borderId="0" xfId="0" applyBorder="1"/>
    <xf numFmtId="0" fontId="0" fillId="0" borderId="5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2" xfId="0" quotePrefix="1" applyBorder="1" applyProtection="1">
      <protection hidden="1"/>
    </xf>
    <xf numFmtId="0" fontId="0" fillId="0" borderId="12" xfId="0" applyBorder="1"/>
    <xf numFmtId="0" fontId="0" fillId="0" borderId="5" xfId="0" applyBorder="1" applyAlignment="1" applyProtection="1">
      <alignment horizontal="center"/>
      <protection hidden="1"/>
    </xf>
    <xf numFmtId="0" fontId="0" fillId="0" borderId="13" xfId="0" applyBorder="1" applyAlignment="1" applyProtection="1">
      <alignment horizontal="center"/>
      <protection hidden="1"/>
    </xf>
    <xf numFmtId="0" fontId="0" fillId="0" borderId="2" xfId="0" applyBorder="1" applyAlignment="1" applyProtection="1">
      <alignment horizontal="center" vertical="center"/>
      <protection hidden="1"/>
    </xf>
    <xf numFmtId="0" fontId="5" fillId="0" borderId="1" xfId="0" applyFont="1" applyBorder="1" applyAlignment="1" applyProtection="1">
      <alignment horizontal="center"/>
      <protection hidden="1"/>
    </xf>
    <xf numFmtId="164" fontId="0" fillId="0" borderId="0" xfId="0" applyNumberFormat="1" applyAlignment="1">
      <alignment horizontal="center"/>
    </xf>
    <xf numFmtId="2" fontId="0" fillId="0" borderId="0" xfId="0" applyNumberFormat="1"/>
    <xf numFmtId="167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 applyProtection="1">
      <alignment horizontal="center"/>
      <protection hidden="1"/>
    </xf>
    <xf numFmtId="2" fontId="0" fillId="2" borderId="3" xfId="0" applyNumberFormat="1" applyFill="1" applyBorder="1" applyAlignment="1" applyProtection="1">
      <alignment horizontal="center" vertical="center"/>
      <protection hidden="1"/>
    </xf>
    <xf numFmtId="2" fontId="0" fillId="2" borderId="1" xfId="0" applyNumberFormat="1" applyFill="1" applyBorder="1" applyAlignment="1" applyProtection="1">
      <alignment horizontal="center" vertical="center"/>
      <protection hidden="1"/>
    </xf>
    <xf numFmtId="2" fontId="0" fillId="2" borderId="9" xfId="0" applyNumberFormat="1" applyFill="1" applyBorder="1" applyAlignment="1" applyProtection="1">
      <alignment horizontal="center" vertical="center"/>
      <protection hidden="1"/>
    </xf>
    <xf numFmtId="2" fontId="0" fillId="2" borderId="2" xfId="0" applyNumberFormat="1" applyFill="1" applyBorder="1" applyAlignment="1" applyProtection="1">
      <alignment horizontal="center" vertical="center"/>
      <protection hidden="1"/>
    </xf>
    <xf numFmtId="2" fontId="0" fillId="2" borderId="2" xfId="0" applyNumberFormat="1" applyFill="1" applyBorder="1" applyAlignment="1" applyProtection="1">
      <alignment horizont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0" fillId="2" borderId="6" xfId="0" applyFill="1" applyBorder="1" applyAlignment="1" applyProtection="1">
      <alignment horizontal="center" vertical="center"/>
      <protection hidden="1"/>
    </xf>
    <xf numFmtId="2" fontId="0" fillId="2" borderId="4" xfId="0" applyNumberFormat="1" applyFill="1" applyBorder="1" applyAlignment="1" applyProtection="1">
      <alignment horizontal="center"/>
      <protection hidden="1"/>
    </xf>
    <xf numFmtId="0" fontId="0" fillId="2" borderId="9" xfId="0" applyFill="1" applyBorder="1"/>
    <xf numFmtId="0" fontId="0" fillId="2" borderId="11" xfId="0" applyFill="1" applyBorder="1"/>
    <xf numFmtId="0" fontId="0" fillId="2" borderId="13" xfId="0" applyFill="1" applyBorder="1"/>
    <xf numFmtId="0" fontId="0" fillId="2" borderId="1" xfId="0" applyFill="1" applyBorder="1" applyAlignment="1" applyProtection="1">
      <alignment horizontal="center"/>
      <protection hidden="1"/>
    </xf>
    <xf numFmtId="2" fontId="0" fillId="2" borderId="4" xfId="0" applyNumberFormat="1" applyFill="1" applyBorder="1" applyAlignment="1">
      <alignment horizontal="center" vertical="center"/>
    </xf>
    <xf numFmtId="0" fontId="0" fillId="2" borderId="4" xfId="0" applyFill="1" applyBorder="1" applyAlignment="1" applyProtection="1">
      <alignment horizontal="center" vertical="center"/>
      <protection hidden="1"/>
    </xf>
    <xf numFmtId="2" fontId="0" fillId="2" borderId="1" xfId="0" applyNumberFormat="1" applyFill="1" applyBorder="1" applyAlignment="1">
      <alignment horizontal="center" vertical="center"/>
    </xf>
    <xf numFmtId="0" fontId="5" fillId="5" borderId="1" xfId="0" applyFont="1" applyFill="1" applyBorder="1" applyAlignment="1" applyProtection="1">
      <alignment horizontal="right"/>
      <protection hidden="1"/>
    </xf>
    <xf numFmtId="166" fontId="0" fillId="0" borderId="1" xfId="0" applyNumberFormat="1" applyFont="1" applyBorder="1" applyAlignment="1" applyProtection="1">
      <alignment horizontal="center"/>
      <protection hidden="1"/>
    </xf>
    <xf numFmtId="2" fontId="5" fillId="5" borderId="1" xfId="0" applyNumberFormat="1" applyFont="1" applyFill="1" applyBorder="1" applyAlignment="1" applyProtection="1">
      <alignment horizontal="right"/>
      <protection hidden="1"/>
    </xf>
    <xf numFmtId="165" fontId="0" fillId="0" borderId="1" xfId="0" applyNumberFormat="1" applyFont="1" applyFill="1" applyBorder="1" applyAlignment="1" applyProtection="1">
      <alignment horizontal="center"/>
      <protection hidden="1"/>
    </xf>
    <xf numFmtId="166" fontId="5" fillId="5" borderId="1" xfId="0" applyNumberFormat="1" applyFont="1" applyFill="1" applyBorder="1" applyAlignment="1" applyProtection="1">
      <alignment horizontal="right"/>
      <protection hidden="1"/>
    </xf>
    <xf numFmtId="166" fontId="0" fillId="0" borderId="1" xfId="0" applyNumberFormat="1" applyFont="1" applyFill="1" applyBorder="1" applyAlignment="1" applyProtection="1">
      <alignment horizontal="center"/>
      <protection hidden="1"/>
    </xf>
    <xf numFmtId="0" fontId="0" fillId="2" borderId="0" xfId="0" applyFill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164" fontId="0" fillId="6" borderId="2" xfId="0" applyNumberFormat="1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164" fontId="0" fillId="6" borderId="7" xfId="0" applyNumberForma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164" fontId="0" fillId="6" borderId="4" xfId="0" applyNumberFormat="1" applyFill="1" applyBorder="1" applyAlignment="1">
      <alignment horizontal="center"/>
    </xf>
    <xf numFmtId="164" fontId="0" fillId="6" borderId="9" xfId="0" applyNumberFormat="1" applyFill="1" applyBorder="1" applyAlignment="1">
      <alignment horizontal="center"/>
    </xf>
    <xf numFmtId="164" fontId="0" fillId="6" borderId="11" xfId="0" applyNumberFormat="1" applyFill="1" applyBorder="1" applyAlignment="1">
      <alignment horizontal="center"/>
    </xf>
    <xf numFmtId="164" fontId="0" fillId="6" borderId="13" xfId="0" applyNumberForma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12" fillId="7" borderId="0" xfId="0" applyFont="1" applyFill="1"/>
    <xf numFmtId="0" fontId="12" fillId="7" borderId="6" xfId="0" applyFont="1" applyFill="1" applyBorder="1"/>
    <xf numFmtId="166" fontId="0" fillId="2" borderId="1" xfId="0" applyNumberFormat="1" applyFill="1" applyBorder="1" applyAlignment="1">
      <alignment horizontal="center" vertical="center"/>
    </xf>
    <xf numFmtId="166" fontId="0" fillId="2" borderId="3" xfId="0" applyNumberFormat="1" applyFill="1" applyBorder="1" applyAlignment="1" applyProtection="1">
      <alignment horizontal="center" vertical="center"/>
      <protection hidden="1"/>
    </xf>
    <xf numFmtId="166" fontId="0" fillId="2" borderId="9" xfId="0" applyNumberFormat="1" applyFill="1" applyBorder="1" applyAlignment="1" applyProtection="1">
      <alignment horizontal="center" vertical="center"/>
      <protection hidden="1"/>
    </xf>
    <xf numFmtId="166" fontId="0" fillId="2" borderId="1" xfId="0" applyNumberFormat="1" applyFill="1" applyBorder="1" applyAlignment="1" applyProtection="1">
      <alignment horizontal="center" vertical="center"/>
      <protection hidden="1"/>
    </xf>
    <xf numFmtId="166" fontId="0" fillId="2" borderId="1" xfId="0" applyNumberFormat="1" applyFill="1" applyBorder="1" applyAlignment="1" applyProtection="1">
      <alignment horizontal="center"/>
      <protection hidden="1"/>
    </xf>
    <xf numFmtId="166" fontId="0" fillId="2" borderId="2" xfId="0" applyNumberFormat="1" applyFill="1" applyBorder="1" applyAlignment="1" applyProtection="1">
      <alignment horizontal="center" vertical="center"/>
      <protection hidden="1"/>
    </xf>
    <xf numFmtId="166" fontId="0" fillId="2" borderId="2" xfId="0" applyNumberFormat="1" applyFill="1" applyBorder="1" applyAlignment="1" applyProtection="1">
      <alignment horizontal="center"/>
      <protection hidden="1"/>
    </xf>
    <xf numFmtId="166" fontId="0" fillId="2" borderId="6" xfId="0" applyNumberFormat="1" applyFill="1" applyBorder="1" applyAlignment="1" applyProtection="1">
      <alignment horizontal="center" vertical="center"/>
      <protection hidden="1"/>
    </xf>
    <xf numFmtId="166" fontId="0" fillId="2" borderId="4" xfId="0" applyNumberFormat="1" applyFill="1" applyBorder="1" applyAlignment="1" applyProtection="1">
      <alignment horizontal="center"/>
      <protection hidden="1"/>
    </xf>
    <xf numFmtId="0" fontId="12" fillId="10" borderId="1" xfId="0" applyFont="1" applyFill="1" applyBorder="1" applyAlignment="1" applyProtection="1">
      <alignment horizontal="right"/>
      <protection hidden="1"/>
    </xf>
    <xf numFmtId="2" fontId="12" fillId="10" borderId="1" xfId="0" applyNumberFormat="1" applyFont="1" applyFill="1" applyBorder="1" applyAlignment="1" applyProtection="1">
      <alignment horizontal="right"/>
      <protection hidden="1"/>
    </xf>
    <xf numFmtId="166" fontId="12" fillId="10" borderId="1" xfId="0" applyNumberFormat="1" applyFont="1" applyFill="1" applyBorder="1" applyAlignment="1" applyProtection="1">
      <alignment horizontal="right"/>
      <protection hidden="1"/>
    </xf>
    <xf numFmtId="0" fontId="12" fillId="7" borderId="0" xfId="0" applyFont="1" applyFill="1" applyAlignment="1">
      <alignment horizontal="center"/>
    </xf>
    <xf numFmtId="168" fontId="0" fillId="8" borderId="9" xfId="0" applyNumberFormat="1" applyFill="1" applyBorder="1" applyAlignment="1">
      <alignment horizontal="center"/>
    </xf>
    <xf numFmtId="0" fontId="12" fillId="10" borderId="1" xfId="0" applyFont="1" applyFill="1" applyBorder="1" applyAlignment="1">
      <alignment horizontal="right"/>
    </xf>
    <xf numFmtId="168" fontId="0" fillId="0" borderId="1" xfId="0" applyNumberFormat="1" applyBorder="1" applyAlignment="1">
      <alignment horizontal="center"/>
    </xf>
    <xf numFmtId="0" fontId="12" fillId="10" borderId="0" xfId="0" applyFont="1" applyFill="1" applyAlignment="1">
      <alignment horizontal="center"/>
    </xf>
    <xf numFmtId="166" fontId="0" fillId="0" borderId="1" xfId="0" applyNumberFormat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164" fontId="0" fillId="8" borderId="11" xfId="0" applyNumberFormat="1" applyFill="1" applyBorder="1" applyAlignment="1">
      <alignment horizontal="center"/>
    </xf>
    <xf numFmtId="164" fontId="0" fillId="8" borderId="13" xfId="0" applyNumberFormat="1" applyFill="1" applyBorder="1" applyAlignment="1">
      <alignment horizontal="center"/>
    </xf>
    <xf numFmtId="166" fontId="0" fillId="8" borderId="11" xfId="0" applyNumberFormat="1" applyFill="1" applyBorder="1" applyAlignment="1">
      <alignment horizontal="center"/>
    </xf>
    <xf numFmtId="0" fontId="12" fillId="11" borderId="1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Fill="1" applyBorder="1" applyAlignment="1" applyProtection="1">
      <alignment horizontal="center"/>
      <protection hidden="1"/>
    </xf>
    <xf numFmtId="167" fontId="0" fillId="0" borderId="1" xfId="0" applyNumberFormat="1" applyBorder="1" applyAlignment="1">
      <alignment horizontal="center"/>
    </xf>
    <xf numFmtId="168" fontId="12" fillId="13" borderId="9" xfId="0" applyNumberFormat="1" applyFont="1" applyFill="1" applyBorder="1" applyAlignment="1">
      <alignment horizontal="center"/>
    </xf>
    <xf numFmtId="166" fontId="12" fillId="13" borderId="11" xfId="0" applyNumberFormat="1" applyFont="1" applyFill="1" applyBorder="1" applyAlignment="1">
      <alignment horizontal="center"/>
    </xf>
    <xf numFmtId="164" fontId="12" fillId="13" borderId="11" xfId="0" applyNumberFormat="1" applyFont="1" applyFill="1" applyBorder="1" applyAlignment="1">
      <alignment horizontal="center"/>
    </xf>
    <xf numFmtId="164" fontId="12" fillId="13" borderId="13" xfId="0" applyNumberFormat="1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 vertical="top"/>
    </xf>
    <xf numFmtId="0" fontId="5" fillId="4" borderId="14" xfId="0" applyFont="1" applyFill="1" applyBorder="1" applyAlignment="1">
      <alignment horizontal="center" vertical="top"/>
    </xf>
    <xf numFmtId="0" fontId="5" fillId="4" borderId="3" xfId="0" applyFont="1" applyFill="1" applyBorder="1" applyAlignment="1">
      <alignment horizontal="center" vertical="top"/>
    </xf>
    <xf numFmtId="0" fontId="0" fillId="0" borderId="10" xfId="0" applyBorder="1" applyAlignment="1" applyProtection="1">
      <alignment horizontal="left"/>
      <protection hidden="1"/>
    </xf>
    <xf numFmtId="0" fontId="0" fillId="0" borderId="0" xfId="0" applyBorder="1" applyAlignment="1" applyProtection="1">
      <alignment horizontal="left"/>
      <protection hidden="1"/>
    </xf>
    <xf numFmtId="0" fontId="0" fillId="0" borderId="10" xfId="0" applyBorder="1" applyAlignment="1" applyProtection="1">
      <alignment horizontal="left" vertical="top" wrapText="1"/>
      <protection hidden="1"/>
    </xf>
    <xf numFmtId="0" fontId="0" fillId="0" borderId="0" xfId="0" applyBorder="1" applyAlignment="1" applyProtection="1">
      <alignment horizontal="left" vertical="top" wrapText="1"/>
      <protection hidden="1"/>
    </xf>
    <xf numFmtId="0" fontId="11" fillId="13" borderId="6" xfId="0" applyFont="1" applyFill="1" applyBorder="1" applyAlignment="1">
      <alignment horizontal="center"/>
    </xf>
    <xf numFmtId="0" fontId="11" fillId="13" borderId="3" xfId="0" applyFont="1" applyFill="1" applyBorder="1" applyAlignment="1">
      <alignment horizontal="center"/>
    </xf>
    <xf numFmtId="0" fontId="11" fillId="7" borderId="6" xfId="0" applyFont="1" applyFill="1" applyBorder="1" applyAlignment="1">
      <alignment horizontal="center"/>
    </xf>
    <xf numFmtId="0" fontId="11" fillId="7" borderId="3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12" fillId="9" borderId="6" xfId="0" applyFont="1" applyFill="1" applyBorder="1" applyAlignment="1">
      <alignment horizontal="center" vertical="center"/>
    </xf>
    <xf numFmtId="0" fontId="12" fillId="9" borderId="14" xfId="0" applyFont="1" applyFill="1" applyBorder="1" applyAlignment="1">
      <alignment horizontal="center" vertical="center"/>
    </xf>
    <xf numFmtId="0" fontId="12" fillId="9" borderId="3" xfId="0" applyFont="1" applyFill="1" applyBorder="1" applyAlignment="1">
      <alignment horizontal="center" vertical="center"/>
    </xf>
    <xf numFmtId="0" fontId="12" fillId="9" borderId="6" xfId="0" applyFont="1" applyFill="1" applyBorder="1" applyAlignment="1" applyProtection="1">
      <alignment horizontal="center" vertical="center"/>
      <protection hidden="1"/>
    </xf>
    <xf numFmtId="0" fontId="12" fillId="9" borderId="14" xfId="0" applyFont="1" applyFill="1" applyBorder="1" applyAlignment="1" applyProtection="1">
      <alignment horizontal="center" vertical="center"/>
      <protection hidden="1"/>
    </xf>
    <xf numFmtId="0" fontId="12" fillId="9" borderId="3" xfId="0" applyFont="1" applyFill="1" applyBorder="1" applyAlignment="1" applyProtection="1">
      <alignment horizontal="center" vertical="center"/>
      <protection hidden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12" borderId="1" xfId="0" applyFill="1" applyBorder="1" applyAlignment="1">
      <alignment horizontal="left" vertical="center" wrapText="1"/>
    </xf>
    <xf numFmtId="0" fontId="12" fillId="11" borderId="1" xfId="0" applyFont="1" applyFill="1" applyBorder="1" applyAlignment="1">
      <alignment horizontal="center" vertical="center"/>
    </xf>
    <xf numFmtId="2" fontId="12" fillId="11" borderId="1" xfId="0" applyNumberFormat="1" applyFont="1" applyFill="1" applyBorder="1" applyAlignment="1">
      <alignment horizontal="center"/>
    </xf>
    <xf numFmtId="0" fontId="5" fillId="5" borderId="6" xfId="0" applyFont="1" applyFill="1" applyBorder="1" applyAlignment="1" applyProtection="1">
      <alignment horizontal="center" vertical="center"/>
      <protection hidden="1"/>
    </xf>
    <xf numFmtId="0" fontId="5" fillId="5" borderId="14" xfId="0" applyFont="1" applyFill="1" applyBorder="1" applyAlignment="1" applyProtection="1">
      <alignment horizontal="center" vertical="center"/>
      <protection hidden="1"/>
    </xf>
    <xf numFmtId="0" fontId="5" fillId="5" borderId="3" xfId="0" applyFont="1" applyFill="1" applyBorder="1" applyAlignment="1" applyProtection="1">
      <alignment horizontal="center" vertical="center"/>
      <protection hidden="1"/>
    </xf>
    <xf numFmtId="0" fontId="5" fillId="5" borderId="6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4" fillId="0" borderId="8" xfId="0" applyFont="1" applyBorder="1"/>
    <xf numFmtId="0" fontId="0" fillId="0" borderId="18" xfId="0" applyBorder="1"/>
    <xf numFmtId="0" fontId="0" fillId="0" borderId="9" xfId="0" applyBorder="1"/>
    <xf numFmtId="0" fontId="3" fillId="0" borderId="10" xfId="0" applyFont="1" applyBorder="1"/>
    <xf numFmtId="0" fontId="2" fillId="0" borderId="10" xfId="0" applyFont="1" applyBorder="1"/>
    <xf numFmtId="0" fontId="2" fillId="0" borderId="5" xfId="0" applyFont="1" applyBorder="1"/>
    <xf numFmtId="0" fontId="3" fillId="0" borderId="0" xfId="0" applyFont="1" applyBorder="1"/>
    <xf numFmtId="0" fontId="2" fillId="0" borderId="0" xfId="0" applyFont="1" applyBorder="1"/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1" fillId="0" borderId="0" xfId="0" applyFont="1" applyBorder="1"/>
    <xf numFmtId="0" fontId="1" fillId="0" borderId="8" xfId="0" applyFont="1" applyBorder="1"/>
    <xf numFmtId="0" fontId="3" fillId="0" borderId="18" xfId="0" applyFont="1" applyBorder="1"/>
    <xf numFmtId="0" fontId="1" fillId="0" borderId="10" xfId="0" applyFont="1" applyBorder="1"/>
    <xf numFmtId="0" fontId="0" fillId="0" borderId="10" xfId="0" applyBorder="1"/>
    <xf numFmtId="0" fontId="0" fillId="0" borderId="5" xfId="0" applyBorder="1"/>
    <xf numFmtId="0" fontId="0" fillId="0" borderId="4" xfId="0" applyFill="1" applyBorder="1" applyAlignment="1" applyProtection="1">
      <alignment horizontal="center" vertical="center"/>
      <protection hidden="1"/>
    </xf>
    <xf numFmtId="0" fontId="12" fillId="11" borderId="12" xfId="0" applyFont="1" applyFill="1" applyBorder="1" applyAlignment="1">
      <alignment horizontal="center"/>
    </xf>
    <xf numFmtId="166" fontId="0" fillId="0" borderId="0" xfId="0" applyNumberFormat="1"/>
    <xf numFmtId="0" fontId="0" fillId="12" borderId="8" xfId="0" applyFill="1" applyBorder="1" applyAlignment="1">
      <alignment horizontal="left" vertical="center" wrapText="1"/>
    </xf>
    <xf numFmtId="0" fontId="0" fillId="12" borderId="18" xfId="0" applyFill="1" applyBorder="1" applyAlignment="1">
      <alignment horizontal="left" vertical="center" wrapText="1"/>
    </xf>
    <xf numFmtId="0" fontId="0" fillId="12" borderId="9" xfId="0" applyFill="1" applyBorder="1" applyAlignment="1">
      <alignment horizontal="left" vertical="center" wrapText="1"/>
    </xf>
    <xf numFmtId="0" fontId="0" fillId="12" borderId="10" xfId="0" applyFill="1" applyBorder="1" applyAlignment="1">
      <alignment horizontal="left" vertical="center" wrapText="1"/>
    </xf>
    <xf numFmtId="0" fontId="0" fillId="12" borderId="0" xfId="0" applyFill="1" applyBorder="1" applyAlignment="1">
      <alignment horizontal="left" vertical="center" wrapText="1"/>
    </xf>
    <xf numFmtId="0" fontId="0" fillId="12" borderId="11" xfId="0" applyFill="1" applyBorder="1" applyAlignment="1">
      <alignment horizontal="left" vertical="center" wrapText="1"/>
    </xf>
    <xf numFmtId="0" fontId="0" fillId="12" borderId="5" xfId="0" applyFill="1" applyBorder="1" applyAlignment="1">
      <alignment horizontal="left" vertical="center" wrapText="1"/>
    </xf>
    <xf numFmtId="0" fontId="0" fillId="12" borderId="12" xfId="0" applyFill="1" applyBorder="1" applyAlignment="1">
      <alignment horizontal="left" vertical="center" wrapText="1"/>
    </xf>
    <xf numFmtId="0" fontId="0" fillId="12" borderId="13" xfId="0" applyFill="1" applyBorder="1" applyAlignment="1">
      <alignment horizontal="left" vertical="center" wrapText="1"/>
    </xf>
  </cellXfs>
  <cellStyles count="2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aSG (20 mm)</a:t>
            </a:r>
          </a:p>
        </c:rich>
      </c:tx>
      <c:layout>
        <c:manualLayout>
          <c:xMode val="edge"/>
          <c:yMode val="edge"/>
          <c:x val="0.30181451094836897"/>
          <c:y val="5.55978378056850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59670302605098"/>
          <c:y val="4.4811821170647401E-2"/>
          <c:w val="0.85486770017093028"/>
          <c:h val="0.77990943800431445"/>
        </c:manualLayout>
      </c:layout>
      <c:scatterChart>
        <c:scatterStyle val="lineMarker"/>
        <c:varyColors val="0"/>
        <c:ser>
          <c:idx val="0"/>
          <c:order val="0"/>
          <c:tx>
            <c:v>Measured Dose</c:v>
          </c:tx>
          <c:spPr>
            <a:ln w="12700">
              <a:solidFill>
                <a:srgbClr val="63AAFE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5B9BD5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xVal>
            <c:numRef>
              <c:f>'6 MV'!$B$55:$B$60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'6 MV'!$H$55:$H$60</c:f>
              <c:numCache>
                <c:formatCode>0.000</c:formatCode>
                <c:ptCount val="6"/>
                <c:pt idx="0">
                  <c:v>13.316084052569927</c:v>
                </c:pt>
                <c:pt idx="1">
                  <c:v>13.096760315233482</c:v>
                </c:pt>
                <c:pt idx="2">
                  <c:v>12.679000815545013</c:v>
                </c:pt>
                <c:pt idx="3">
                  <c:v>11.885257766136922</c:v>
                </c:pt>
                <c:pt idx="4">
                  <c:v>11.076000000000001</c:v>
                </c:pt>
                <c:pt idx="5">
                  <c:v>10.282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93-422E-9FD0-067AAF6186FB}"/>
            </c:ext>
          </c:extLst>
        </c:ser>
        <c:ser>
          <c:idx val="1"/>
          <c:order val="1"/>
          <c:tx>
            <c:v>Calculated Dose</c:v>
          </c:tx>
          <c:spPr>
            <a:ln w="12700">
              <a:solidFill>
                <a:srgbClr val="FEA746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D7D31"/>
              </a:solidFill>
              <a:ln>
                <a:solidFill>
                  <a:srgbClr val="FEA746"/>
                </a:solidFill>
                <a:prstDash val="solid"/>
              </a:ln>
            </c:spPr>
          </c:marker>
          <c:xVal>
            <c:numRef>
              <c:f>'6 MV'!$B$55:$B$60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'6 MV'!$E$55:$E$60</c:f>
              <c:numCache>
                <c:formatCode>0.000</c:formatCode>
                <c:ptCount val="6"/>
                <c:pt idx="0">
                  <c:v>13.316084052569927</c:v>
                </c:pt>
                <c:pt idx="1">
                  <c:v>13.096760315233482</c:v>
                </c:pt>
                <c:pt idx="2">
                  <c:v>12.679000815545013</c:v>
                </c:pt>
                <c:pt idx="3">
                  <c:v>11.885257766136922</c:v>
                </c:pt>
                <c:pt idx="4">
                  <c:v>11.076000000000001</c:v>
                </c:pt>
                <c:pt idx="5">
                  <c:v>10.282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93-422E-9FD0-067AAF618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250016"/>
        <c:axId val="334250408"/>
      </c:scatterChart>
      <c:valAx>
        <c:axId val="334250016"/>
        <c:scaling>
          <c:orientation val="minMax"/>
          <c:max val="30"/>
        </c:scaling>
        <c:delete val="0"/>
        <c:axPos val="b"/>
        <c:majorGridlines>
          <c:spPr>
            <a:ln w="3175">
              <a:solidFill>
                <a:schemeClr val="bg2">
                  <a:lumMod val="90000"/>
                </a:schemeClr>
              </a:solidFill>
              <a:prstDash val="lgDash"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 (mm)</a:t>
                </a:r>
              </a:p>
            </c:rich>
          </c:tx>
          <c:layout>
            <c:manualLayout>
              <c:xMode val="edge"/>
              <c:yMode val="edge"/>
              <c:x val="0.42700365588233963"/>
              <c:y val="0.8671049832423920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in"/>
        <c:minorTickMark val="in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lang="en-US" sz="11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ES"/>
          </a:p>
        </c:txPr>
        <c:crossAx val="334250408"/>
        <c:crosses val="autoZero"/>
        <c:crossBetween val="midCat"/>
      </c:valAx>
      <c:valAx>
        <c:axId val="334250408"/>
        <c:scaling>
          <c:orientation val="minMax"/>
        </c:scaling>
        <c:delete val="0"/>
        <c:axPos val="l"/>
        <c:majorGridlines>
          <c:spPr>
            <a:ln w="3175">
              <a:solidFill>
                <a:schemeClr val="bg2">
                  <a:lumMod val="90000"/>
                </a:schemeClr>
              </a:solidFill>
              <a:prstDash val="lgDash"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Dose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in"/>
        <c:minorTickMark val="in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34250016"/>
        <c:crosses val="autoZero"/>
        <c:crossBetween val="midCat"/>
      </c:valAx>
      <c:spPr>
        <a:noFill/>
        <a:ln w="12700">
          <a:solidFill>
            <a:schemeClr val="bg1">
              <a:lumMod val="50000"/>
            </a:schemeClr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577126577293356"/>
          <c:y val="9.7683248054456009E-2"/>
          <c:w val="0.2660341852250882"/>
          <c:h val="0.24018933644614121"/>
        </c:manualLayout>
      </c:layout>
      <c:overlay val="0"/>
      <c:spPr>
        <a:solidFill>
          <a:srgbClr val="FFFFFF"/>
        </a:solidFill>
        <a:ln w="12700"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lang="en-US"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E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Sweeping gaps</a:t>
            </a:r>
          </a:p>
        </c:rich>
      </c:tx>
      <c:layout>
        <c:manualLayout>
          <c:xMode val="edge"/>
          <c:yMode val="edge"/>
          <c:x val="0.30459226239411502"/>
          <c:y val="7.41162737094125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8389153622231"/>
          <c:y val="4.4811821170647401E-2"/>
          <c:w val="0.8564528794352686"/>
          <c:h val="0.77991925620614733"/>
        </c:manualLayout>
      </c:layout>
      <c:scatterChart>
        <c:scatterStyle val="lineMarker"/>
        <c:varyColors val="0"/>
        <c:ser>
          <c:idx val="0"/>
          <c:order val="0"/>
          <c:tx>
            <c:v>Measured Dose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5B9BD5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63AAFE"/>
                </a:solidFill>
                <a:prstDash val="lgDash"/>
              </a:ln>
            </c:spPr>
            <c:trendlineType val="linear"/>
            <c:backward val="4"/>
            <c:dispRSqr val="0"/>
            <c:dispEq val="0"/>
          </c:trendline>
          <c:xVal>
            <c:numRef>
              <c:f>'6 MV'!$B$46:$B$49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numCache>
            </c:numRef>
          </c:xVal>
          <c:yVal>
            <c:numRef>
              <c:f>'6 MV'!$H$46:$H$49</c:f>
              <c:numCache>
                <c:formatCode>0.000</c:formatCode>
                <c:ptCount val="4"/>
                <c:pt idx="0">
                  <c:v>4.0839472423711847</c:v>
                </c:pt>
                <c:pt idx="1">
                  <c:v>7.1523907675829852</c:v>
                </c:pt>
                <c:pt idx="2">
                  <c:v>13.30041807133161</c:v>
                </c:pt>
                <c:pt idx="3">
                  <c:v>19.439742052170057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8E-4BAD-9F5B-11309FD3AE3E}"/>
            </c:ext>
          </c:extLst>
        </c:ser>
        <c:ser>
          <c:idx val="1"/>
          <c:order val="1"/>
          <c:tx>
            <c:v>Calculated Dose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FEA74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EA746"/>
                </a:solidFill>
                <a:prstDash val="lgDash"/>
              </a:ln>
            </c:spPr>
            <c:trendlineType val="linear"/>
            <c:backward val="4"/>
            <c:dispRSqr val="0"/>
            <c:dispEq val="0"/>
          </c:trendline>
          <c:xVal>
            <c:numRef>
              <c:f>'6 MV'!$B$46:$B$49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numCache>
            </c:numRef>
          </c:xVal>
          <c:yVal>
            <c:numRef>
              <c:f>'6 MV'!$E$46:$E$49</c:f>
              <c:numCache>
                <c:formatCode>0.000</c:formatCode>
                <c:ptCount val="4"/>
                <c:pt idx="0">
                  <c:v>4.0839472423711847</c:v>
                </c:pt>
                <c:pt idx="1">
                  <c:v>7.1523907675829843</c:v>
                </c:pt>
                <c:pt idx="2">
                  <c:v>13.30041807133161</c:v>
                </c:pt>
                <c:pt idx="3">
                  <c:v>19.439742052170057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8E-4BAD-9F5B-11309FD3A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251192"/>
        <c:axId val="332318136"/>
      </c:scatterChart>
      <c:valAx>
        <c:axId val="334251192"/>
        <c:scaling>
          <c:orientation val="minMax"/>
          <c:max val="30"/>
          <c:min val="-5"/>
        </c:scaling>
        <c:delete val="0"/>
        <c:axPos val="b"/>
        <c:majorGridlines>
          <c:spPr>
            <a:ln w="3175">
              <a:solidFill>
                <a:schemeClr val="bg2">
                  <a:lumMod val="90000"/>
                </a:schemeClr>
              </a:solidFill>
              <a:prstDash val="lgDash"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gap (mm)</a:t>
                </a:r>
              </a:p>
            </c:rich>
          </c:tx>
          <c:layout>
            <c:manualLayout>
              <c:xMode val="edge"/>
              <c:yMode val="edge"/>
              <c:x val="0.47364387348054149"/>
              <c:y val="0.9025510157739868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in"/>
        <c:minorTickMark val="in"/>
        <c:tickLblPos val="nextTo"/>
        <c:spPr>
          <a:ln w="3175">
            <a:solidFill>
              <a:schemeClr val="tx1">
                <a:lumMod val="50000"/>
                <a:lumOff val="50000"/>
              </a:schemeClr>
            </a:solidFill>
            <a:prstDash val="solid"/>
          </a:ln>
        </c:spPr>
        <c:txPr>
          <a:bodyPr rot="0" vert="horz"/>
          <a:lstStyle/>
          <a:p>
            <a:pPr>
              <a:defRPr lang="en-US" sz="11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ES"/>
          </a:p>
        </c:txPr>
        <c:crossAx val="332318136"/>
        <c:crosses val="autoZero"/>
        <c:crossBetween val="midCat"/>
        <c:majorUnit val="5"/>
      </c:valAx>
      <c:valAx>
        <c:axId val="33231813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chemeClr val="bg2">
                  <a:lumMod val="90000"/>
                </a:schemeClr>
              </a:solidFill>
              <a:prstDash val="lgDash"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Dose</a:t>
                </a:r>
              </a:p>
            </c:rich>
          </c:tx>
          <c:layout>
            <c:manualLayout>
              <c:xMode val="edge"/>
              <c:yMode val="edge"/>
              <c:x val="6.7300473075048613E-3"/>
              <c:y val="0.38221717260871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in"/>
        <c:minorTickMark val="in"/>
        <c:tickLblPos val="nextTo"/>
        <c:spPr>
          <a:ln w="3175">
            <a:solidFill>
              <a:schemeClr val="tx1">
                <a:lumMod val="50000"/>
                <a:lumOff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34251192"/>
        <c:crossesAt val="-5"/>
        <c:crossBetween val="midCat"/>
      </c:valAx>
      <c:spPr>
        <a:noFill/>
        <a:ln w="12700">
          <a:solidFill>
            <a:schemeClr val="bg2">
              <a:lumMod val="50000"/>
            </a:schemeClr>
          </a:solidFill>
          <a:prstDash val="solid"/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65001707285193633"/>
          <c:y val="0.57895227364903423"/>
          <c:w val="0.23306952044323101"/>
          <c:h val="0.15356328292541599"/>
        </c:manualLayout>
      </c:layout>
      <c:overlay val="0"/>
      <c:spPr>
        <a:solidFill>
          <a:srgbClr val="FFFFFF"/>
        </a:solidFill>
        <a:ln w="12700"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lang="en-US"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E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64548650125416"/>
          <c:y val="4.3547115930750301E-2"/>
          <c:w val="0.84572730113542305"/>
          <c:h val="0.86458781160830867"/>
        </c:manualLayout>
      </c:layout>
      <c:scatterChart>
        <c:scatterStyle val="lineMarker"/>
        <c:varyColors val="0"/>
        <c:ser>
          <c:idx val="0"/>
          <c:order val="0"/>
          <c:tx>
            <c:v>Measurement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'6 MV'!$R$55:$R$60</c:f>
              <c:numCache>
                <c:formatCode>0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</c:numCache>
            </c:numRef>
          </c:xVal>
          <c:yVal>
            <c:numRef>
              <c:f>'6 MV'!$T$55:$T$60</c:f>
              <c:numCache>
                <c:formatCode>0.00</c:formatCode>
                <c:ptCount val="6"/>
                <c:pt idx="0">
                  <c:v>0</c:v>
                </c:pt>
                <c:pt idx="1">
                  <c:v>0.44170753081830505</c:v>
                </c:pt>
                <c:pt idx="2">
                  <c:v>1.28305520856746</c:v>
                </c:pt>
                <c:pt idx="3">
                  <c:v>2.8816157962908555</c:v>
                </c:pt>
                <c:pt idx="4">
                  <c:v>4.5114222824330108</c:v>
                </c:pt>
                <c:pt idx="5">
                  <c:v>6.1105003563750575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FF-D544-A636-BE2282CA2FD5}"/>
            </c:ext>
          </c:extLst>
        </c:ser>
        <c:ser>
          <c:idx val="1"/>
          <c:order val="1"/>
          <c:tx>
            <c:v>Optimal</c:v>
          </c:tx>
          <c:spPr>
            <a:ln w="2222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'6 MV'!$AA$67:$AA$69</c:f>
              <c:numCache>
                <c:formatCode>0.00</c:formatCode>
                <c:ptCount val="3"/>
                <c:pt idx="0" formatCode="General">
                  <c:v>0</c:v>
                </c:pt>
                <c:pt idx="1">
                  <c:v>1.02837683817371</c:v>
                </c:pt>
                <c:pt idx="2" formatCode="General">
                  <c:v>20</c:v>
                </c:pt>
              </c:numCache>
            </c:numRef>
          </c:xVal>
          <c:yVal>
            <c:numRef>
              <c:f>'6 MV'!$AB$67:$AB$69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 formatCode="0.00">
                  <c:v>6.1134697003513372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FF-D544-A636-BE2282CA2FD5}"/>
            </c:ext>
          </c:extLst>
        </c:ser>
        <c:ser>
          <c:idx val="2"/>
          <c:order val="2"/>
          <c:tx>
            <c:v>Calculated</c:v>
          </c:tx>
          <c:spPr>
            <a:ln w="12700" cap="rnd">
              <a:solidFill>
                <a:srgbClr val="FF0000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'6 MV'!$AA$73:$AA$75</c:f>
              <c:numCache>
                <c:formatCode>0.00</c:formatCode>
                <c:ptCount val="3"/>
                <c:pt idx="0" formatCode="General">
                  <c:v>0</c:v>
                </c:pt>
                <c:pt idx="1">
                  <c:v>1.02837683817371</c:v>
                </c:pt>
                <c:pt idx="2" formatCode="General">
                  <c:v>20</c:v>
                </c:pt>
              </c:numCache>
            </c:numRef>
          </c:xVal>
          <c:yVal>
            <c:numRef>
              <c:f>'6 MV'!$AB$73:$AB$75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 formatCode="0.00">
                  <c:v>6.113469700351339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FF-D544-A636-BE2282CA2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296600"/>
        <c:axId val="-2118520440"/>
      </c:scatterChart>
      <c:valAx>
        <c:axId val="-212129660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-2118520440"/>
        <c:crosses val="autoZero"/>
        <c:crossBetween val="midCat"/>
      </c:valAx>
      <c:valAx>
        <c:axId val="-2118520440"/>
        <c:scaling>
          <c:orientation val="minMax"/>
          <c:max val="6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∆Phi</a:t>
                </a:r>
                <a:r>
                  <a:rPr lang="en-US" sz="1200" b="0" i="0" baseline="-25000">
                    <a:effectLst/>
                  </a:rPr>
                  <a:t>TG</a:t>
                </a:r>
                <a:r>
                  <a:rPr lang="en-US" sz="1200" b="0" i="0" baseline="0">
                    <a:effectLst/>
                  </a:rPr>
                  <a:t> (mm</a:t>
                </a:r>
                <a:r>
                  <a:rPr lang="en-US" sz="1200" b="0" i="0" baseline="30000">
                    <a:effectLst/>
                  </a:rPr>
                  <a:t>2</a:t>
                </a:r>
                <a:r>
                  <a:rPr lang="en-US" sz="1200" b="0" i="0" baseline="0">
                    <a:effectLst/>
                  </a:rPr>
                  <a:t>)</a:t>
                </a:r>
                <a:endParaRPr lang="es-E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-2121296600"/>
        <c:crosses val="autoZero"/>
        <c:crossBetween val="midCat"/>
        <c:majorUnit val="1"/>
      </c:valAx>
      <c:spPr>
        <a:noFill/>
        <a:ln w="6350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39719938767183"/>
          <c:y val="6.8027195658226153E-2"/>
          <c:w val="0.34295527254172598"/>
          <c:h val="0.1765709675165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aSG (20 mm)</a:t>
            </a:r>
          </a:p>
        </c:rich>
      </c:tx>
      <c:layout>
        <c:manualLayout>
          <c:xMode val="edge"/>
          <c:yMode val="edge"/>
          <c:x val="0.30181451094836897"/>
          <c:y val="5.55978378056850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59670302605098"/>
          <c:y val="4.4811821170647401E-2"/>
          <c:w val="0.85486770017093028"/>
          <c:h val="0.77990943800431445"/>
        </c:manualLayout>
      </c:layout>
      <c:scatterChart>
        <c:scatterStyle val="lineMarker"/>
        <c:varyColors val="0"/>
        <c:ser>
          <c:idx val="0"/>
          <c:order val="0"/>
          <c:tx>
            <c:v>Measured Dose</c:v>
          </c:tx>
          <c:spPr>
            <a:ln w="12700">
              <a:solidFill>
                <a:srgbClr val="63AAFE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5B9BD5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xVal>
            <c:numRef>
              <c:f>'Other energies'!$B$31:$B$39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'Other energies'!$H$31:$H$39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04-444D-B3DA-5E033F23E285}"/>
            </c:ext>
          </c:extLst>
        </c:ser>
        <c:ser>
          <c:idx val="1"/>
          <c:order val="1"/>
          <c:tx>
            <c:v>Calculated Dose</c:v>
          </c:tx>
          <c:spPr>
            <a:ln w="12700">
              <a:solidFill>
                <a:srgbClr val="FEA746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D7D31"/>
              </a:solidFill>
              <a:ln>
                <a:solidFill>
                  <a:srgbClr val="FEA746"/>
                </a:solidFill>
                <a:prstDash val="solid"/>
              </a:ln>
            </c:spPr>
          </c:marker>
          <c:xVal>
            <c:numRef>
              <c:f>'Other energies'!$B$31:$B$39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</c:numCache>
            </c:numRef>
          </c:xVal>
          <c:yVal>
            <c:numRef>
              <c:f>'Other energies'!$E$31:$E$39</c:f>
              <c:numCache>
                <c:formatCode>0.00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04-444D-B3DA-5E033F23E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250016"/>
        <c:axId val="334250408"/>
      </c:scatterChart>
      <c:valAx>
        <c:axId val="334250016"/>
        <c:scaling>
          <c:orientation val="minMax"/>
          <c:max val="30"/>
        </c:scaling>
        <c:delete val="0"/>
        <c:axPos val="b"/>
        <c:majorGridlines>
          <c:spPr>
            <a:ln w="3175">
              <a:solidFill>
                <a:schemeClr val="bg2">
                  <a:lumMod val="90000"/>
                </a:schemeClr>
              </a:solidFill>
              <a:prstDash val="lgDash"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 (mm)</a:t>
                </a:r>
              </a:p>
            </c:rich>
          </c:tx>
          <c:layout>
            <c:manualLayout>
              <c:xMode val="edge"/>
              <c:yMode val="edge"/>
              <c:x val="0.42700365588233963"/>
              <c:y val="0.8671049832423920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in"/>
        <c:minorTickMark val="in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lang="en-US" sz="11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ES"/>
          </a:p>
        </c:txPr>
        <c:crossAx val="334250408"/>
        <c:crosses val="autoZero"/>
        <c:crossBetween val="midCat"/>
      </c:valAx>
      <c:valAx>
        <c:axId val="334250408"/>
        <c:scaling>
          <c:orientation val="minMax"/>
          <c:min val="20"/>
        </c:scaling>
        <c:delete val="0"/>
        <c:axPos val="l"/>
        <c:majorGridlines>
          <c:spPr>
            <a:ln w="3175">
              <a:solidFill>
                <a:schemeClr val="bg2">
                  <a:lumMod val="90000"/>
                </a:schemeClr>
              </a:solidFill>
              <a:prstDash val="lgDash"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Dose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in"/>
        <c:minorTickMark val="in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34250016"/>
        <c:crosses val="autoZero"/>
        <c:crossBetween val="midCat"/>
      </c:valAx>
      <c:spPr>
        <a:noFill/>
        <a:ln w="12700">
          <a:solidFill>
            <a:schemeClr val="bg1">
              <a:lumMod val="50000"/>
            </a:schemeClr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577126577293356"/>
          <c:y val="9.7683248054456009E-2"/>
          <c:w val="0.2660341852250882"/>
          <c:h val="0.24018933644614121"/>
        </c:manualLayout>
      </c:layout>
      <c:overlay val="0"/>
      <c:spPr>
        <a:solidFill>
          <a:srgbClr val="FFFFFF"/>
        </a:solidFill>
        <a:ln w="12700"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lang="en-US"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E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Sweeping gaps</a:t>
            </a:r>
          </a:p>
        </c:rich>
      </c:tx>
      <c:layout>
        <c:manualLayout>
          <c:xMode val="edge"/>
          <c:yMode val="edge"/>
          <c:x val="0.30459226239411502"/>
          <c:y val="7.41162737094125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8389153622231"/>
          <c:y val="4.4811821170647401E-2"/>
          <c:w val="0.8564528794352686"/>
          <c:h val="0.77991925620614733"/>
        </c:manualLayout>
      </c:layout>
      <c:scatterChart>
        <c:scatterStyle val="lineMarker"/>
        <c:varyColors val="0"/>
        <c:ser>
          <c:idx val="0"/>
          <c:order val="0"/>
          <c:tx>
            <c:v>Measured Dose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5B9BD5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63AAFE"/>
                </a:solidFill>
                <a:prstDash val="lgDash"/>
              </a:ln>
            </c:spPr>
            <c:trendlineType val="linear"/>
            <c:backward val="4"/>
            <c:dispRSqr val="0"/>
            <c:dispEq val="0"/>
          </c:trendline>
          <c:xVal>
            <c:numRef>
              <c:f>'Other energies'!$B$22:$B$25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numCache>
            </c:numRef>
          </c:xVal>
          <c:yVal>
            <c:numRef>
              <c:f>'Other energies'!$H$22:$H$25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52-401A-B879-76A342131D0F}"/>
            </c:ext>
          </c:extLst>
        </c:ser>
        <c:ser>
          <c:idx val="1"/>
          <c:order val="1"/>
          <c:tx>
            <c:v>Calculated Dose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FEA74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EA746"/>
                </a:solidFill>
                <a:prstDash val="lgDash"/>
              </a:ln>
            </c:spPr>
            <c:trendlineType val="linear"/>
            <c:backward val="4"/>
            <c:dispRSqr val="0"/>
            <c:dispEq val="0"/>
          </c:trendline>
          <c:xVal>
            <c:numRef>
              <c:f>'Other energies'!$B$22:$B$25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</c:numCache>
            </c:numRef>
          </c:xVal>
          <c:yVal>
            <c:numRef>
              <c:f>'Other energies'!$E$22:$E$25</c:f>
              <c:numCache>
                <c:formatCode>0.00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52-401A-B879-76A342131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251192"/>
        <c:axId val="332318136"/>
      </c:scatterChart>
      <c:valAx>
        <c:axId val="334251192"/>
        <c:scaling>
          <c:orientation val="minMax"/>
          <c:max val="30"/>
          <c:min val="-5"/>
        </c:scaling>
        <c:delete val="0"/>
        <c:axPos val="b"/>
        <c:majorGridlines>
          <c:spPr>
            <a:ln w="3175">
              <a:solidFill>
                <a:schemeClr val="bg2">
                  <a:lumMod val="90000"/>
                </a:schemeClr>
              </a:solidFill>
              <a:prstDash val="lgDash"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gap (mm)</a:t>
                </a:r>
              </a:p>
            </c:rich>
          </c:tx>
          <c:layout>
            <c:manualLayout>
              <c:xMode val="edge"/>
              <c:yMode val="edge"/>
              <c:x val="0.47364387348054149"/>
              <c:y val="0.9025510157739868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in"/>
        <c:minorTickMark val="in"/>
        <c:tickLblPos val="nextTo"/>
        <c:spPr>
          <a:ln w="3175">
            <a:solidFill>
              <a:schemeClr val="tx1">
                <a:lumMod val="50000"/>
                <a:lumOff val="50000"/>
              </a:schemeClr>
            </a:solidFill>
            <a:prstDash val="solid"/>
          </a:ln>
        </c:spPr>
        <c:txPr>
          <a:bodyPr rot="0" vert="horz"/>
          <a:lstStyle/>
          <a:p>
            <a:pPr>
              <a:defRPr lang="en-US" sz="11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ES"/>
          </a:p>
        </c:txPr>
        <c:crossAx val="332318136"/>
        <c:crosses val="autoZero"/>
        <c:crossBetween val="midCat"/>
        <c:majorUnit val="5"/>
      </c:valAx>
      <c:valAx>
        <c:axId val="33231813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chemeClr val="bg2">
                  <a:lumMod val="90000"/>
                </a:schemeClr>
              </a:solidFill>
              <a:prstDash val="lgDash"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Dose</a:t>
                </a:r>
              </a:p>
            </c:rich>
          </c:tx>
          <c:layout>
            <c:manualLayout>
              <c:xMode val="edge"/>
              <c:yMode val="edge"/>
              <c:x val="6.7300473075048613E-3"/>
              <c:y val="0.38221717260871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in"/>
        <c:minorTickMark val="in"/>
        <c:tickLblPos val="nextTo"/>
        <c:spPr>
          <a:ln w="3175">
            <a:solidFill>
              <a:schemeClr val="tx1">
                <a:lumMod val="50000"/>
                <a:lumOff val="50000"/>
              </a:schemeClr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34251192"/>
        <c:crossesAt val="-5"/>
        <c:crossBetween val="midCat"/>
      </c:valAx>
      <c:spPr>
        <a:noFill/>
        <a:ln w="12700">
          <a:solidFill>
            <a:schemeClr val="bg2">
              <a:lumMod val="50000"/>
            </a:schemeClr>
          </a:solidFill>
          <a:prstDash val="solid"/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65001707285193633"/>
          <c:y val="0.57895227364903423"/>
          <c:w val="0.23306952044323101"/>
          <c:h val="0.15356328292541599"/>
        </c:manualLayout>
      </c:layout>
      <c:overlay val="0"/>
      <c:spPr>
        <a:solidFill>
          <a:srgbClr val="FFFFFF"/>
        </a:solidFill>
        <a:ln w="12700"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lang="en-US"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E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aSG (40 mm)</a:t>
            </a:r>
          </a:p>
        </c:rich>
      </c:tx>
      <c:layout>
        <c:manualLayout>
          <c:xMode val="edge"/>
          <c:yMode val="edge"/>
          <c:x val="0.30181451094836897"/>
          <c:y val="5.55978378056850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672992581003858"/>
          <c:y val="4.4811821170647401E-2"/>
          <c:w val="0.85573464131249743"/>
          <c:h val="0.77060547866587203"/>
        </c:manualLayout>
      </c:layout>
      <c:scatterChart>
        <c:scatterStyle val="lineMarker"/>
        <c:varyColors val="0"/>
        <c:ser>
          <c:idx val="0"/>
          <c:order val="0"/>
          <c:tx>
            <c:v>Measured Dose</c:v>
          </c:tx>
          <c:marker>
            <c:symbol val="circle"/>
            <c:size val="5"/>
            <c:spPr>
              <a:solidFill>
                <a:srgbClr val="5B9BD5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xVal>
            <c:numRef>
              <c:f>'Other energies'!$B$43:$B$47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'Other energies'!$H$43:$H$47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F3-43B6-AF01-D3D82601F9F4}"/>
            </c:ext>
          </c:extLst>
        </c:ser>
        <c:ser>
          <c:idx val="1"/>
          <c:order val="1"/>
          <c:tx>
            <c:v>Calculated Dose</c:v>
          </c:tx>
          <c:marker>
            <c:symbol val="circle"/>
            <c:size val="5"/>
            <c:spPr>
              <a:solidFill>
                <a:srgbClr val="ED7D31"/>
              </a:solidFill>
              <a:ln>
                <a:solidFill>
                  <a:srgbClr val="FEA746"/>
                </a:solidFill>
                <a:prstDash val="solid"/>
              </a:ln>
            </c:spPr>
          </c:marker>
          <c:xVal>
            <c:numRef>
              <c:f>'Other energies'!$B$43:$B$47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'Other energies'!$E$43:$E$47</c:f>
              <c:numCache>
                <c:formatCode>0.00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F3-43B6-AF01-D3D82601F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249624"/>
        <c:axId val="334249232"/>
      </c:scatterChart>
      <c:valAx>
        <c:axId val="334249624"/>
        <c:scaling>
          <c:orientation val="minMax"/>
          <c:max val="40"/>
        </c:scaling>
        <c:delete val="0"/>
        <c:axPos val="b"/>
        <c:majorGridlines>
          <c:spPr>
            <a:ln w="3175">
              <a:solidFill>
                <a:schemeClr val="bg2">
                  <a:lumMod val="90000"/>
                </a:schemeClr>
              </a:solidFill>
              <a:prstDash val="lgDash"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 (mm)</a:t>
                </a:r>
              </a:p>
            </c:rich>
          </c:tx>
          <c:layout>
            <c:manualLayout>
              <c:xMode val="edge"/>
              <c:yMode val="edge"/>
              <c:x val="0.39049081274247244"/>
              <c:y val="0.894673468159512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in"/>
        <c:minorTickMark val="in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lang="en-US" sz="11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ES"/>
          </a:p>
        </c:txPr>
        <c:crossAx val="334249232"/>
        <c:crosses val="autoZero"/>
        <c:crossBetween val="midCat"/>
      </c:valAx>
      <c:valAx>
        <c:axId val="334249232"/>
        <c:scaling>
          <c:orientation val="minMax"/>
          <c:max val="70"/>
          <c:min val="40"/>
        </c:scaling>
        <c:delete val="0"/>
        <c:axPos val="l"/>
        <c:majorGridlines>
          <c:spPr>
            <a:ln w="3175">
              <a:solidFill>
                <a:schemeClr val="bg2">
                  <a:lumMod val="90000"/>
                </a:schemeClr>
              </a:solidFill>
              <a:prstDash val="lgDash"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Dose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in"/>
        <c:minorTickMark val="in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34249624"/>
        <c:crosses val="autoZero"/>
        <c:crossBetween val="midCat"/>
      </c:valAx>
      <c:spPr>
        <a:noFill/>
        <a:ln w="12700">
          <a:solidFill>
            <a:schemeClr val="bg1">
              <a:lumMod val="50000"/>
            </a:schemeClr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577134653598603"/>
          <c:y val="6.7926726420866806E-2"/>
          <c:w val="0.22439781700245501"/>
          <c:h val="0.139025907949546"/>
        </c:manualLayout>
      </c:layout>
      <c:overlay val="0"/>
      <c:spPr>
        <a:solidFill>
          <a:srgbClr val="FFFFFF"/>
        </a:solidFill>
        <a:ln w="12700"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lang="en-US"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E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aSG (10mm)</a:t>
            </a:r>
          </a:p>
        </c:rich>
      </c:tx>
      <c:layout>
        <c:manualLayout>
          <c:xMode val="edge"/>
          <c:yMode val="edge"/>
          <c:x val="0.30181451094836897"/>
          <c:y val="5.55978378056850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77257567917869E-2"/>
          <c:y val="5.9467142096082129E-2"/>
          <c:w val="0.86007694711550775"/>
          <c:h val="0.76193573945497384"/>
        </c:manualLayout>
      </c:layout>
      <c:scatterChart>
        <c:scatterStyle val="lineMarker"/>
        <c:varyColors val="0"/>
        <c:ser>
          <c:idx val="0"/>
          <c:order val="0"/>
          <c:tx>
            <c:v>Measured Dose</c:v>
          </c:tx>
          <c:marker>
            <c:symbol val="circle"/>
            <c:size val="5"/>
            <c:spPr>
              <a:solidFill>
                <a:srgbClr val="5B9BD5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xVal>
            <c:numRef>
              <c:f>'Other energies'!$B$52:$B$58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</c:numCache>
            </c:numRef>
          </c:xVal>
          <c:yVal>
            <c:numRef>
              <c:f>'Other energies'!$H$52:$H$58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A8-4362-A418-85ECCEDC92B6}"/>
            </c:ext>
          </c:extLst>
        </c:ser>
        <c:ser>
          <c:idx val="1"/>
          <c:order val="1"/>
          <c:tx>
            <c:v>Calculated Dose</c:v>
          </c:tx>
          <c:marker>
            <c:symbol val="circle"/>
            <c:size val="5"/>
            <c:spPr>
              <a:solidFill>
                <a:srgbClr val="ED7D31"/>
              </a:solidFill>
              <a:ln>
                <a:solidFill>
                  <a:srgbClr val="FEA746"/>
                </a:solidFill>
                <a:prstDash val="solid"/>
              </a:ln>
            </c:spPr>
          </c:marker>
          <c:xVal>
            <c:numRef>
              <c:f>'Other energies'!$B$52:$B$58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</c:numCache>
            </c:numRef>
          </c:xVal>
          <c:yVal>
            <c:numRef>
              <c:f>'Other energies'!$E$52:$E$58</c:f>
              <c:numCache>
                <c:formatCode>0.00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A8-4362-A418-85ECCEDC9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318920"/>
        <c:axId val="332319312"/>
      </c:scatterChart>
      <c:valAx>
        <c:axId val="332318920"/>
        <c:scaling>
          <c:orientation val="minMax"/>
          <c:max val="20"/>
        </c:scaling>
        <c:delete val="0"/>
        <c:axPos val="b"/>
        <c:majorGridlines>
          <c:spPr>
            <a:ln w="3175">
              <a:solidFill>
                <a:schemeClr val="bg2">
                  <a:lumMod val="90000"/>
                </a:schemeClr>
              </a:solidFill>
              <a:prstDash val="lgDash"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 (mm)</a:t>
                </a:r>
              </a:p>
            </c:rich>
          </c:tx>
          <c:layout>
            <c:manualLayout>
              <c:xMode val="edge"/>
              <c:yMode val="edge"/>
              <c:x val="0.38535361349187242"/>
              <c:y val="0.9016394001944761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in"/>
        <c:minorTickMark val="in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lang="en-US" sz="11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ES"/>
          </a:p>
        </c:txPr>
        <c:crossAx val="332319312"/>
        <c:crosses val="autoZero"/>
        <c:crossBetween val="midCat"/>
      </c:valAx>
      <c:valAx>
        <c:axId val="332319312"/>
        <c:scaling>
          <c:orientation val="minMax"/>
          <c:max val="20"/>
        </c:scaling>
        <c:delete val="0"/>
        <c:axPos val="l"/>
        <c:majorGridlines>
          <c:spPr>
            <a:ln w="3175">
              <a:solidFill>
                <a:schemeClr val="bg2">
                  <a:lumMod val="90000"/>
                </a:schemeClr>
              </a:solidFill>
              <a:prstDash val="lgDash"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Dose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in"/>
        <c:minorTickMark val="in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32318920"/>
        <c:crosses val="autoZero"/>
        <c:crossBetween val="midCat"/>
      </c:valAx>
      <c:spPr>
        <a:noFill/>
        <a:ln w="12700">
          <a:solidFill>
            <a:schemeClr val="bg1">
              <a:lumMod val="50000"/>
            </a:schemeClr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577134653598603"/>
          <c:y val="6.7926726420866806E-2"/>
          <c:w val="0.28685720726028308"/>
          <c:h val="0.19287855971043424"/>
        </c:manualLayout>
      </c:layout>
      <c:overlay val="0"/>
      <c:spPr>
        <a:solidFill>
          <a:srgbClr val="FFFFFF"/>
        </a:solidFill>
        <a:ln w="12700"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lang="en-US"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E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aSG (5mm)</a:t>
            </a:r>
          </a:p>
        </c:rich>
      </c:tx>
      <c:layout>
        <c:manualLayout>
          <c:xMode val="edge"/>
          <c:yMode val="edge"/>
          <c:x val="0.49861680597782798"/>
          <c:y val="9.45937387853328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38779433808861"/>
          <c:y val="4.4811821170647401E-2"/>
          <c:w val="0.8500766030597835"/>
          <c:h val="0.79108622267939155"/>
        </c:manualLayout>
      </c:layout>
      <c:scatterChart>
        <c:scatterStyle val="lineMarker"/>
        <c:varyColors val="0"/>
        <c:ser>
          <c:idx val="0"/>
          <c:order val="0"/>
          <c:tx>
            <c:v>Measured Dose</c:v>
          </c:tx>
          <c:marker>
            <c:symbol val="circle"/>
            <c:size val="5"/>
            <c:spPr>
              <a:solidFill>
                <a:srgbClr val="5B9BD5"/>
              </a:solidFill>
              <a:ln>
                <a:solidFill>
                  <a:srgbClr val="63AAFE"/>
                </a:solidFill>
                <a:prstDash val="solid"/>
              </a:ln>
            </c:spPr>
          </c:marker>
          <c:xVal>
            <c:numRef>
              <c:f>'Other energies'!$B$63:$B$69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</c:numCache>
            </c:numRef>
          </c:xVal>
          <c:yVal>
            <c:numRef>
              <c:f>'Other energies'!$H$63:$H$69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19-449B-8596-C7415A21B2B6}"/>
            </c:ext>
          </c:extLst>
        </c:ser>
        <c:ser>
          <c:idx val="1"/>
          <c:order val="1"/>
          <c:tx>
            <c:v>Calculated Dose</c:v>
          </c:tx>
          <c:marker>
            <c:symbol val="circle"/>
            <c:size val="5"/>
            <c:spPr>
              <a:solidFill>
                <a:srgbClr val="ED7D31"/>
              </a:solidFill>
              <a:ln>
                <a:solidFill>
                  <a:srgbClr val="FEA746"/>
                </a:solidFill>
                <a:prstDash val="solid"/>
              </a:ln>
            </c:spPr>
          </c:marker>
          <c:xVal>
            <c:numRef>
              <c:f>'Other energies'!$B$63:$B$69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</c:numCache>
            </c:numRef>
          </c:xVal>
          <c:yVal>
            <c:numRef>
              <c:f>'Other energies'!$E$63:$E$69</c:f>
              <c:numCache>
                <c:formatCode>0.00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19-449B-8596-C7415A21B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320096"/>
        <c:axId val="332320488"/>
      </c:scatterChart>
      <c:valAx>
        <c:axId val="332320096"/>
        <c:scaling>
          <c:orientation val="minMax"/>
          <c:max val="20"/>
        </c:scaling>
        <c:delete val="0"/>
        <c:axPos val="b"/>
        <c:majorGridlines>
          <c:spPr>
            <a:ln w="3175">
              <a:solidFill>
                <a:schemeClr val="bg2">
                  <a:lumMod val="90000"/>
                </a:schemeClr>
              </a:solidFill>
              <a:prstDash val="lgDash"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 (mm)</a:t>
                </a:r>
              </a:p>
            </c:rich>
          </c:tx>
          <c:layout>
            <c:manualLayout>
              <c:xMode val="edge"/>
              <c:yMode val="edge"/>
              <c:x val="0.39438375085358429"/>
              <c:y val="0.910163295149890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in"/>
        <c:minorTickMark val="in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0" vert="horz"/>
          <a:lstStyle/>
          <a:p>
            <a:pPr>
              <a:defRPr lang="en-US" sz="11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ES"/>
          </a:p>
        </c:txPr>
        <c:crossAx val="332320488"/>
        <c:crosses val="autoZero"/>
        <c:crossBetween val="midCat"/>
      </c:valAx>
      <c:valAx>
        <c:axId val="332320488"/>
        <c:scaling>
          <c:orientation val="minMax"/>
          <c:max val="10"/>
        </c:scaling>
        <c:delete val="0"/>
        <c:axPos val="l"/>
        <c:majorGridlines>
          <c:spPr>
            <a:ln w="3175">
              <a:solidFill>
                <a:schemeClr val="bg2">
                  <a:lumMod val="90000"/>
                </a:schemeClr>
              </a:solidFill>
              <a:prstDash val="lgDash"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Dose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.0" sourceLinked="0"/>
        <c:majorTickMark val="in"/>
        <c:minorTickMark val="in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32320096"/>
        <c:crosses val="autoZero"/>
        <c:crossBetween val="midCat"/>
      </c:valAx>
      <c:spPr>
        <a:noFill/>
        <a:ln w="12700">
          <a:solidFill>
            <a:schemeClr val="bg1">
              <a:lumMod val="50000"/>
            </a:schemeClr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577134653598603"/>
          <c:y val="6.7926726420866806E-2"/>
          <c:w val="0.22439781700245501"/>
          <c:h val="0.13906491971188201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lang="en-US"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ES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Delta_phi (s)</a:t>
            </a:r>
          </a:p>
        </c:rich>
      </c:tx>
      <c:layout>
        <c:manualLayout>
          <c:xMode val="edge"/>
          <c:yMode val="edge"/>
          <c:x val="0.36012405788725949"/>
          <c:y val="8.77328377431081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>
        <c:manualLayout>
          <c:layoutTarget val="inner"/>
          <c:xMode val="edge"/>
          <c:yMode val="edge"/>
          <c:x val="8.5483814523184598E-2"/>
          <c:y val="5.1342592592592606E-2"/>
          <c:w val="0.87129396325459318"/>
          <c:h val="0.860354695246427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'Other energies'!$Z$20</c:f>
              <c:strCache>
                <c:ptCount val="1"/>
                <c:pt idx="0">
                  <c:v>Measured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'Other energies'!$X$21:$X$29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</c:numCache>
            </c:numRef>
          </c:xVal>
          <c:yVal>
            <c:numRef>
              <c:f>'Other energies'!$Z$21:$Z$29</c:f>
              <c:numCache>
                <c:formatCode>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4C-475F-9359-96F2ACC4A1EF}"/>
            </c:ext>
          </c:extLst>
        </c:ser>
        <c:ser>
          <c:idx val="1"/>
          <c:order val="1"/>
          <c:tx>
            <c:strRef>
              <c:f>'Other energies'!$Y$20</c:f>
              <c:strCache>
                <c:ptCount val="1"/>
                <c:pt idx="0">
                  <c:v>TPS</c:v>
                </c:pt>
              </c:strCache>
            </c:strRef>
          </c:tx>
          <c:spPr>
            <a:ln w="254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'Other energies'!$X$21:$X$29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</c:numCache>
            </c:numRef>
          </c:xVal>
          <c:yVal>
            <c:numRef>
              <c:f>'Other energies'!$Y$21:$Y$29</c:f>
              <c:numCache>
                <c:formatCode>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4C-475F-9359-96F2ACC4A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976336"/>
        <c:axId val="555983224"/>
      </c:scatterChart>
      <c:valAx>
        <c:axId val="555976336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555983224"/>
        <c:crosses val="autoZero"/>
        <c:crossBetween val="midCat"/>
      </c:valAx>
      <c:valAx>
        <c:axId val="55598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55597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224556334127958"/>
          <c:y val="0.28701129750085586"/>
          <c:w val="0.19696150481189847"/>
          <c:h val="0.142940361621463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3.xm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17</xdr:row>
      <xdr:rowOff>47624</xdr:rowOff>
    </xdr:from>
    <xdr:to>
      <xdr:col>9</xdr:col>
      <xdr:colOff>228600</xdr:colOff>
      <xdr:row>33</xdr:row>
      <xdr:rowOff>159009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D1647FF-084D-4AA1-B291-154A0CC8D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4825" y="3495674"/>
          <a:ext cx="6267450" cy="3159385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209826</xdr:colOff>
      <xdr:row>52</xdr:row>
      <xdr:rowOff>132683</xdr:rowOff>
    </xdr:from>
    <xdr:to>
      <xdr:col>15</xdr:col>
      <xdr:colOff>662608</xdr:colOff>
      <xdr:row>60</xdr:row>
      <xdr:rowOff>44174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B24AF071-83DA-41F6-AF19-B96E9D94D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218621</xdr:colOff>
      <xdr:row>40</xdr:row>
      <xdr:rowOff>11043</xdr:rowOff>
    </xdr:from>
    <xdr:to>
      <xdr:col>15</xdr:col>
      <xdr:colOff>651565</xdr:colOff>
      <xdr:row>51</xdr:row>
      <xdr:rowOff>77304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28EA8CFD-FDE4-4A8E-B0C5-A8EA01F0CC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25</xdr:col>
      <xdr:colOff>50800</xdr:colOff>
      <xdr:row>45</xdr:row>
      <xdr:rowOff>167640</xdr:rowOff>
    </xdr:from>
    <xdr:to>
      <xdr:col>29</xdr:col>
      <xdr:colOff>626317</xdr:colOff>
      <xdr:row>48</xdr:row>
      <xdr:rowOff>17330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30E3D6B-ACF5-C249-9471-C9CB956168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569762" y="9249338"/>
          <a:ext cx="3259292" cy="424783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7</xdr:col>
      <xdr:colOff>666372</xdr:colOff>
      <xdr:row>6</xdr:row>
      <xdr:rowOff>167899</xdr:rowOff>
    </xdr:from>
    <xdr:to>
      <xdr:col>10</xdr:col>
      <xdr:colOff>589875</xdr:colOff>
      <xdr:row>16</xdr:row>
      <xdr:rowOff>182203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2F6EAE4-509D-1E47-896F-963E1C36A7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7312224" y="1452331"/>
          <a:ext cx="3697424" cy="2034757"/>
        </a:xfrm>
        <a:prstGeom prst="rect">
          <a:avLst/>
        </a:prstGeom>
      </xdr:spPr>
    </xdr:pic>
    <xdr:clientData/>
  </xdr:twoCellAnchor>
  <xdr:twoCellAnchor editAs="oneCell">
    <xdr:from>
      <xdr:col>8</xdr:col>
      <xdr:colOff>1154561</xdr:colOff>
      <xdr:row>8</xdr:row>
      <xdr:rowOff>156974</xdr:rowOff>
    </xdr:from>
    <xdr:to>
      <xdr:col>9</xdr:col>
      <xdr:colOff>735755</xdr:colOff>
      <xdr:row>21</xdr:row>
      <xdr:rowOff>141612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8EE1D2E-49FA-F147-9BA0-393C31DC770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/>
        <a:srcRect r="44939"/>
        <a:stretch/>
      </xdr:blipFill>
      <xdr:spPr>
        <a:xfrm rot="5400000" flipV="1">
          <a:off x="7981135" y="2768809"/>
          <a:ext cx="2611228" cy="764603"/>
        </a:xfrm>
        <a:prstGeom prst="rect">
          <a:avLst/>
        </a:prstGeom>
      </xdr:spPr>
    </xdr:pic>
    <xdr:clientData/>
  </xdr:twoCellAnchor>
  <xdr:twoCellAnchor>
    <xdr:from>
      <xdr:col>17</xdr:col>
      <xdr:colOff>38100</xdr:colOff>
      <xdr:row>61</xdr:row>
      <xdr:rowOff>114300</xdr:rowOff>
    </xdr:from>
    <xdr:to>
      <xdr:col>24</xdr:col>
      <xdr:colOff>406400</xdr:colOff>
      <xdr:row>89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43CCB65-8B83-8A4A-BEA9-642664FA87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1037258</xdr:colOff>
      <xdr:row>28</xdr:row>
      <xdr:rowOff>122523</xdr:rowOff>
    </xdr:from>
    <xdr:to>
      <xdr:col>17</xdr:col>
      <xdr:colOff>154987</xdr:colOff>
      <xdr:row>39</xdr:row>
      <xdr:rowOff>161002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79C1CAF6-6294-42D8-93A4-BB61137DDB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8795</xdr:colOff>
      <xdr:row>15</xdr:row>
      <xdr:rowOff>38100</xdr:rowOff>
    </xdr:from>
    <xdr:to>
      <xdr:col>17</xdr:col>
      <xdr:colOff>219130</xdr:colOff>
      <xdr:row>28</xdr:row>
      <xdr:rowOff>17607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6873BE69-DDC1-42ED-BA84-3129694F8C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1027733</xdr:colOff>
      <xdr:row>40</xdr:row>
      <xdr:rowOff>27605</xdr:rowOff>
    </xdr:from>
    <xdr:to>
      <xdr:col>17</xdr:col>
      <xdr:colOff>69262</xdr:colOff>
      <xdr:row>52</xdr:row>
      <xdr:rowOff>8224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4D4B73C2-6AB0-4849-826C-B9D3BE319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</xdr:colOff>
      <xdr:row>52</xdr:row>
      <xdr:rowOff>55991</xdr:rowOff>
    </xdr:from>
    <xdr:to>
      <xdr:col>17</xdr:col>
      <xdr:colOff>165100</xdr:colOff>
      <xdr:row>65</xdr:row>
      <xdr:rowOff>179246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BBA80C02-FCBD-467E-8283-35D42CF8D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16662</xdr:colOff>
      <xdr:row>66</xdr:row>
      <xdr:rowOff>27415</xdr:rowOff>
    </xdr:from>
    <xdr:to>
      <xdr:col>17</xdr:col>
      <xdr:colOff>132147</xdr:colOff>
      <xdr:row>79</xdr:row>
      <xdr:rowOff>156320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64604493-8570-4C52-BD8A-A608F9692F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561974</xdr:colOff>
      <xdr:row>30</xdr:row>
      <xdr:rowOff>161925</xdr:rowOff>
    </xdr:from>
    <xdr:to>
      <xdr:col>31</xdr:col>
      <xdr:colOff>276224</xdr:colOff>
      <xdr:row>46</xdr:row>
      <xdr:rowOff>142875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A05C2AE-3292-45BA-BF1F-CA79E1F71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alysis_Prediction_and_Optimal_HD120_18-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.RawMeasurements"/>
      <sheetName val="1.Calc_vs_Meas"/>
      <sheetName val="1.Diffs"/>
      <sheetName val="2.Predict_vs_Calc"/>
      <sheetName val="2.Diffs"/>
      <sheetName val="3.Optimal_Values"/>
      <sheetName val="4.Optimal_vs_Meas"/>
      <sheetName val="4.Diffs"/>
    </sheetNames>
    <sheetDataSet>
      <sheetData sheetId="0"/>
      <sheetData sheetId="1"/>
      <sheetData sheetId="3">
        <row r="27">
          <cell r="D27">
            <v>0</v>
          </cell>
          <cell r="H27">
            <v>0</v>
          </cell>
        </row>
        <row r="28">
          <cell r="D28">
            <v>1</v>
          </cell>
          <cell r="H28">
            <v>0</v>
          </cell>
        </row>
        <row r="29">
          <cell r="D29">
            <v>2</v>
          </cell>
          <cell r="H29">
            <v>0.38701087807813234</v>
          </cell>
        </row>
        <row r="30">
          <cell r="D30">
            <v>3</v>
          </cell>
          <cell r="H30">
            <v>0.77402175615626467</v>
          </cell>
        </row>
        <row r="31">
          <cell r="D31">
            <v>4</v>
          </cell>
          <cell r="H31">
            <v>1.1610326342343968</v>
          </cell>
        </row>
        <row r="32">
          <cell r="D32">
            <v>5</v>
          </cell>
          <cell r="H32">
            <v>1.5480435123125293</v>
          </cell>
        </row>
        <row r="33">
          <cell r="D33">
            <v>6</v>
          </cell>
          <cell r="H33">
            <v>1.9350543903906621</v>
          </cell>
        </row>
        <row r="34">
          <cell r="D34">
            <v>7</v>
          </cell>
          <cell r="H34">
            <v>2.3220652684687937</v>
          </cell>
        </row>
        <row r="35">
          <cell r="D35">
            <v>8</v>
          </cell>
          <cell r="H35">
            <v>2.7090761465469262</v>
          </cell>
        </row>
        <row r="36">
          <cell r="D36">
            <v>9</v>
          </cell>
          <cell r="H36">
            <v>3.0960870246250587</v>
          </cell>
        </row>
        <row r="37">
          <cell r="D37">
            <v>10</v>
          </cell>
          <cell r="H37">
            <v>3.4830979027031912</v>
          </cell>
        </row>
        <row r="38">
          <cell r="D38">
            <v>12</v>
          </cell>
          <cell r="H38">
            <v>4.2571196588594553</v>
          </cell>
        </row>
        <row r="39">
          <cell r="D39">
            <v>14</v>
          </cell>
          <cell r="H39">
            <v>5.0311414150157194</v>
          </cell>
        </row>
        <row r="40">
          <cell r="D40">
            <v>16</v>
          </cell>
          <cell r="H40">
            <v>5.8051631711719853</v>
          </cell>
        </row>
        <row r="41">
          <cell r="D41">
            <v>18</v>
          </cell>
          <cell r="H41">
            <v>6.5791849273282494</v>
          </cell>
        </row>
        <row r="42">
          <cell r="D42">
            <v>20</v>
          </cell>
          <cell r="H42">
            <v>7.3532066834845153</v>
          </cell>
        </row>
        <row r="43">
          <cell r="D43">
            <v>22</v>
          </cell>
          <cell r="H43">
            <v>7.8795414776707737</v>
          </cell>
        </row>
        <row r="44">
          <cell r="D44">
            <v>24</v>
          </cell>
          <cell r="H44">
            <v>7.8795414776707737</v>
          </cell>
        </row>
        <row r="45">
          <cell r="D45">
            <v>26</v>
          </cell>
          <cell r="H45">
            <v>7.8795414776707737</v>
          </cell>
        </row>
        <row r="46">
          <cell r="D46">
            <v>28</v>
          </cell>
          <cell r="H46">
            <v>7.8795414776707737</v>
          </cell>
        </row>
        <row r="47">
          <cell r="D47">
            <v>30</v>
          </cell>
          <cell r="H47">
            <v>7.8795414776707737</v>
          </cell>
        </row>
      </sheetData>
      <sheetData sheetId="5">
        <row r="29">
          <cell r="D29">
            <v>0</v>
          </cell>
          <cell r="H29">
            <v>0</v>
          </cell>
        </row>
        <row r="30">
          <cell r="D30">
            <v>1</v>
          </cell>
          <cell r="H30">
            <v>0.21039327091467544</v>
          </cell>
        </row>
        <row r="31">
          <cell r="D31">
            <v>2</v>
          </cell>
          <cell r="H31">
            <v>0.44182586892081338</v>
          </cell>
        </row>
        <row r="32">
          <cell r="D32">
            <v>3</v>
          </cell>
          <cell r="H32">
            <v>0.68377813047268976</v>
          </cell>
        </row>
        <row r="33">
          <cell r="D33">
            <v>4</v>
          </cell>
          <cell r="H33">
            <v>0.98884837329896447</v>
          </cell>
        </row>
        <row r="34">
          <cell r="D34">
            <v>5</v>
          </cell>
          <cell r="H34">
            <v>1.283398952579508</v>
          </cell>
        </row>
        <row r="35">
          <cell r="D35">
            <v>6</v>
          </cell>
          <cell r="H35">
            <v>1.5989888589515175</v>
          </cell>
        </row>
        <row r="36">
          <cell r="D36">
            <v>7</v>
          </cell>
          <cell r="H36">
            <v>1.9145787653235307</v>
          </cell>
        </row>
        <row r="37">
          <cell r="D37">
            <v>8</v>
          </cell>
          <cell r="H37">
            <v>2.2512079987870064</v>
          </cell>
        </row>
        <row r="38">
          <cell r="D38">
            <v>9</v>
          </cell>
          <cell r="H38">
            <v>2.5773175687047472</v>
          </cell>
        </row>
        <row r="39">
          <cell r="D39">
            <v>10</v>
          </cell>
          <cell r="H39">
            <v>2.8823878115310291</v>
          </cell>
        </row>
        <row r="40">
          <cell r="D40">
            <v>12</v>
          </cell>
          <cell r="H40">
            <v>3.524087287820783</v>
          </cell>
        </row>
        <row r="41">
          <cell r="D41">
            <v>14</v>
          </cell>
          <cell r="H41">
            <v>4.1868260912020032</v>
          </cell>
        </row>
        <row r="42">
          <cell r="D42">
            <v>16</v>
          </cell>
          <cell r="H42">
            <v>4.8390452310374883</v>
          </cell>
        </row>
        <row r="43">
          <cell r="D43">
            <v>18</v>
          </cell>
          <cell r="H43">
            <v>5.4807447073272426</v>
          </cell>
        </row>
        <row r="44">
          <cell r="D44">
            <v>20</v>
          </cell>
          <cell r="H44">
            <v>6.1119245200712653</v>
          </cell>
        </row>
      </sheetData>
      <sheetData sheetId="6">
        <row r="24">
          <cell r="D24">
            <v>0</v>
          </cell>
          <cell r="H24">
            <v>0</v>
          </cell>
        </row>
        <row r="25">
          <cell r="D25">
            <v>1</v>
          </cell>
          <cell r="H25">
            <v>0</v>
          </cell>
        </row>
        <row r="26">
          <cell r="D26">
            <v>2</v>
          </cell>
          <cell r="H26">
            <v>0.30220963256384042</v>
          </cell>
        </row>
        <row r="27">
          <cell r="D27">
            <v>3</v>
          </cell>
          <cell r="H27">
            <v>0.62579694397061891</v>
          </cell>
        </row>
        <row r="28">
          <cell r="D28">
            <v>4</v>
          </cell>
          <cell r="H28">
            <v>0.94938425537739746</v>
          </cell>
        </row>
        <row r="29">
          <cell r="D29">
            <v>5</v>
          </cell>
          <cell r="H29">
            <v>1.2729715667841761</v>
          </cell>
        </row>
        <row r="30">
          <cell r="D30">
            <v>6</v>
          </cell>
          <cell r="H30">
            <v>1.5965588781909545</v>
          </cell>
        </row>
        <row r="31">
          <cell r="D31">
            <v>7</v>
          </cell>
          <cell r="H31">
            <v>1.920146189597733</v>
          </cell>
        </row>
        <row r="32">
          <cell r="D32">
            <v>8</v>
          </cell>
          <cell r="H32">
            <v>2.2437335010045114</v>
          </cell>
        </row>
        <row r="33">
          <cell r="D33">
            <v>9</v>
          </cell>
          <cell r="H33">
            <v>2.5673208124112898</v>
          </cell>
        </row>
        <row r="34">
          <cell r="D34">
            <v>10</v>
          </cell>
          <cell r="H34">
            <v>2.8909081238180683</v>
          </cell>
        </row>
        <row r="35">
          <cell r="D35">
            <v>12</v>
          </cell>
          <cell r="H35">
            <v>3.5380827466316256</v>
          </cell>
        </row>
        <row r="36">
          <cell r="D36">
            <v>14</v>
          </cell>
          <cell r="H36">
            <v>4.185257369445182</v>
          </cell>
        </row>
        <row r="37">
          <cell r="D37">
            <v>16</v>
          </cell>
          <cell r="H37">
            <v>4.8324319922587398</v>
          </cell>
        </row>
        <row r="38">
          <cell r="D38">
            <v>18</v>
          </cell>
          <cell r="H38">
            <v>5.4796066150722957</v>
          </cell>
        </row>
        <row r="39">
          <cell r="D39">
            <v>20</v>
          </cell>
          <cell r="H39">
            <v>6.1267812378858526</v>
          </cell>
        </row>
        <row r="40">
          <cell r="D40">
            <v>22</v>
          </cell>
          <cell r="H40">
            <v>6.5409624802977051</v>
          </cell>
        </row>
        <row r="41">
          <cell r="D41">
            <v>24</v>
          </cell>
          <cell r="H41">
            <v>6.5409624802977051</v>
          </cell>
        </row>
        <row r="42">
          <cell r="D42">
            <v>26</v>
          </cell>
          <cell r="H42">
            <v>6.5409624802977051</v>
          </cell>
        </row>
        <row r="43">
          <cell r="D43">
            <v>28</v>
          </cell>
          <cell r="H43">
            <v>6.5409624802977051</v>
          </cell>
        </row>
        <row r="44">
          <cell r="D44">
            <v>30</v>
          </cell>
          <cell r="H44">
            <v>6.5409624802977051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iopscience.iop.org/article/10.1088/1361-6560/ab8cd5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FEADD-33FC-4D39-9A2D-1217A71FC804}">
  <dimension ref="B3:H36"/>
  <sheetViews>
    <sheetView workbookViewId="0">
      <selection activeCell="J14" sqref="J14"/>
    </sheetView>
  </sheetViews>
  <sheetFormatPr baseColWidth="10" defaultRowHeight="15" x14ac:dyDescent="0.2"/>
  <cols>
    <col min="1" max="1" width="6.6640625" customWidth="1"/>
  </cols>
  <sheetData>
    <row r="3" spans="2:8" ht="16" x14ac:dyDescent="0.2">
      <c r="B3" s="15" t="s">
        <v>12</v>
      </c>
      <c r="C3" s="14"/>
      <c r="D3" s="14"/>
      <c r="E3" s="14"/>
      <c r="F3" s="14"/>
      <c r="G3" s="14"/>
    </row>
    <row r="4" spans="2:8" ht="16" x14ac:dyDescent="0.2">
      <c r="B4" s="16" t="s">
        <v>13</v>
      </c>
      <c r="C4" s="14"/>
      <c r="D4" s="14"/>
      <c r="E4" s="14"/>
      <c r="F4" s="14"/>
      <c r="G4" s="14"/>
    </row>
    <row r="5" spans="2:8" x14ac:dyDescent="0.2">
      <c r="B5" s="14" t="s">
        <v>21</v>
      </c>
      <c r="C5" s="14"/>
      <c r="D5" s="14"/>
      <c r="E5" s="14"/>
      <c r="F5" s="14"/>
      <c r="G5" s="14"/>
    </row>
    <row r="6" spans="2:8" x14ac:dyDescent="0.2">
      <c r="B6" s="14"/>
      <c r="C6" s="14"/>
      <c r="D6" s="14"/>
      <c r="E6" s="14"/>
      <c r="F6" s="14"/>
      <c r="G6" s="14"/>
    </row>
    <row r="7" spans="2:8" x14ac:dyDescent="0.2">
      <c r="B7" s="111" t="s">
        <v>14</v>
      </c>
      <c r="C7" s="112"/>
      <c r="D7" s="112"/>
      <c r="E7" s="112"/>
      <c r="F7" s="112"/>
      <c r="G7" s="112"/>
      <c r="H7" s="113"/>
    </row>
    <row r="8" spans="2:8" x14ac:dyDescent="0.2">
      <c r="B8" s="24" t="s">
        <v>20</v>
      </c>
      <c r="C8" s="25"/>
      <c r="D8" s="25"/>
      <c r="E8" s="25"/>
      <c r="F8" s="25"/>
      <c r="G8" s="25"/>
      <c r="H8" s="26"/>
    </row>
    <row r="9" spans="2:8" x14ac:dyDescent="0.2">
      <c r="B9" s="114" t="s">
        <v>61</v>
      </c>
      <c r="C9" s="115"/>
      <c r="D9" s="115"/>
      <c r="E9" s="115"/>
      <c r="F9" s="115"/>
      <c r="G9" s="115"/>
      <c r="H9" s="19"/>
    </row>
    <row r="10" spans="2:8" x14ac:dyDescent="0.2">
      <c r="B10" s="114" t="s">
        <v>41</v>
      </c>
      <c r="C10" s="115"/>
      <c r="D10" s="115"/>
      <c r="E10" s="115"/>
      <c r="F10" s="115"/>
      <c r="G10" s="115"/>
      <c r="H10" s="19"/>
    </row>
    <row r="11" spans="2:8" x14ac:dyDescent="0.2">
      <c r="B11" s="114" t="s">
        <v>42</v>
      </c>
      <c r="C11" s="115"/>
      <c r="D11" s="115"/>
      <c r="E11" s="115"/>
      <c r="F11" s="115"/>
      <c r="G11" s="115"/>
      <c r="H11" s="19"/>
    </row>
    <row r="12" spans="2:8" ht="15" customHeight="1" x14ac:dyDescent="0.2">
      <c r="B12" s="116" t="s">
        <v>26</v>
      </c>
      <c r="C12" s="117"/>
      <c r="D12" s="117"/>
      <c r="E12" s="117"/>
      <c r="F12" s="117"/>
      <c r="G12" s="117"/>
      <c r="H12" s="19"/>
    </row>
    <row r="13" spans="2:8" x14ac:dyDescent="0.2">
      <c r="B13" s="116"/>
      <c r="C13" s="117"/>
      <c r="D13" s="117"/>
      <c r="E13" s="117"/>
      <c r="F13" s="117"/>
      <c r="G13" s="117"/>
      <c r="H13" s="19"/>
    </row>
    <row r="14" spans="2:8" x14ac:dyDescent="0.2">
      <c r="B14" s="27" t="s">
        <v>19</v>
      </c>
      <c r="C14" s="28" t="s">
        <v>16</v>
      </c>
      <c r="D14" s="29" t="s">
        <v>15</v>
      </c>
      <c r="E14" s="28"/>
      <c r="F14" s="30"/>
      <c r="G14" s="30"/>
      <c r="H14" s="19"/>
    </row>
    <row r="15" spans="2:8" x14ac:dyDescent="0.2">
      <c r="B15" s="31"/>
      <c r="C15" s="32" t="s">
        <v>17</v>
      </c>
      <c r="D15" s="33" t="s">
        <v>18</v>
      </c>
      <c r="E15" s="32"/>
      <c r="F15" s="34"/>
      <c r="G15" s="34"/>
      <c r="H15" s="21"/>
    </row>
    <row r="36" spans="2:5" x14ac:dyDescent="0.2">
      <c r="B36" s="2"/>
      <c r="C36" s="2"/>
      <c r="D36" s="2"/>
      <c r="E36" s="2"/>
    </row>
  </sheetData>
  <mergeCells count="5">
    <mergeCell ref="B7:H7"/>
    <mergeCell ref="B9:G9"/>
    <mergeCell ref="B10:G10"/>
    <mergeCell ref="B11:G11"/>
    <mergeCell ref="B12:G13"/>
  </mergeCells>
  <hyperlinks>
    <hyperlink ref="B4" r:id="rId1" xr:uid="{A60205AC-339D-4417-8A28-022889D07C05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F38B-9F5F-4DBC-A60A-ADCE43EEE3DB}">
  <dimension ref="B1:AD87"/>
  <sheetViews>
    <sheetView tabSelected="1" topLeftCell="A34" zoomScale="117" workbookViewId="0">
      <selection activeCell="F28" sqref="F28"/>
    </sheetView>
  </sheetViews>
  <sheetFormatPr baseColWidth="10" defaultColWidth="8.83203125" defaultRowHeight="15" x14ac:dyDescent="0.2"/>
  <cols>
    <col min="1" max="1" width="6.1640625" customWidth="1"/>
    <col min="2" max="2" width="16.33203125" customWidth="1"/>
    <col min="3" max="5" width="11.33203125" customWidth="1"/>
    <col min="6" max="6" width="13.6640625" customWidth="1"/>
    <col min="7" max="7" width="17" customWidth="1"/>
    <col min="8" max="8" width="14.5" bestFit="1" customWidth="1"/>
    <col min="9" max="9" width="15.5" customWidth="1"/>
    <col min="10" max="10" width="19.5" customWidth="1"/>
    <col min="12" max="12" width="16.1640625" customWidth="1"/>
    <col min="13" max="13" width="19.1640625" customWidth="1"/>
    <col min="18" max="19" width="13" customWidth="1"/>
    <col min="20" max="20" width="12.33203125" customWidth="1"/>
    <col min="21" max="21" width="7.1640625" customWidth="1"/>
    <col min="22" max="22" width="19" bestFit="1" customWidth="1"/>
    <col min="25" max="25" width="5.83203125" customWidth="1"/>
  </cols>
  <sheetData>
    <row r="1" spans="2:11" ht="16" thickBot="1" x14ac:dyDescent="0.25"/>
    <row r="2" spans="2:11" ht="25" thickBot="1" x14ac:dyDescent="0.35">
      <c r="B2" s="157" t="s">
        <v>90</v>
      </c>
      <c r="C2" s="158"/>
      <c r="D2" s="158"/>
      <c r="E2" s="158"/>
      <c r="F2" s="158"/>
      <c r="G2" s="158"/>
      <c r="H2" s="158"/>
      <c r="I2" s="158"/>
      <c r="J2" s="158"/>
      <c r="K2" s="159"/>
    </row>
    <row r="4" spans="2:11" ht="16" x14ac:dyDescent="0.2">
      <c r="B4" s="161" t="s">
        <v>81</v>
      </c>
      <c r="C4" s="150"/>
      <c r="D4" s="150"/>
      <c r="E4" s="150"/>
      <c r="F4" s="150"/>
      <c r="G4" s="150"/>
      <c r="H4" s="150"/>
      <c r="I4" s="150"/>
      <c r="J4" s="162"/>
      <c r="K4" s="151"/>
    </row>
    <row r="5" spans="2:11" ht="16" x14ac:dyDescent="0.2">
      <c r="B5" s="163" t="s">
        <v>88</v>
      </c>
      <c r="C5" s="30"/>
      <c r="D5" s="30"/>
      <c r="E5" s="30"/>
      <c r="F5" s="30"/>
      <c r="G5" s="30"/>
      <c r="H5" s="30"/>
      <c r="I5" s="30"/>
      <c r="J5" s="155"/>
      <c r="K5" s="19"/>
    </row>
    <row r="6" spans="2:11" ht="16" x14ac:dyDescent="0.2">
      <c r="B6" s="163" t="s">
        <v>94</v>
      </c>
      <c r="C6" s="30"/>
      <c r="D6" s="30"/>
      <c r="E6" s="30"/>
      <c r="F6" s="30"/>
      <c r="G6" s="30"/>
      <c r="H6" s="30"/>
      <c r="I6" s="30"/>
      <c r="J6" s="155"/>
      <c r="K6" s="19"/>
    </row>
    <row r="7" spans="2:11" ht="16" x14ac:dyDescent="0.2">
      <c r="B7" s="163" t="s">
        <v>95</v>
      </c>
      <c r="C7" s="30"/>
      <c r="D7" s="30"/>
      <c r="E7" s="30"/>
      <c r="F7" s="30"/>
      <c r="G7" s="30"/>
      <c r="H7" s="30"/>
      <c r="I7" s="30"/>
      <c r="J7" s="156"/>
      <c r="K7" s="19"/>
    </row>
    <row r="8" spans="2:11" ht="16" x14ac:dyDescent="0.2">
      <c r="B8" s="164"/>
      <c r="C8" s="149" t="s">
        <v>96</v>
      </c>
      <c r="D8" s="150"/>
      <c r="E8" s="150"/>
      <c r="F8" s="150"/>
      <c r="G8" s="151"/>
      <c r="H8" s="30"/>
      <c r="I8" s="30"/>
      <c r="J8" s="156"/>
      <c r="K8" s="19"/>
    </row>
    <row r="9" spans="2:11" ht="16" x14ac:dyDescent="0.2">
      <c r="B9" s="164"/>
      <c r="C9" s="152" t="s">
        <v>77</v>
      </c>
      <c r="D9" s="30"/>
      <c r="E9" s="30"/>
      <c r="F9" s="30"/>
      <c r="G9" s="19"/>
      <c r="H9" s="30"/>
      <c r="I9" s="30"/>
      <c r="J9" s="156"/>
      <c r="K9" s="19"/>
    </row>
    <row r="10" spans="2:11" ht="16" x14ac:dyDescent="0.2">
      <c r="B10" s="164"/>
      <c r="C10" s="152" t="s">
        <v>78</v>
      </c>
      <c r="D10" s="30"/>
      <c r="E10" s="30"/>
      <c r="F10" s="30"/>
      <c r="G10" s="19"/>
      <c r="H10" s="30"/>
      <c r="I10" s="30"/>
      <c r="J10" s="156"/>
      <c r="K10" s="19"/>
    </row>
    <row r="11" spans="2:11" ht="16" x14ac:dyDescent="0.2">
      <c r="B11" s="164"/>
      <c r="C11" s="152" t="s">
        <v>79</v>
      </c>
      <c r="D11" s="30"/>
      <c r="E11" s="30"/>
      <c r="F11" s="30"/>
      <c r="G11" s="19"/>
      <c r="H11" s="30"/>
      <c r="I11" s="30"/>
      <c r="J11" s="156"/>
      <c r="K11" s="19"/>
    </row>
    <row r="12" spans="2:11" ht="16" x14ac:dyDescent="0.2">
      <c r="B12" s="164"/>
      <c r="C12" s="153" t="s">
        <v>82</v>
      </c>
      <c r="D12" s="30"/>
      <c r="E12" s="30"/>
      <c r="F12" s="30"/>
      <c r="G12" s="19"/>
      <c r="H12" s="30"/>
      <c r="I12" s="30"/>
      <c r="J12" s="156"/>
      <c r="K12" s="19"/>
    </row>
    <row r="13" spans="2:11" ht="16" x14ac:dyDescent="0.2">
      <c r="B13" s="164"/>
      <c r="C13" s="153" t="s">
        <v>83</v>
      </c>
      <c r="D13" s="30"/>
      <c r="E13" s="30"/>
      <c r="F13" s="30"/>
      <c r="G13" s="19"/>
      <c r="H13" s="30"/>
      <c r="I13" s="30"/>
      <c r="J13" s="156"/>
      <c r="K13" s="19"/>
    </row>
    <row r="14" spans="2:11" ht="16" x14ac:dyDescent="0.2">
      <c r="B14" s="164"/>
      <c r="C14" s="153" t="s">
        <v>84</v>
      </c>
      <c r="D14" s="30"/>
      <c r="E14" s="30"/>
      <c r="F14" s="30"/>
      <c r="G14" s="19"/>
      <c r="H14" s="30"/>
      <c r="I14" s="30"/>
      <c r="J14" s="156"/>
      <c r="K14" s="19"/>
    </row>
    <row r="15" spans="2:11" ht="16" x14ac:dyDescent="0.2">
      <c r="B15" s="164"/>
      <c r="C15" s="154" t="s">
        <v>85</v>
      </c>
      <c r="D15" s="34"/>
      <c r="E15" s="34"/>
      <c r="F15" s="34"/>
      <c r="G15" s="21"/>
      <c r="H15" s="30"/>
      <c r="I15" s="30"/>
      <c r="J15" s="156"/>
      <c r="K15" s="19"/>
    </row>
    <row r="16" spans="2:11" ht="16" x14ac:dyDescent="0.2">
      <c r="B16" s="163" t="s">
        <v>89</v>
      </c>
      <c r="C16" s="30"/>
      <c r="D16" s="30"/>
      <c r="E16" s="30"/>
      <c r="F16" s="30"/>
      <c r="G16" s="30"/>
      <c r="H16" s="30"/>
      <c r="I16" s="30"/>
      <c r="J16" s="156"/>
      <c r="K16" s="19"/>
    </row>
    <row r="17" spans="2:11" ht="16" x14ac:dyDescent="0.2">
      <c r="B17" s="163" t="s">
        <v>97</v>
      </c>
      <c r="C17" s="30"/>
      <c r="D17" s="30"/>
      <c r="E17" s="30"/>
      <c r="F17" s="30"/>
      <c r="G17" s="30"/>
      <c r="H17" s="30"/>
      <c r="I17" s="30"/>
      <c r="J17" s="156"/>
      <c r="K17" s="19"/>
    </row>
    <row r="18" spans="2:11" ht="16" x14ac:dyDescent="0.2">
      <c r="B18" s="163" t="s">
        <v>99</v>
      </c>
      <c r="C18" s="30"/>
      <c r="D18" s="30"/>
      <c r="E18" s="30"/>
      <c r="F18" s="30"/>
      <c r="G18" s="30"/>
      <c r="H18" s="30"/>
      <c r="I18" s="30" t="s">
        <v>80</v>
      </c>
      <c r="J18" s="156"/>
      <c r="K18" s="19"/>
    </row>
    <row r="19" spans="2:11" ht="16" x14ac:dyDescent="0.2">
      <c r="B19" s="163"/>
      <c r="C19" s="160" t="s">
        <v>91</v>
      </c>
      <c r="D19" s="30"/>
      <c r="E19" s="30"/>
      <c r="F19" s="30"/>
      <c r="G19" s="30"/>
      <c r="H19" s="30"/>
      <c r="I19" s="30"/>
      <c r="J19" s="156"/>
      <c r="K19" s="19"/>
    </row>
    <row r="20" spans="2:11" ht="16" x14ac:dyDescent="0.2">
      <c r="B20" s="163"/>
      <c r="C20" s="160" t="s">
        <v>98</v>
      </c>
      <c r="D20" s="30"/>
      <c r="E20" s="30"/>
      <c r="F20" s="30"/>
      <c r="G20" s="30"/>
      <c r="H20" s="30"/>
      <c r="I20" s="30"/>
      <c r="J20" s="156"/>
      <c r="K20" s="19"/>
    </row>
    <row r="21" spans="2:11" ht="16" x14ac:dyDescent="0.2">
      <c r="B21" s="163"/>
      <c r="C21" s="160" t="s">
        <v>92</v>
      </c>
      <c r="D21" s="30"/>
      <c r="E21" s="30"/>
      <c r="F21" s="30"/>
      <c r="G21" s="30"/>
      <c r="H21" s="30"/>
      <c r="I21" s="30"/>
      <c r="J21" s="156"/>
      <c r="K21" s="19"/>
    </row>
    <row r="22" spans="2:11" ht="16" x14ac:dyDescent="0.2">
      <c r="B22" s="163" t="s">
        <v>100</v>
      </c>
      <c r="C22" s="30"/>
      <c r="D22" s="30"/>
      <c r="E22" s="30"/>
      <c r="F22" s="30"/>
      <c r="G22" s="30"/>
      <c r="H22" s="30"/>
      <c r="I22" s="30"/>
      <c r="J22" s="156"/>
      <c r="K22" s="19"/>
    </row>
    <row r="23" spans="2:11" ht="16" x14ac:dyDescent="0.2">
      <c r="B23" s="163"/>
      <c r="C23" s="160" t="s">
        <v>93</v>
      </c>
      <c r="D23" s="30"/>
      <c r="E23" s="30"/>
      <c r="F23" s="30"/>
      <c r="G23" s="30"/>
      <c r="H23" s="30"/>
      <c r="I23" s="30"/>
      <c r="J23" s="30"/>
      <c r="K23" s="19"/>
    </row>
    <row r="24" spans="2:11" ht="16" x14ac:dyDescent="0.2">
      <c r="B24" s="163"/>
      <c r="C24" s="160" t="s">
        <v>98</v>
      </c>
      <c r="D24" s="30"/>
      <c r="E24" s="30"/>
      <c r="F24" s="30"/>
      <c r="G24" s="30"/>
      <c r="H24" s="30"/>
      <c r="I24" s="30"/>
      <c r="J24" s="30"/>
      <c r="K24" s="19"/>
    </row>
    <row r="25" spans="2:11" ht="16" x14ac:dyDescent="0.2">
      <c r="B25" s="163"/>
      <c r="C25" s="160" t="s">
        <v>92</v>
      </c>
      <c r="D25" s="30"/>
      <c r="E25" s="30"/>
      <c r="F25" s="30"/>
      <c r="G25" s="30"/>
      <c r="H25" s="30"/>
      <c r="I25" s="30"/>
      <c r="J25" s="30"/>
      <c r="K25" s="19"/>
    </row>
    <row r="26" spans="2:11" x14ac:dyDescent="0.2">
      <c r="B26" s="165"/>
      <c r="C26" s="34"/>
      <c r="D26" s="34"/>
      <c r="E26" s="34"/>
      <c r="F26" s="34"/>
      <c r="G26" s="34"/>
      <c r="H26" s="34"/>
      <c r="I26" s="34"/>
      <c r="J26" s="34"/>
      <c r="K26" s="21"/>
    </row>
    <row r="30" spans="2:11" x14ac:dyDescent="0.2">
      <c r="B30" s="79" t="s">
        <v>23</v>
      </c>
      <c r="C30" s="122"/>
      <c r="D30" s="123"/>
    </row>
    <row r="31" spans="2:11" x14ac:dyDescent="0.2">
      <c r="B31" s="79" t="s">
        <v>29</v>
      </c>
      <c r="C31" s="124"/>
      <c r="D31" s="125"/>
    </row>
    <row r="32" spans="2:11" x14ac:dyDescent="0.2">
      <c r="B32" s="79" t="s">
        <v>24</v>
      </c>
      <c r="C32" s="124"/>
      <c r="D32" s="125"/>
    </row>
    <row r="33" spans="2:30" x14ac:dyDescent="0.2">
      <c r="B33" s="79" t="s">
        <v>25</v>
      </c>
      <c r="C33" s="124" t="s">
        <v>62</v>
      </c>
      <c r="D33" s="125"/>
      <c r="F33" t="s">
        <v>40</v>
      </c>
      <c r="I33" s="120" t="s">
        <v>86</v>
      </c>
      <c r="J33" s="121"/>
      <c r="L33" s="118" t="s">
        <v>87</v>
      </c>
      <c r="M33" s="119"/>
    </row>
    <row r="34" spans="2:30" x14ac:dyDescent="0.2">
      <c r="B34" s="79" t="s">
        <v>58</v>
      </c>
      <c r="C34" s="124">
        <v>6</v>
      </c>
      <c r="D34" s="125"/>
      <c r="F34" s="17" t="s">
        <v>30</v>
      </c>
      <c r="G34" s="52"/>
      <c r="I34" s="17" t="s">
        <v>30</v>
      </c>
      <c r="J34" s="93">
        <f>AVERAGE(G50:G51)/G45</f>
        <v>1.0249999999999999E-2</v>
      </c>
      <c r="L34" s="17" t="s">
        <v>30</v>
      </c>
      <c r="M34" s="107">
        <f>AVERAGE(E50:E51)/E45</f>
        <v>1.0249999999999999E-2</v>
      </c>
    </row>
    <row r="35" spans="2:30" x14ac:dyDescent="0.2">
      <c r="B35" s="79" t="s">
        <v>59</v>
      </c>
      <c r="C35" s="124"/>
      <c r="D35" s="125"/>
      <c r="F35" s="18" t="s">
        <v>69</v>
      </c>
      <c r="G35" s="53"/>
      <c r="I35" s="18" t="s">
        <v>69</v>
      </c>
      <c r="J35" s="101">
        <f>X47</f>
        <v>0.10283768381737099</v>
      </c>
      <c r="L35" s="18" t="s">
        <v>69</v>
      </c>
      <c r="M35" s="108">
        <f>W47</f>
        <v>0.10283768381737099</v>
      </c>
    </row>
    <row r="36" spans="2:30" x14ac:dyDescent="0.2">
      <c r="B36" s="79" t="s">
        <v>52</v>
      </c>
      <c r="C36" s="126">
        <v>2.5</v>
      </c>
      <c r="D36" s="127"/>
      <c r="F36" s="18" t="s">
        <v>70</v>
      </c>
      <c r="G36" s="53"/>
      <c r="I36" s="18" t="s">
        <v>70</v>
      </c>
      <c r="J36" s="101">
        <f>X48</f>
        <v>4.2286707883822564E-2</v>
      </c>
      <c r="L36" s="18" t="s">
        <v>70</v>
      </c>
      <c r="M36" s="108">
        <f>W48</f>
        <v>4.2286707883822564E-2</v>
      </c>
    </row>
    <row r="37" spans="2:30" x14ac:dyDescent="0.2">
      <c r="F37" s="18" t="s">
        <v>71</v>
      </c>
      <c r="G37" s="53"/>
      <c r="I37" s="18" t="s">
        <v>71</v>
      </c>
      <c r="J37" s="101">
        <f>X50</f>
        <v>1.925541612017306E-2</v>
      </c>
      <c r="L37" s="18" t="s">
        <v>71</v>
      </c>
      <c r="M37" s="108">
        <f>W50</f>
        <v>1.925541612017306E-2</v>
      </c>
    </row>
    <row r="38" spans="2:30" x14ac:dyDescent="0.2">
      <c r="B38" s="78" t="s">
        <v>38</v>
      </c>
      <c r="C38" s="122"/>
      <c r="D38" s="123"/>
      <c r="F38" s="18" t="s">
        <v>72</v>
      </c>
      <c r="G38" s="53"/>
      <c r="I38" s="18" t="s">
        <v>72</v>
      </c>
      <c r="J38" s="99">
        <v>0</v>
      </c>
      <c r="L38" s="18" t="s">
        <v>72</v>
      </c>
      <c r="M38" s="109">
        <v>0</v>
      </c>
    </row>
    <row r="39" spans="2:30" x14ac:dyDescent="0.2">
      <c r="B39" s="78" t="s">
        <v>39</v>
      </c>
      <c r="C39" s="126"/>
      <c r="D39" s="127"/>
      <c r="F39" s="20" t="s">
        <v>73</v>
      </c>
      <c r="G39" s="54"/>
      <c r="I39" s="20" t="s">
        <v>73</v>
      </c>
      <c r="J39" s="100">
        <v>0</v>
      </c>
      <c r="L39" s="20" t="s">
        <v>73</v>
      </c>
      <c r="M39" s="110">
        <v>0</v>
      </c>
    </row>
    <row r="40" spans="2:30" ht="16" thickBot="1" x14ac:dyDescent="0.25"/>
    <row r="41" spans="2:30" ht="16" thickBot="1" x14ac:dyDescent="0.25">
      <c r="R41" s="134" t="s">
        <v>67</v>
      </c>
      <c r="S41" s="135"/>
      <c r="T41" s="136"/>
      <c r="V41" s="134" t="s">
        <v>68</v>
      </c>
      <c r="W41" s="135"/>
      <c r="X41" s="136"/>
    </row>
    <row r="43" spans="2:30" x14ac:dyDescent="0.2">
      <c r="B43" s="128" t="s">
        <v>47</v>
      </c>
      <c r="C43" s="129"/>
      <c r="D43" s="129"/>
      <c r="E43" s="130"/>
      <c r="G43" s="138" t="s">
        <v>47</v>
      </c>
      <c r="H43" s="138"/>
      <c r="I43" s="138"/>
      <c r="S43" s="92" t="s">
        <v>56</v>
      </c>
      <c r="T43" s="92" t="s">
        <v>55</v>
      </c>
      <c r="W43" s="92" t="s">
        <v>56</v>
      </c>
      <c r="X43" s="92" t="s">
        <v>55</v>
      </c>
      <c r="Z43" s="137" t="s">
        <v>75</v>
      </c>
      <c r="AA43" s="137"/>
      <c r="AB43" s="137"/>
      <c r="AC43" s="137"/>
      <c r="AD43" s="137"/>
    </row>
    <row r="44" spans="2:30" x14ac:dyDescent="0.2">
      <c r="B44" s="38" t="s">
        <v>6</v>
      </c>
      <c r="C44" s="35" t="s">
        <v>3</v>
      </c>
      <c r="D44" s="5" t="s">
        <v>4</v>
      </c>
      <c r="E44" s="36" t="s">
        <v>51</v>
      </c>
      <c r="G44" s="5" t="s">
        <v>5</v>
      </c>
      <c r="H44" s="105" t="s">
        <v>49</v>
      </c>
      <c r="I44" s="5" t="s">
        <v>50</v>
      </c>
      <c r="R44" s="89" t="s">
        <v>11</v>
      </c>
      <c r="S44" s="60">
        <f>SLOPE(E46:E49,B46:B49)</f>
        <v>0.61430826362240643</v>
      </c>
      <c r="T44" s="60">
        <f>SLOPE(H46:H49,B46:B49)</f>
        <v>0.61430826362240643</v>
      </c>
      <c r="V44" s="94" t="s">
        <v>64</v>
      </c>
      <c r="W44" s="95">
        <f>SLOPE(S57:S60,R57:R60)</f>
        <v>0.32224283859129899</v>
      </c>
      <c r="X44" s="95">
        <f>SLOPE(T57:T60,R57:R60)</f>
        <v>0.32224283859129899</v>
      </c>
      <c r="Z44" s="137"/>
      <c r="AA44" s="137"/>
      <c r="AB44" s="137"/>
      <c r="AC44" s="137"/>
      <c r="AD44" s="137"/>
    </row>
    <row r="45" spans="2:30" x14ac:dyDescent="0.2">
      <c r="B45" s="37" t="s">
        <v>0</v>
      </c>
      <c r="C45" s="80">
        <v>74.491740788200005</v>
      </c>
      <c r="D45" s="80"/>
      <c r="E45" s="80">
        <v>74.491740788200005</v>
      </c>
      <c r="G45" s="97">
        <f>AVERAGE(C45:D45)</f>
        <v>74.491740788200005</v>
      </c>
      <c r="H45" s="97">
        <f>G45*$E$45/$G$45</f>
        <v>74.491740788200005</v>
      </c>
      <c r="I45" s="106">
        <f>E45/H45-1</f>
        <v>0</v>
      </c>
      <c r="R45" s="89" t="s">
        <v>10</v>
      </c>
      <c r="S45" s="60">
        <f>INTERCEPT(E46:E49,B46:B49)</f>
        <v>1.0116152494998545</v>
      </c>
      <c r="T45" s="60">
        <f>INTERCEPT(H46:H49,B46:B49)</f>
        <v>1.0116152494998545</v>
      </c>
      <c r="V45" s="94" t="s">
        <v>63</v>
      </c>
      <c r="W45" s="95">
        <f>INTERCEPT(S57:S60,R57:R60)</f>
        <v>-0.33138707147464119</v>
      </c>
      <c r="X45" s="95">
        <f>INTERCEPT(T57:T60,R57:R60)</f>
        <v>-0.33138707147464119</v>
      </c>
      <c r="Z45" s="137"/>
      <c r="AA45" s="137"/>
      <c r="AB45" s="137"/>
      <c r="AC45" s="137"/>
      <c r="AD45" s="137"/>
    </row>
    <row r="46" spans="2:30" x14ac:dyDescent="0.2">
      <c r="B46" s="4">
        <v>5</v>
      </c>
      <c r="C46" s="81">
        <v>4.0839472423711847</v>
      </c>
      <c r="D46" s="83"/>
      <c r="E46" s="84">
        <v>4.0839472423711847</v>
      </c>
      <c r="G46" s="97">
        <f t="shared" ref="G46:G51" si="0">AVERAGE(C46:D46)</f>
        <v>4.0839472423711847</v>
      </c>
      <c r="H46" s="97">
        <f t="shared" ref="H46:H51" si="1">G46*$E$45/$G$45</f>
        <v>4.0839472423711847</v>
      </c>
      <c r="I46" s="106">
        <f t="shared" ref="I46:I60" si="2">E46/H46-1</f>
        <v>0</v>
      </c>
      <c r="R46" s="90" t="s">
        <v>9</v>
      </c>
      <c r="S46" s="64">
        <f>S44/(C36*(1-M34))</f>
        <v>0.24826805299213189</v>
      </c>
      <c r="T46" s="64">
        <f>T44/(C36*(1-J34))</f>
        <v>0.24826805299213189</v>
      </c>
    </row>
    <row r="47" spans="2:30" x14ac:dyDescent="0.2">
      <c r="B47" s="4">
        <v>10</v>
      </c>
      <c r="C47" s="81">
        <v>7.1523907675829843</v>
      </c>
      <c r="D47" s="83"/>
      <c r="E47" s="84">
        <v>7.1523907675829843</v>
      </c>
      <c r="G47" s="97">
        <f t="shared" si="0"/>
        <v>7.1523907675829843</v>
      </c>
      <c r="H47" s="97">
        <f t="shared" si="1"/>
        <v>7.1523907675829852</v>
      </c>
      <c r="I47" s="106">
        <f t="shared" si="2"/>
        <v>0</v>
      </c>
      <c r="R47" s="91" t="s">
        <v>27</v>
      </c>
      <c r="S47" s="64">
        <f>(S45/S44-120*M34/(1-M34))/2</f>
        <v>0.20200850391099678</v>
      </c>
      <c r="T47" s="64">
        <f>(T45/T44-120*J34/(1-J34))/2</f>
        <v>0.20200850391099678</v>
      </c>
      <c r="V47" s="96" t="s">
        <v>65</v>
      </c>
      <c r="W47" s="97">
        <f>-W45/W44/10</f>
        <v>0.10283768381737099</v>
      </c>
      <c r="X47" s="97">
        <f>-X45/X44/10</f>
        <v>0.10283768381737099</v>
      </c>
    </row>
    <row r="48" spans="2:30" x14ac:dyDescent="0.2">
      <c r="B48" s="4">
        <v>20</v>
      </c>
      <c r="C48" s="81">
        <v>13.30041807133161</v>
      </c>
      <c r="D48" s="83"/>
      <c r="E48" s="84">
        <v>13.30041807133161</v>
      </c>
      <c r="G48" s="97">
        <f t="shared" si="0"/>
        <v>13.30041807133161</v>
      </c>
      <c r="H48" s="97">
        <f t="shared" si="1"/>
        <v>13.30041807133161</v>
      </c>
      <c r="I48" s="106">
        <f t="shared" si="2"/>
        <v>0</v>
      </c>
      <c r="V48" s="96" t="s">
        <v>66</v>
      </c>
      <c r="W48" s="97">
        <f>W44/(1-2*SQRT(J34)+J34)*1.06/10</f>
        <v>4.2286707883822564E-2</v>
      </c>
      <c r="X48" s="97">
        <f>X44/(1-2*SQRT(J34)+J34)*1.06/10</f>
        <v>4.2286707883822564E-2</v>
      </c>
    </row>
    <row r="49" spans="2:30" x14ac:dyDescent="0.2">
      <c r="B49" s="37">
        <v>30</v>
      </c>
      <c r="C49" s="82">
        <v>19.439742052170057</v>
      </c>
      <c r="D49" s="85"/>
      <c r="E49" s="86">
        <v>19.439742052170057</v>
      </c>
      <c r="G49" s="97">
        <f t="shared" si="0"/>
        <v>19.439742052170057</v>
      </c>
      <c r="H49" s="97">
        <f t="shared" si="1"/>
        <v>19.439742052170057</v>
      </c>
      <c r="I49" s="106">
        <f t="shared" si="2"/>
        <v>0</v>
      </c>
    </row>
    <row r="50" spans="2:30" ht="15" customHeight="1" x14ac:dyDescent="0.2">
      <c r="B50" s="4" t="s">
        <v>1</v>
      </c>
      <c r="C50" s="83">
        <v>0.76354034307904994</v>
      </c>
      <c r="D50" s="87"/>
      <c r="E50" s="84">
        <v>0.76354034307904994</v>
      </c>
      <c r="G50" s="97">
        <f t="shared" si="0"/>
        <v>0.76354034307904994</v>
      </c>
      <c r="H50" s="97">
        <f t="shared" si="1"/>
        <v>0.76354034307904994</v>
      </c>
      <c r="I50" s="106">
        <f t="shared" si="2"/>
        <v>0</v>
      </c>
      <c r="V50" s="102" t="s">
        <v>74</v>
      </c>
      <c r="W50" s="97">
        <f>(S47-W47*(SQRT(J34)-J34)/(1-J34))/10</f>
        <v>1.925541612017306E-2</v>
      </c>
      <c r="X50" s="97">
        <f>(T47-X47*(SQRT(J34)-J34)/(1-J34))/10</f>
        <v>1.925541612017306E-2</v>
      </c>
      <c r="Z50" s="169" t="s">
        <v>76</v>
      </c>
      <c r="AA50" s="170"/>
      <c r="AB50" s="170"/>
      <c r="AC50" s="170"/>
      <c r="AD50" s="171"/>
    </row>
    <row r="51" spans="2:30" x14ac:dyDescent="0.2">
      <c r="B51" s="4" t="s">
        <v>2</v>
      </c>
      <c r="C51" s="83">
        <v>0.76354034307904994</v>
      </c>
      <c r="D51" s="87"/>
      <c r="E51" s="88">
        <v>0.76354034307904994</v>
      </c>
      <c r="G51" s="97">
        <f t="shared" si="0"/>
        <v>0.76354034307904994</v>
      </c>
      <c r="H51" s="97">
        <f t="shared" si="1"/>
        <v>0.76354034307904994</v>
      </c>
      <c r="I51" s="106">
        <f t="shared" si="2"/>
        <v>0</v>
      </c>
      <c r="Z51" s="172"/>
      <c r="AA51" s="173"/>
      <c r="AB51" s="173"/>
      <c r="AC51" s="173"/>
      <c r="AD51" s="174"/>
    </row>
    <row r="52" spans="2:30" x14ac:dyDescent="0.2">
      <c r="B52" s="2"/>
      <c r="C52" s="3"/>
      <c r="D52" s="3"/>
      <c r="E52" s="3"/>
      <c r="G52" s="40"/>
      <c r="H52" s="40"/>
      <c r="I52" s="41"/>
      <c r="Z52" s="175"/>
      <c r="AA52" s="176"/>
      <c r="AB52" s="176"/>
      <c r="AC52" s="176"/>
      <c r="AD52" s="177"/>
    </row>
    <row r="53" spans="2:30" x14ac:dyDescent="0.2">
      <c r="B53" s="131" t="s">
        <v>43</v>
      </c>
      <c r="C53" s="132"/>
      <c r="D53" s="132"/>
      <c r="E53" s="133"/>
      <c r="G53" s="139" t="s">
        <v>43</v>
      </c>
      <c r="H53" s="139"/>
      <c r="I53" s="139"/>
      <c r="R53" s="167" t="s">
        <v>53</v>
      </c>
      <c r="S53" s="167"/>
      <c r="T53" s="167"/>
    </row>
    <row r="54" spans="2:30" x14ac:dyDescent="0.2">
      <c r="B54" s="7" t="s">
        <v>8</v>
      </c>
      <c r="C54" s="5" t="s">
        <v>3</v>
      </c>
      <c r="D54" s="5" t="s">
        <v>4</v>
      </c>
      <c r="E54" s="36" t="s">
        <v>51</v>
      </c>
      <c r="G54" s="5" t="s">
        <v>5</v>
      </c>
      <c r="H54" s="105" t="s">
        <v>49</v>
      </c>
      <c r="I54" s="5" t="s">
        <v>50</v>
      </c>
      <c r="R54" s="98" t="s">
        <v>7</v>
      </c>
      <c r="S54" s="98" t="s">
        <v>56</v>
      </c>
      <c r="T54" s="98" t="s">
        <v>55</v>
      </c>
    </row>
    <row r="55" spans="2:30" x14ac:dyDescent="0.2">
      <c r="B55" s="7">
        <v>0</v>
      </c>
      <c r="C55" s="83">
        <v>13.316084052569927</v>
      </c>
      <c r="D55" s="83"/>
      <c r="E55" s="83">
        <v>13.316084052569927</v>
      </c>
      <c r="G55" s="97">
        <f t="shared" ref="G55:G60" si="3">AVERAGE(C55:D55)</f>
        <v>13.316084052569927</v>
      </c>
      <c r="H55" s="97">
        <f t="shared" ref="H55:H60" si="4">G55*$E$45/$G$45</f>
        <v>13.316084052569927</v>
      </c>
      <c r="I55" s="106">
        <f t="shared" si="2"/>
        <v>0</v>
      </c>
      <c r="R55" s="103">
        <f>B55</f>
        <v>0</v>
      </c>
      <c r="S55" s="104">
        <f>IF(E55="","",(E$55-E55)/(2*$S$46))</f>
        <v>0</v>
      </c>
      <c r="T55" s="104">
        <f>IF(C55="","",(H$55-H55)/(2*$T$46))</f>
        <v>0</v>
      </c>
      <c r="W55" s="168"/>
    </row>
    <row r="56" spans="2:30" x14ac:dyDescent="0.2">
      <c r="B56" s="7">
        <v>2</v>
      </c>
      <c r="C56" s="83">
        <v>13.096760315233482</v>
      </c>
      <c r="D56" s="83"/>
      <c r="E56" s="83">
        <v>13.096760315233482</v>
      </c>
      <c r="G56" s="97">
        <f t="shared" si="3"/>
        <v>13.096760315233482</v>
      </c>
      <c r="H56" s="97">
        <f t="shared" si="4"/>
        <v>13.096760315233482</v>
      </c>
      <c r="I56" s="106">
        <f t="shared" si="2"/>
        <v>0</v>
      </c>
      <c r="R56" s="103">
        <f t="shared" ref="R56:R60" si="5">B56</f>
        <v>2</v>
      </c>
      <c r="S56" s="104">
        <f>IF(E56="","",(E$55-E56)/(2*$S$46))</f>
        <v>0.44170753081830505</v>
      </c>
      <c r="T56" s="104">
        <f>IF(C56="","",(H$55-H56)/(2*$T$46))</f>
        <v>0.44170753081830505</v>
      </c>
    </row>
    <row r="57" spans="2:30" x14ac:dyDescent="0.2">
      <c r="B57" s="7">
        <v>5</v>
      </c>
      <c r="C57" s="83">
        <v>12.679000815545013</v>
      </c>
      <c r="D57" s="83"/>
      <c r="E57" s="83">
        <v>12.679000815545013</v>
      </c>
      <c r="G57" s="97">
        <f t="shared" si="3"/>
        <v>12.679000815545013</v>
      </c>
      <c r="H57" s="97">
        <f t="shared" si="4"/>
        <v>12.679000815545013</v>
      </c>
      <c r="I57" s="106">
        <f t="shared" si="2"/>
        <v>0</v>
      </c>
      <c r="R57" s="103">
        <f t="shared" si="5"/>
        <v>5</v>
      </c>
      <c r="S57" s="104">
        <f>IF(E57="","",(E$55-E57)/(2*$S$46))</f>
        <v>1.28305520856746</v>
      </c>
      <c r="T57" s="104">
        <f>IF(C57="","",(H$55-H57)/(2*$T$46))</f>
        <v>1.28305520856746</v>
      </c>
    </row>
    <row r="58" spans="2:30" x14ac:dyDescent="0.2">
      <c r="B58" s="4">
        <v>10</v>
      </c>
      <c r="C58" s="83">
        <v>11.885257766136922</v>
      </c>
      <c r="D58" s="83"/>
      <c r="E58" s="83">
        <v>11.885257766136922</v>
      </c>
      <c r="G58" s="97">
        <f t="shared" si="3"/>
        <v>11.885257766136922</v>
      </c>
      <c r="H58" s="97">
        <f t="shared" si="4"/>
        <v>11.885257766136922</v>
      </c>
      <c r="I58" s="106">
        <f t="shared" si="2"/>
        <v>0</v>
      </c>
      <c r="R58" s="103">
        <f t="shared" si="5"/>
        <v>10</v>
      </c>
      <c r="S58" s="104">
        <f>IF(E58="","",(E$55-E58)/(2*$S$46))</f>
        <v>2.8816157962908555</v>
      </c>
      <c r="T58" s="104">
        <f>IF(C58="","",(H$55-H58)/(2*$T$46))</f>
        <v>2.8816157962908555</v>
      </c>
    </row>
    <row r="59" spans="2:30" x14ac:dyDescent="0.2">
      <c r="B59" s="4">
        <v>15</v>
      </c>
      <c r="C59" s="83">
        <v>11.076000000000001</v>
      </c>
      <c r="D59" s="83"/>
      <c r="E59" s="83">
        <v>11.076000000000001</v>
      </c>
      <c r="G59" s="97">
        <f t="shared" si="3"/>
        <v>11.076000000000001</v>
      </c>
      <c r="H59" s="97">
        <f t="shared" si="4"/>
        <v>11.076000000000001</v>
      </c>
      <c r="I59" s="106">
        <f t="shared" si="2"/>
        <v>0</v>
      </c>
      <c r="R59" s="103">
        <f t="shared" si="5"/>
        <v>15</v>
      </c>
      <c r="S59" s="104">
        <f>IF(E59="","",(E$55-E59)/(2*$S$46))</f>
        <v>4.5114222824330108</v>
      </c>
      <c r="T59" s="104">
        <f>IF(C59="","",(H$55-H59)/(2*$T$46))</f>
        <v>4.5114222824330108</v>
      </c>
    </row>
    <row r="60" spans="2:30" x14ac:dyDescent="0.2">
      <c r="B60" s="166">
        <v>20</v>
      </c>
      <c r="C60" s="84">
        <v>10.282</v>
      </c>
      <c r="D60" s="84"/>
      <c r="E60" s="84">
        <v>10.282</v>
      </c>
      <c r="G60" s="97">
        <f t="shared" si="3"/>
        <v>10.282</v>
      </c>
      <c r="H60" s="97">
        <f t="shared" si="4"/>
        <v>10.282</v>
      </c>
      <c r="I60" s="106">
        <f t="shared" si="2"/>
        <v>0</v>
      </c>
      <c r="R60" s="103">
        <f t="shared" si="5"/>
        <v>20</v>
      </c>
      <c r="S60" s="104">
        <f>IF(E60="","",(E$55-E60)/(2*$S$46))</f>
        <v>6.1105003563750575</v>
      </c>
      <c r="T60" s="104">
        <f>IF(C60="","",(H$55-H60)/(2*$T$46))</f>
        <v>6.1105003563750575</v>
      </c>
    </row>
    <row r="61" spans="2:30" x14ac:dyDescent="0.2">
      <c r="C61" s="1"/>
      <c r="D61" s="1"/>
      <c r="E61" s="13"/>
      <c r="G61" s="40"/>
      <c r="H61" s="40"/>
      <c r="I61" s="41"/>
    </row>
    <row r="62" spans="2:30" x14ac:dyDescent="0.2">
      <c r="H62" s="40"/>
    </row>
    <row r="63" spans="2:30" x14ac:dyDescent="0.2">
      <c r="H63" s="40"/>
      <c r="AA63" t="s">
        <v>104</v>
      </c>
    </row>
    <row r="64" spans="2:30" x14ac:dyDescent="0.2">
      <c r="H64" s="40"/>
    </row>
    <row r="65" spans="8:28" x14ac:dyDescent="0.2">
      <c r="H65" s="40"/>
      <c r="AA65" t="s">
        <v>101</v>
      </c>
    </row>
    <row r="66" spans="8:28" x14ac:dyDescent="0.2">
      <c r="H66" s="40"/>
      <c r="AA66" s="92" t="s">
        <v>8</v>
      </c>
      <c r="AB66" s="92" t="s">
        <v>102</v>
      </c>
    </row>
    <row r="67" spans="8:28" x14ac:dyDescent="0.2">
      <c r="H67" s="40"/>
      <c r="AA67">
        <v>0</v>
      </c>
      <c r="AB67">
        <v>0</v>
      </c>
    </row>
    <row r="68" spans="8:28" x14ac:dyDescent="0.2">
      <c r="H68" s="40"/>
      <c r="AA68" s="40">
        <f>X47*10</f>
        <v>1.02837683817371</v>
      </c>
      <c r="AB68">
        <v>0</v>
      </c>
    </row>
    <row r="69" spans="8:28" x14ac:dyDescent="0.2">
      <c r="H69" s="40"/>
      <c r="AA69">
        <v>20</v>
      </c>
      <c r="AB69" s="40">
        <f>(AA69-AA68)*10*X48*(1-2*SQRT(J34)+J34)/1.06</f>
        <v>6.1134697003513372</v>
      </c>
    </row>
    <row r="70" spans="8:28" x14ac:dyDescent="0.2">
      <c r="H70" s="40"/>
    </row>
    <row r="71" spans="8:28" x14ac:dyDescent="0.2">
      <c r="H71" s="40"/>
      <c r="AA71" t="s">
        <v>103</v>
      </c>
    </row>
    <row r="72" spans="8:28" x14ac:dyDescent="0.2">
      <c r="H72" s="40"/>
      <c r="AA72" s="92" t="s">
        <v>8</v>
      </c>
      <c r="AB72" s="92" t="s">
        <v>102</v>
      </c>
    </row>
    <row r="73" spans="8:28" x14ac:dyDescent="0.2">
      <c r="H73" s="40"/>
      <c r="AA73">
        <v>0</v>
      </c>
      <c r="AB73">
        <v>0</v>
      </c>
    </row>
    <row r="74" spans="8:28" x14ac:dyDescent="0.2">
      <c r="H74" s="40"/>
      <c r="AA74" s="40">
        <f>W47*10</f>
        <v>1.02837683817371</v>
      </c>
      <c r="AB74">
        <v>0</v>
      </c>
    </row>
    <row r="75" spans="8:28" x14ac:dyDescent="0.2">
      <c r="H75" s="40"/>
      <c r="AA75">
        <v>20</v>
      </c>
      <c r="AB75" s="40">
        <f>(AA75-AA74)*W48*(1-2*SQRT(M34)+M34)*10/1.06</f>
        <v>6.113469700351339</v>
      </c>
    </row>
    <row r="76" spans="8:28" x14ac:dyDescent="0.2">
      <c r="H76" s="40"/>
    </row>
    <row r="77" spans="8:28" x14ac:dyDescent="0.2">
      <c r="H77" s="40"/>
    </row>
    <row r="78" spans="8:28" x14ac:dyDescent="0.2">
      <c r="H78" s="40"/>
    </row>
    <row r="79" spans="8:28" x14ac:dyDescent="0.2">
      <c r="H79" s="40"/>
    </row>
    <row r="80" spans="8:28" x14ac:dyDescent="0.2">
      <c r="H80" s="40"/>
    </row>
    <row r="81" spans="8:8" x14ac:dyDescent="0.2">
      <c r="H81" s="40"/>
    </row>
    <row r="82" spans="8:8" x14ac:dyDescent="0.2">
      <c r="H82" s="40"/>
    </row>
    <row r="83" spans="8:8" x14ac:dyDescent="0.2">
      <c r="H83" s="40"/>
    </row>
    <row r="84" spans="8:8" x14ac:dyDescent="0.2">
      <c r="H84" s="40"/>
    </row>
    <row r="85" spans="8:8" x14ac:dyDescent="0.2">
      <c r="H85" s="40"/>
    </row>
    <row r="86" spans="8:8" x14ac:dyDescent="0.2">
      <c r="H86" s="40"/>
    </row>
    <row r="87" spans="8:8" x14ac:dyDescent="0.2">
      <c r="H87" s="40"/>
    </row>
  </sheetData>
  <mergeCells count="21">
    <mergeCell ref="B2:K2"/>
    <mergeCell ref="R53:T53"/>
    <mergeCell ref="G43:I43"/>
    <mergeCell ref="G53:I53"/>
    <mergeCell ref="V41:X41"/>
    <mergeCell ref="R41:T41"/>
    <mergeCell ref="Z43:AD45"/>
    <mergeCell ref="Z50:AD52"/>
    <mergeCell ref="L33:M33"/>
    <mergeCell ref="I33:J33"/>
    <mergeCell ref="C30:D30"/>
    <mergeCell ref="C31:D31"/>
    <mergeCell ref="C32:D32"/>
    <mergeCell ref="C33:D33"/>
    <mergeCell ref="C34:D34"/>
    <mergeCell ref="C35:D35"/>
    <mergeCell ref="C36:D36"/>
    <mergeCell ref="C39:D39"/>
    <mergeCell ref="C38:D38"/>
    <mergeCell ref="B43:E43"/>
    <mergeCell ref="B53:E53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77DDA-22F4-4990-85BA-957D048CF2C6}">
  <dimension ref="B2:Z95"/>
  <sheetViews>
    <sheetView workbookViewId="0">
      <selection activeCell="C6" sqref="C6"/>
    </sheetView>
  </sheetViews>
  <sheetFormatPr baseColWidth="10" defaultColWidth="8.83203125" defaultRowHeight="15" x14ac:dyDescent="0.2"/>
  <cols>
    <col min="1" max="1" width="6.1640625" customWidth="1"/>
    <col min="2" max="2" width="16.33203125" customWidth="1"/>
    <col min="3" max="3" width="13" customWidth="1"/>
    <col min="4" max="4" width="10.1640625" customWidth="1"/>
    <col min="5" max="5" width="15.6640625" customWidth="1"/>
    <col min="6" max="6" width="11.83203125" customWidth="1"/>
    <col min="7" max="7" width="17" customWidth="1"/>
    <col min="8" max="8" width="14.5" bestFit="1" customWidth="1"/>
    <col min="9" max="9" width="15.5" customWidth="1"/>
    <col min="20" max="21" width="13" customWidth="1"/>
    <col min="22" max="22" width="12.33203125" customWidth="1"/>
    <col min="25" max="25" width="9.6640625" customWidth="1"/>
    <col min="26" max="26" width="10.5" customWidth="1"/>
  </cols>
  <sheetData>
    <row r="2" spans="2:7" ht="24" x14ac:dyDescent="0.3">
      <c r="B2" s="22" t="s">
        <v>60</v>
      </c>
    </row>
    <row r="4" spans="2:7" x14ac:dyDescent="0.2">
      <c r="B4" t="s">
        <v>22</v>
      </c>
    </row>
    <row r="6" spans="2:7" x14ac:dyDescent="0.2">
      <c r="B6" t="s">
        <v>23</v>
      </c>
      <c r="C6" s="65"/>
      <c r="F6" t="s">
        <v>37</v>
      </c>
    </row>
    <row r="7" spans="2:7" x14ac:dyDescent="0.2">
      <c r="B7" t="s">
        <v>29</v>
      </c>
      <c r="C7" s="65"/>
      <c r="F7" t="s">
        <v>36</v>
      </c>
    </row>
    <row r="8" spans="2:7" x14ac:dyDescent="0.2">
      <c r="B8" t="s">
        <v>24</v>
      </c>
      <c r="C8" s="65"/>
    </row>
    <row r="9" spans="2:7" x14ac:dyDescent="0.2">
      <c r="B9" t="s">
        <v>25</v>
      </c>
      <c r="C9" s="65" t="s">
        <v>28</v>
      </c>
      <c r="F9" t="s">
        <v>40</v>
      </c>
    </row>
    <row r="10" spans="2:7" x14ac:dyDescent="0.2">
      <c r="B10" t="s">
        <v>58</v>
      </c>
      <c r="C10" s="65">
        <v>6</v>
      </c>
      <c r="F10" s="17" t="s">
        <v>30</v>
      </c>
      <c r="G10" s="52"/>
    </row>
    <row r="11" spans="2:7" x14ac:dyDescent="0.2">
      <c r="B11" t="s">
        <v>59</v>
      </c>
      <c r="C11" s="65"/>
      <c r="F11" s="18" t="s">
        <v>31</v>
      </c>
      <c r="G11" s="53"/>
    </row>
    <row r="12" spans="2:7" x14ac:dyDescent="0.2">
      <c r="B12" t="s">
        <v>52</v>
      </c>
      <c r="C12" s="65">
        <v>5</v>
      </c>
      <c r="F12" s="18" t="s">
        <v>32</v>
      </c>
      <c r="G12" s="53"/>
    </row>
    <row r="13" spans="2:7" x14ac:dyDescent="0.2">
      <c r="F13" s="18" t="s">
        <v>33</v>
      </c>
      <c r="G13" s="53"/>
    </row>
    <row r="14" spans="2:7" x14ac:dyDescent="0.2">
      <c r="B14" t="s">
        <v>38</v>
      </c>
      <c r="F14" s="18" t="s">
        <v>34</v>
      </c>
      <c r="G14" s="53"/>
    </row>
    <row r="15" spans="2:7" x14ac:dyDescent="0.2">
      <c r="B15" t="s">
        <v>39</v>
      </c>
      <c r="F15" s="20" t="s">
        <v>35</v>
      </c>
      <c r="G15" s="54"/>
    </row>
    <row r="19" spans="2:26" ht="21" customHeight="1" x14ac:dyDescent="0.2">
      <c r="B19" s="143" t="s">
        <v>47</v>
      </c>
      <c r="C19" s="144"/>
      <c r="D19" s="144"/>
      <c r="E19" s="145"/>
      <c r="U19" s="1" t="s">
        <v>56</v>
      </c>
      <c r="V19" s="1" t="s">
        <v>55</v>
      </c>
      <c r="Y19" s="146" t="s">
        <v>54</v>
      </c>
      <c r="Z19" s="147"/>
    </row>
    <row r="20" spans="2:26" x14ac:dyDescent="0.2">
      <c r="B20" s="38" t="s">
        <v>6</v>
      </c>
      <c r="C20" s="35" t="s">
        <v>3</v>
      </c>
      <c r="D20" s="5" t="s">
        <v>4</v>
      </c>
      <c r="E20" s="36" t="s">
        <v>51</v>
      </c>
      <c r="G20" s="3" t="s">
        <v>5</v>
      </c>
      <c r="H20" s="12" t="s">
        <v>49</v>
      </c>
      <c r="I20" s="3" t="s">
        <v>50</v>
      </c>
      <c r="T20" s="59" t="s">
        <v>11</v>
      </c>
      <c r="U20" s="60" t="e">
        <f>SLOPE(E22:E25,B22:B25)</f>
        <v>#DIV/0!</v>
      </c>
      <c r="V20" s="60" t="e">
        <f>SLOPE(H22:H25,B22:B25)</f>
        <v>#DIV/0!</v>
      </c>
      <c r="X20" s="66" t="s">
        <v>7</v>
      </c>
      <c r="Y20" s="77" t="s">
        <v>48</v>
      </c>
      <c r="Z20" s="67" t="s">
        <v>55</v>
      </c>
    </row>
    <row r="21" spans="2:26" x14ac:dyDescent="0.2">
      <c r="B21" s="37" t="s">
        <v>0</v>
      </c>
      <c r="C21" s="42"/>
      <c r="D21" s="42"/>
      <c r="E21" s="43"/>
      <c r="G21" s="13" t="e">
        <f>AVERAGE(C21:D21)</f>
        <v>#DIV/0!</v>
      </c>
      <c r="H21" s="13" t="e">
        <f>G21*$E$21/$G$21</f>
        <v>#DIV/0!</v>
      </c>
      <c r="I21" s="41" t="e">
        <f>E21/H21-1</f>
        <v>#DIV/0!</v>
      </c>
      <c r="T21" s="59" t="s">
        <v>10</v>
      </c>
      <c r="U21" s="60" t="e">
        <f>INTERCEPT(G22:G25,B22:B25)</f>
        <v>#DIV/0!</v>
      </c>
      <c r="V21" s="60" t="e">
        <f>INTERCEPT(H22:H25,B22:B25)</f>
        <v>#DIV/0!</v>
      </c>
      <c r="X21" s="68">
        <v>0</v>
      </c>
      <c r="Y21" s="69" t="e">
        <f>U30</f>
        <v>#DIV/0!</v>
      </c>
      <c r="Z21" s="74" t="str">
        <f>V30</f>
        <v/>
      </c>
    </row>
    <row r="22" spans="2:26" x14ac:dyDescent="0.2">
      <c r="B22" s="4">
        <v>5</v>
      </c>
      <c r="C22" s="44"/>
      <c r="D22" s="45"/>
      <c r="E22" s="43"/>
      <c r="G22" s="13" t="e">
        <f t="shared" ref="G22:G27" si="0">AVERAGE(C22:D22)</f>
        <v>#DIV/0!</v>
      </c>
      <c r="H22" s="13" t="e">
        <f t="shared" ref="H22:H27" si="1">G22*$E$21/$G$21</f>
        <v>#DIV/0!</v>
      </c>
      <c r="I22" s="41" t="e">
        <f t="shared" ref="I22:I69" si="2">E22/H22-1</f>
        <v>#DIV/0!</v>
      </c>
      <c r="T22" s="61" t="s">
        <v>9</v>
      </c>
      <c r="U22" s="62" t="e">
        <f>U20/(C12*(1-G10))</f>
        <v>#DIV/0!</v>
      </c>
      <c r="V22" s="62" t="e">
        <f>V20/(C12*(1-G10))</f>
        <v>#DIV/0!</v>
      </c>
      <c r="X22" s="70">
        <v>2</v>
      </c>
      <c r="Y22" s="71" t="e">
        <f t="shared" ref="Y22:Y27" si="3">U31</f>
        <v>#DIV/0!</v>
      </c>
      <c r="Z22" s="75" t="e">
        <f>MEDIAN(V31,V52,V63)</f>
        <v>#NUM!</v>
      </c>
    </row>
    <row r="23" spans="2:26" x14ac:dyDescent="0.2">
      <c r="B23" s="4">
        <v>10</v>
      </c>
      <c r="C23" s="44"/>
      <c r="D23" s="45"/>
      <c r="E23" s="43"/>
      <c r="G23" s="13" t="e">
        <f t="shared" si="0"/>
        <v>#DIV/0!</v>
      </c>
      <c r="H23" s="13" t="e">
        <f t="shared" si="1"/>
        <v>#DIV/0!</v>
      </c>
      <c r="I23" s="41" t="e">
        <f t="shared" si="2"/>
        <v>#DIV/0!</v>
      </c>
      <c r="T23" s="63" t="s">
        <v>27</v>
      </c>
      <c r="U23" s="64" t="e">
        <f>(U21/U20-120*Q19/(1-Q19))/2</f>
        <v>#DIV/0!</v>
      </c>
      <c r="V23" s="64" t="e">
        <f>(V21/V20-120*R19/(1-R19))/2</f>
        <v>#DIV/0!</v>
      </c>
      <c r="X23" s="70">
        <v>5</v>
      </c>
      <c r="Y23" s="71" t="e">
        <f t="shared" si="3"/>
        <v>#DIV/0!</v>
      </c>
      <c r="Z23" s="75" t="e">
        <f>MEDIAN(V32,V53,V64)</f>
        <v>#NUM!</v>
      </c>
    </row>
    <row r="24" spans="2:26" x14ac:dyDescent="0.2">
      <c r="B24" s="4">
        <v>20</v>
      </c>
      <c r="C24" s="44"/>
      <c r="D24" s="45"/>
      <c r="E24" s="43"/>
      <c r="G24" s="13" t="e">
        <f t="shared" si="0"/>
        <v>#DIV/0!</v>
      </c>
      <c r="H24" s="13" t="e">
        <f t="shared" si="1"/>
        <v>#DIV/0!</v>
      </c>
      <c r="I24" s="41" t="e">
        <f t="shared" si="2"/>
        <v>#DIV/0!</v>
      </c>
      <c r="X24" s="70">
        <v>8</v>
      </c>
      <c r="Y24" s="71" t="e">
        <f t="shared" si="3"/>
        <v>#DIV/0!</v>
      </c>
      <c r="Z24" s="75" t="e">
        <f>MEDIAN(V33,V54)</f>
        <v>#NUM!</v>
      </c>
    </row>
    <row r="25" spans="2:26" x14ac:dyDescent="0.2">
      <c r="B25" s="37">
        <v>30</v>
      </c>
      <c r="C25" s="46"/>
      <c r="D25" s="47"/>
      <c r="E25" s="48"/>
      <c r="G25" s="13" t="e">
        <f t="shared" si="0"/>
        <v>#DIV/0!</v>
      </c>
      <c r="H25" s="13" t="e">
        <f t="shared" si="1"/>
        <v>#DIV/0!</v>
      </c>
      <c r="I25" s="41" t="e">
        <f t="shared" si="2"/>
        <v>#DIV/0!</v>
      </c>
      <c r="X25" s="70">
        <v>10</v>
      </c>
      <c r="Y25" s="71" t="e">
        <f t="shared" si="3"/>
        <v>#DIV/0!</v>
      </c>
      <c r="Z25" s="75" t="e">
        <f>MEDIAN(V34,V43,V55)</f>
        <v>#NUM!</v>
      </c>
    </row>
    <row r="26" spans="2:26" x14ac:dyDescent="0.2">
      <c r="B26" s="4" t="s">
        <v>1</v>
      </c>
      <c r="C26" s="49"/>
      <c r="D26" s="50"/>
      <c r="E26" s="43"/>
      <c r="G26" s="13" t="e">
        <f t="shared" si="0"/>
        <v>#DIV/0!</v>
      </c>
      <c r="H26" s="13" t="e">
        <f t="shared" si="1"/>
        <v>#DIV/0!</v>
      </c>
      <c r="I26" s="41" t="e">
        <f t="shared" si="2"/>
        <v>#DIV/0!</v>
      </c>
      <c r="X26" s="70">
        <v>15</v>
      </c>
      <c r="Y26" s="71" t="e">
        <f t="shared" si="3"/>
        <v>#DIV/0!</v>
      </c>
      <c r="Z26" s="75" t="str">
        <f>V35</f>
        <v/>
      </c>
    </row>
    <row r="27" spans="2:26" x14ac:dyDescent="0.2">
      <c r="B27" s="4" t="s">
        <v>2</v>
      </c>
      <c r="C27" s="49"/>
      <c r="D27" s="50"/>
      <c r="E27" s="51"/>
      <c r="G27" s="13" t="e">
        <f t="shared" si="0"/>
        <v>#DIV/0!</v>
      </c>
      <c r="H27" s="13" t="e">
        <f t="shared" si="1"/>
        <v>#DIV/0!</v>
      </c>
      <c r="I27" s="41" t="e">
        <f t="shared" si="2"/>
        <v>#DIV/0!</v>
      </c>
      <c r="X27" s="70">
        <v>20</v>
      </c>
      <c r="Y27" s="71" t="e">
        <f t="shared" si="3"/>
        <v>#DIV/0!</v>
      </c>
      <c r="Z27" s="75" t="e">
        <f>MEDIAN(V36,V44)</f>
        <v>#NUM!</v>
      </c>
    </row>
    <row r="28" spans="2:26" x14ac:dyDescent="0.2">
      <c r="B28" s="2"/>
      <c r="C28" s="3"/>
      <c r="D28" s="3"/>
      <c r="E28" s="3"/>
      <c r="G28" s="40"/>
      <c r="H28" s="40"/>
      <c r="I28" s="41"/>
      <c r="U28" s="148" t="s">
        <v>53</v>
      </c>
      <c r="V28" s="148"/>
      <c r="X28" s="70">
        <v>30</v>
      </c>
      <c r="Y28" s="71" t="e">
        <f>U45</f>
        <v>#DIV/0!</v>
      </c>
      <c r="Z28" s="75" t="str">
        <f>V45</f>
        <v/>
      </c>
    </row>
    <row r="29" spans="2:26" ht="15.75" customHeight="1" x14ac:dyDescent="0.2">
      <c r="B29" s="140" t="s">
        <v>43</v>
      </c>
      <c r="C29" s="141"/>
      <c r="D29" s="141"/>
      <c r="E29" s="142"/>
      <c r="G29" s="40"/>
      <c r="H29" s="40"/>
      <c r="I29" s="41"/>
      <c r="T29" s="1" t="s">
        <v>7</v>
      </c>
      <c r="U29" s="1" t="s">
        <v>56</v>
      </c>
      <c r="V29" s="1" t="s">
        <v>55</v>
      </c>
      <c r="X29" s="72">
        <v>40</v>
      </c>
      <c r="Y29" s="73" t="e">
        <f>U46</f>
        <v>#DIV/0!</v>
      </c>
      <c r="Z29" s="76" t="str">
        <f>V46</f>
        <v/>
      </c>
    </row>
    <row r="30" spans="2:26" x14ac:dyDescent="0.2">
      <c r="B30" s="7" t="s">
        <v>8</v>
      </c>
      <c r="C30" s="5" t="s">
        <v>3</v>
      </c>
      <c r="D30" s="5" t="s">
        <v>4</v>
      </c>
      <c r="E30" s="36" t="s">
        <v>51</v>
      </c>
      <c r="G30" s="40"/>
      <c r="H30" s="40"/>
      <c r="I30" s="41"/>
      <c r="T30" s="1">
        <f>B31</f>
        <v>0</v>
      </c>
      <c r="U30" s="39" t="e">
        <f>(E$31-E31)/(2*$U$22)</f>
        <v>#DIV/0!</v>
      </c>
      <c r="V30" s="39" t="str">
        <f>IF(C31="","",(H$31-H31)/(2*$V$22))</f>
        <v/>
      </c>
    </row>
    <row r="31" spans="2:26" x14ac:dyDescent="0.2">
      <c r="B31" s="6">
        <v>0</v>
      </c>
      <c r="C31" s="45"/>
      <c r="D31" s="49"/>
      <c r="E31" s="43"/>
      <c r="G31" s="13" t="e">
        <f t="shared" ref="G31:G39" si="4">AVERAGE(C31:D31)</f>
        <v>#DIV/0!</v>
      </c>
      <c r="H31" s="13" t="e">
        <f t="shared" ref="H31:H36" si="5">G31*$E$21/$G$21</f>
        <v>#DIV/0!</v>
      </c>
      <c r="I31" s="41" t="e">
        <f t="shared" si="2"/>
        <v>#DIV/0!</v>
      </c>
      <c r="T31" s="1">
        <f t="shared" ref="T31:T36" si="6">B32</f>
        <v>2</v>
      </c>
      <c r="U31" s="39" t="e">
        <f t="shared" ref="U31:U36" si="7">(E$31-E32)/(2*$U$22)</f>
        <v>#DIV/0!</v>
      </c>
      <c r="V31" s="39" t="str">
        <f t="shared" ref="V31:V36" si="8">IF(C32="","",(H$31-H32)/(2*$V$22))</f>
        <v/>
      </c>
    </row>
    <row r="32" spans="2:26" x14ac:dyDescent="0.2">
      <c r="B32" s="7">
        <v>2</v>
      </c>
      <c r="C32" s="45"/>
      <c r="D32" s="49"/>
      <c r="E32" s="43"/>
      <c r="G32" s="13" t="e">
        <f t="shared" si="4"/>
        <v>#DIV/0!</v>
      </c>
      <c r="H32" s="13" t="e">
        <f t="shared" si="5"/>
        <v>#DIV/0!</v>
      </c>
      <c r="I32" s="41" t="e">
        <f t="shared" si="2"/>
        <v>#DIV/0!</v>
      </c>
      <c r="T32" s="1">
        <f t="shared" si="6"/>
        <v>5</v>
      </c>
      <c r="U32" s="39" t="e">
        <f t="shared" si="7"/>
        <v>#DIV/0!</v>
      </c>
      <c r="V32" s="39" t="str">
        <f t="shared" si="8"/>
        <v/>
      </c>
    </row>
    <row r="33" spans="2:24" x14ac:dyDescent="0.2">
      <c r="B33" s="7">
        <v>5</v>
      </c>
      <c r="C33" s="45"/>
      <c r="D33" s="49"/>
      <c r="E33" s="43"/>
      <c r="G33" s="13" t="e">
        <f t="shared" si="4"/>
        <v>#DIV/0!</v>
      </c>
      <c r="H33" s="13" t="e">
        <f t="shared" si="5"/>
        <v>#DIV/0!</v>
      </c>
      <c r="I33" s="41" t="e">
        <f t="shared" si="2"/>
        <v>#DIV/0!</v>
      </c>
      <c r="T33" s="1">
        <f t="shared" si="6"/>
        <v>8</v>
      </c>
      <c r="U33" s="39" t="e">
        <f t="shared" si="7"/>
        <v>#DIV/0!</v>
      </c>
      <c r="V33" s="39" t="str">
        <f t="shared" si="8"/>
        <v/>
      </c>
    </row>
    <row r="34" spans="2:24" x14ac:dyDescent="0.2">
      <c r="B34" s="4">
        <v>8</v>
      </c>
      <c r="C34" s="45"/>
      <c r="D34" s="49"/>
      <c r="E34" s="43"/>
      <c r="G34" s="13" t="e">
        <f t="shared" si="4"/>
        <v>#DIV/0!</v>
      </c>
      <c r="H34" s="13" t="e">
        <f t="shared" si="5"/>
        <v>#DIV/0!</v>
      </c>
      <c r="I34" s="41" t="e">
        <f t="shared" si="2"/>
        <v>#DIV/0!</v>
      </c>
      <c r="T34" s="1">
        <f t="shared" si="6"/>
        <v>10</v>
      </c>
      <c r="U34" s="39" t="e">
        <f t="shared" si="7"/>
        <v>#DIV/0!</v>
      </c>
      <c r="V34" s="39" t="str">
        <f t="shared" si="8"/>
        <v/>
      </c>
    </row>
    <row r="35" spans="2:24" x14ac:dyDescent="0.2">
      <c r="B35" s="4">
        <v>10</v>
      </c>
      <c r="C35" s="45"/>
      <c r="D35" s="49"/>
      <c r="E35" s="43"/>
      <c r="G35" s="13" t="e">
        <f t="shared" si="4"/>
        <v>#DIV/0!</v>
      </c>
      <c r="H35" s="13" t="e">
        <f t="shared" si="5"/>
        <v>#DIV/0!</v>
      </c>
      <c r="I35" s="41" t="e">
        <f t="shared" si="2"/>
        <v>#DIV/0!</v>
      </c>
      <c r="T35" s="1">
        <f t="shared" si="6"/>
        <v>15</v>
      </c>
      <c r="U35" s="39" t="e">
        <f t="shared" si="7"/>
        <v>#DIV/0!</v>
      </c>
      <c r="V35" s="39" t="str">
        <f t="shared" si="8"/>
        <v/>
      </c>
    </row>
    <row r="36" spans="2:24" x14ac:dyDescent="0.2">
      <c r="B36" s="9">
        <v>15</v>
      </c>
      <c r="C36" s="43"/>
      <c r="D36" s="55"/>
      <c r="E36" s="43"/>
      <c r="G36" s="13" t="e">
        <f t="shared" si="4"/>
        <v>#DIV/0!</v>
      </c>
      <c r="H36" s="13" t="e">
        <f t="shared" si="5"/>
        <v>#DIV/0!</v>
      </c>
      <c r="I36" s="41" t="e">
        <f t="shared" si="2"/>
        <v>#DIV/0!</v>
      </c>
      <c r="T36" s="1">
        <f t="shared" si="6"/>
        <v>20</v>
      </c>
      <c r="U36" s="39" t="e">
        <f t="shared" si="7"/>
        <v>#DIV/0!</v>
      </c>
      <c r="V36" s="39" t="str">
        <f t="shared" si="8"/>
        <v/>
      </c>
    </row>
    <row r="37" spans="2:24" x14ac:dyDescent="0.2">
      <c r="B37" s="4">
        <v>20</v>
      </c>
      <c r="C37" s="43"/>
      <c r="D37" s="55"/>
      <c r="E37" s="43"/>
      <c r="G37" s="13" t="e">
        <f t="shared" si="4"/>
        <v>#DIV/0!</v>
      </c>
      <c r="H37" s="13" t="str">
        <f>IF(C37="","",G37*$E$21/$G$21)</f>
        <v/>
      </c>
      <c r="I37" s="41" t="e">
        <f t="shared" si="2"/>
        <v>#VALUE!</v>
      </c>
      <c r="T37" s="1"/>
      <c r="U37" s="1"/>
    </row>
    <row r="38" spans="2:24" x14ac:dyDescent="0.2">
      <c r="B38" s="9">
        <v>25</v>
      </c>
      <c r="C38" s="43"/>
      <c r="D38" s="55"/>
      <c r="E38" s="43"/>
      <c r="G38" s="13" t="e">
        <f t="shared" si="4"/>
        <v>#DIV/0!</v>
      </c>
      <c r="H38" s="13" t="e">
        <f>G38*$E$21/$G$21</f>
        <v>#DIV/0!</v>
      </c>
      <c r="I38" s="41" t="e">
        <f t="shared" si="2"/>
        <v>#DIV/0!</v>
      </c>
    </row>
    <row r="39" spans="2:24" x14ac:dyDescent="0.2">
      <c r="B39" s="8">
        <v>30</v>
      </c>
      <c r="C39" s="43"/>
      <c r="D39" s="55"/>
      <c r="E39" s="43"/>
      <c r="G39" s="13" t="e">
        <f t="shared" si="4"/>
        <v>#DIV/0!</v>
      </c>
      <c r="H39" s="13" t="e">
        <f>G39*$E$21/$G$21</f>
        <v>#DIV/0!</v>
      </c>
      <c r="I39" s="41" t="e">
        <f t="shared" si="2"/>
        <v>#DIV/0!</v>
      </c>
    </row>
    <row r="40" spans="2:24" x14ac:dyDescent="0.2">
      <c r="C40" s="1"/>
      <c r="D40" s="1"/>
      <c r="E40" s="13"/>
      <c r="G40" s="40"/>
      <c r="H40" s="40"/>
      <c r="I40" s="41"/>
    </row>
    <row r="41" spans="2:24" ht="18" customHeight="1" x14ac:dyDescent="0.2">
      <c r="B41" s="140" t="s">
        <v>44</v>
      </c>
      <c r="C41" s="141"/>
      <c r="D41" s="141"/>
      <c r="E41" s="142"/>
      <c r="G41" s="40"/>
      <c r="H41" s="40"/>
      <c r="I41" s="41"/>
      <c r="T41" s="1" t="s">
        <v>7</v>
      </c>
      <c r="U41" s="1" t="s">
        <v>56</v>
      </c>
      <c r="V41" s="1" t="s">
        <v>53</v>
      </c>
    </row>
    <row r="42" spans="2:24" x14ac:dyDescent="0.2">
      <c r="B42" s="7" t="s">
        <v>8</v>
      </c>
      <c r="C42" s="5" t="s">
        <v>3</v>
      </c>
      <c r="D42" s="5" t="s">
        <v>4</v>
      </c>
      <c r="E42" s="36" t="s">
        <v>51</v>
      </c>
      <c r="G42" s="40"/>
      <c r="H42" s="40"/>
      <c r="I42" s="41"/>
      <c r="T42" s="1">
        <f>B43</f>
        <v>0</v>
      </c>
      <c r="U42" s="39" t="e">
        <f>(E$43-E43)/(2*$U$22)</f>
        <v>#DIV/0!</v>
      </c>
      <c r="V42" s="39" t="str">
        <f>IF(C43="","",(H$43-H43)/(2*$V$22))</f>
        <v/>
      </c>
    </row>
    <row r="43" spans="2:24" x14ac:dyDescent="0.2">
      <c r="B43" s="6">
        <v>0</v>
      </c>
      <c r="C43" s="56"/>
      <c r="D43" s="57"/>
      <c r="E43" s="51"/>
      <c r="G43" s="13" t="e">
        <f t="shared" ref="G43:G47" si="9">AVERAGE(C43:D43)</f>
        <v>#DIV/0!</v>
      </c>
      <c r="H43" s="13" t="e">
        <f t="shared" ref="H43:H47" si="10">G43*$E$21/$G$21</f>
        <v>#DIV/0!</v>
      </c>
      <c r="I43" s="41" t="e">
        <f t="shared" si="2"/>
        <v>#DIV/0!</v>
      </c>
      <c r="T43" s="1">
        <f t="shared" ref="T43:T46" si="11">B44</f>
        <v>10</v>
      </c>
      <c r="U43" s="39" t="e">
        <f t="shared" ref="U43:U46" si="12">(E$43-E44)/(2*$U$22)</f>
        <v>#DIV/0!</v>
      </c>
      <c r="V43" s="39" t="str">
        <f t="shared" ref="V43:V47" si="13">IF(C44="","",(H$43-H44)/(2*$V$22))</f>
        <v/>
      </c>
    </row>
    <row r="44" spans="2:24" x14ac:dyDescent="0.2">
      <c r="B44" s="7">
        <v>10</v>
      </c>
      <c r="C44" s="58"/>
      <c r="D44" s="42"/>
      <c r="E44" s="43"/>
      <c r="G44" s="13" t="e">
        <f t="shared" si="9"/>
        <v>#DIV/0!</v>
      </c>
      <c r="H44" s="13" t="e">
        <f t="shared" si="10"/>
        <v>#DIV/0!</v>
      </c>
      <c r="I44" s="41" t="e">
        <f t="shared" si="2"/>
        <v>#DIV/0!</v>
      </c>
      <c r="T44" s="1">
        <f t="shared" si="11"/>
        <v>20</v>
      </c>
      <c r="U44" s="39" t="e">
        <f t="shared" si="12"/>
        <v>#DIV/0!</v>
      </c>
      <c r="V44" s="39" t="str">
        <f t="shared" si="13"/>
        <v/>
      </c>
    </row>
    <row r="45" spans="2:24" x14ac:dyDescent="0.2">
      <c r="B45" s="7">
        <v>20</v>
      </c>
      <c r="C45" s="58"/>
      <c r="D45" s="42"/>
      <c r="E45" s="43"/>
      <c r="G45" s="13" t="e">
        <f t="shared" si="9"/>
        <v>#DIV/0!</v>
      </c>
      <c r="H45" s="13" t="e">
        <f t="shared" si="10"/>
        <v>#DIV/0!</v>
      </c>
      <c r="I45" s="41" t="e">
        <f t="shared" si="2"/>
        <v>#DIV/0!</v>
      </c>
      <c r="T45" s="1">
        <f t="shared" si="11"/>
        <v>30</v>
      </c>
      <c r="U45" s="39" t="e">
        <f t="shared" si="12"/>
        <v>#DIV/0!</v>
      </c>
      <c r="V45" s="39" t="str">
        <f t="shared" si="13"/>
        <v/>
      </c>
    </row>
    <row r="46" spans="2:24" x14ac:dyDescent="0.2">
      <c r="B46" s="23">
        <v>30</v>
      </c>
      <c r="C46" s="58"/>
      <c r="D46" s="42"/>
      <c r="E46" s="43"/>
      <c r="G46" s="13" t="e">
        <f t="shared" si="9"/>
        <v>#DIV/0!</v>
      </c>
      <c r="H46" s="13" t="e">
        <f t="shared" si="10"/>
        <v>#DIV/0!</v>
      </c>
      <c r="I46" s="41" t="e">
        <f t="shared" si="2"/>
        <v>#DIV/0!</v>
      </c>
      <c r="T46" s="1">
        <f t="shared" si="11"/>
        <v>40</v>
      </c>
      <c r="U46" s="39" t="e">
        <f t="shared" si="12"/>
        <v>#DIV/0!</v>
      </c>
      <c r="V46" s="39" t="str">
        <f t="shared" si="13"/>
        <v/>
      </c>
    </row>
    <row r="47" spans="2:24" x14ac:dyDescent="0.2">
      <c r="B47" s="23">
        <v>40</v>
      </c>
      <c r="C47" s="58"/>
      <c r="D47" s="42"/>
      <c r="E47" s="43"/>
      <c r="G47" s="13" t="e">
        <f t="shared" si="9"/>
        <v>#DIV/0!</v>
      </c>
      <c r="H47" s="13" t="e">
        <f t="shared" si="10"/>
        <v>#DIV/0!</v>
      </c>
      <c r="I47" s="41" t="e">
        <f t="shared" si="2"/>
        <v>#DIV/0!</v>
      </c>
      <c r="T47" s="1"/>
      <c r="U47" s="1"/>
      <c r="V47" s="39" t="str">
        <f t="shared" si="13"/>
        <v/>
      </c>
    </row>
    <row r="48" spans="2:24" x14ac:dyDescent="0.2">
      <c r="C48" s="1"/>
      <c r="D48" s="1"/>
      <c r="E48" s="13"/>
      <c r="G48" s="40"/>
      <c r="H48" s="40"/>
      <c r="I48" s="41"/>
      <c r="X48" t="s">
        <v>57</v>
      </c>
    </row>
    <row r="49" spans="2:22" x14ac:dyDescent="0.2">
      <c r="C49" s="1"/>
      <c r="D49" s="1"/>
      <c r="E49" s="13"/>
      <c r="G49" s="40"/>
      <c r="H49" s="40"/>
      <c r="I49" s="41"/>
    </row>
    <row r="50" spans="2:22" ht="18" customHeight="1" x14ac:dyDescent="0.2">
      <c r="B50" s="140" t="s">
        <v>45</v>
      </c>
      <c r="C50" s="141"/>
      <c r="D50" s="141"/>
      <c r="E50" s="142"/>
      <c r="G50" s="40"/>
      <c r="H50" s="40"/>
      <c r="I50" s="41"/>
      <c r="T50" s="1" t="s">
        <v>7</v>
      </c>
      <c r="U50" s="1" t="s">
        <v>56</v>
      </c>
      <c r="V50" s="1" t="s">
        <v>53</v>
      </c>
    </row>
    <row r="51" spans="2:22" x14ac:dyDescent="0.2">
      <c r="B51" s="7" t="s">
        <v>8</v>
      </c>
      <c r="C51" s="4" t="s">
        <v>3</v>
      </c>
      <c r="D51" s="4" t="s">
        <v>4</v>
      </c>
      <c r="E51" s="36" t="s">
        <v>51</v>
      </c>
      <c r="G51" s="13"/>
      <c r="H51" s="40"/>
      <c r="I51" s="41"/>
      <c r="T51" s="1">
        <f>B52</f>
        <v>0</v>
      </c>
      <c r="U51" s="39" t="e">
        <f>(E$52-E52)/(2*$U$22)</f>
        <v>#DIV/0!</v>
      </c>
      <c r="V51" s="39" t="str">
        <f>IF(C52="","",(H$52-H52)/(2*$V$22))</f>
        <v/>
      </c>
    </row>
    <row r="52" spans="2:22" x14ac:dyDescent="0.2">
      <c r="B52" s="11">
        <v>0</v>
      </c>
      <c r="C52" s="58"/>
      <c r="D52" s="42"/>
      <c r="E52" s="43"/>
      <c r="G52" s="13" t="e">
        <f>AVERAGE(C52:D52)</f>
        <v>#DIV/0!</v>
      </c>
      <c r="H52" s="13" t="e">
        <f t="shared" ref="H52:H58" si="14">G52*$E$21/$G$21</f>
        <v>#DIV/0!</v>
      </c>
      <c r="I52" s="41" t="e">
        <f t="shared" si="2"/>
        <v>#DIV/0!</v>
      </c>
      <c r="T52" s="1">
        <f t="shared" ref="T52:T55" si="15">B53</f>
        <v>2</v>
      </c>
      <c r="U52" s="39" t="e">
        <f t="shared" ref="U52:U55" si="16">(E$52-E53)/(2*$U$22)</f>
        <v>#DIV/0!</v>
      </c>
      <c r="V52" s="39" t="str">
        <f t="shared" ref="V52:V55" si="17">IF(C53="","",(H$52-H53)/(2*$V$22))</f>
        <v/>
      </c>
    </row>
    <row r="53" spans="2:22" x14ac:dyDescent="0.2">
      <c r="B53" s="11">
        <v>2</v>
      </c>
      <c r="C53" s="58"/>
      <c r="D53" s="42"/>
      <c r="E53" s="43"/>
      <c r="G53" s="13" t="e">
        <f t="shared" ref="G53:G58" si="18">AVERAGE(C53:D53)</f>
        <v>#DIV/0!</v>
      </c>
      <c r="H53" s="13" t="e">
        <f t="shared" si="14"/>
        <v>#DIV/0!</v>
      </c>
      <c r="I53" s="41" t="e">
        <f t="shared" si="2"/>
        <v>#DIV/0!</v>
      </c>
      <c r="T53" s="1">
        <f t="shared" si="15"/>
        <v>5</v>
      </c>
      <c r="U53" s="39" t="e">
        <f t="shared" si="16"/>
        <v>#DIV/0!</v>
      </c>
      <c r="V53" s="39" t="str">
        <f t="shared" si="17"/>
        <v/>
      </c>
    </row>
    <row r="54" spans="2:22" x14ac:dyDescent="0.2">
      <c r="B54" s="11">
        <v>5</v>
      </c>
      <c r="C54" s="58"/>
      <c r="D54" s="42"/>
      <c r="E54" s="43"/>
      <c r="G54" s="13" t="e">
        <f t="shared" si="18"/>
        <v>#DIV/0!</v>
      </c>
      <c r="H54" s="13" t="e">
        <f t="shared" si="14"/>
        <v>#DIV/0!</v>
      </c>
      <c r="I54" s="41" t="e">
        <f t="shared" si="2"/>
        <v>#DIV/0!</v>
      </c>
      <c r="T54" s="1">
        <f t="shared" si="15"/>
        <v>8</v>
      </c>
      <c r="U54" s="39" t="e">
        <f t="shared" si="16"/>
        <v>#DIV/0!</v>
      </c>
      <c r="V54" s="39" t="str">
        <f t="shared" si="17"/>
        <v/>
      </c>
    </row>
    <row r="55" spans="2:22" x14ac:dyDescent="0.2">
      <c r="B55" s="10">
        <v>8</v>
      </c>
      <c r="C55" s="58"/>
      <c r="D55" s="42"/>
      <c r="E55" s="43"/>
      <c r="G55" s="13" t="e">
        <f t="shared" si="18"/>
        <v>#DIV/0!</v>
      </c>
      <c r="H55" s="13" t="e">
        <f t="shared" si="14"/>
        <v>#DIV/0!</v>
      </c>
      <c r="I55" s="41" t="e">
        <f t="shared" si="2"/>
        <v>#DIV/0!</v>
      </c>
      <c r="T55" s="1">
        <f t="shared" si="15"/>
        <v>10</v>
      </c>
      <c r="U55" s="39" t="e">
        <f t="shared" si="16"/>
        <v>#DIV/0!</v>
      </c>
      <c r="V55" s="39" t="str">
        <f t="shared" si="17"/>
        <v/>
      </c>
    </row>
    <row r="56" spans="2:22" x14ac:dyDescent="0.2">
      <c r="B56" s="10">
        <v>10</v>
      </c>
      <c r="C56" s="58"/>
      <c r="D56" s="42"/>
      <c r="E56" s="43"/>
      <c r="G56" s="13" t="e">
        <f t="shared" si="18"/>
        <v>#DIV/0!</v>
      </c>
      <c r="H56" s="13" t="e">
        <f t="shared" si="14"/>
        <v>#DIV/0!</v>
      </c>
      <c r="I56" s="41" t="e">
        <f t="shared" si="2"/>
        <v>#DIV/0!</v>
      </c>
      <c r="T56" s="1"/>
      <c r="U56" s="1"/>
      <c r="V56" s="39"/>
    </row>
    <row r="57" spans="2:22" x14ac:dyDescent="0.2">
      <c r="B57" s="10">
        <v>15</v>
      </c>
      <c r="C57" s="58"/>
      <c r="D57" s="42"/>
      <c r="E57" s="43"/>
      <c r="G57" s="13" t="e">
        <f t="shared" si="18"/>
        <v>#DIV/0!</v>
      </c>
      <c r="H57" s="13" t="e">
        <f t="shared" si="14"/>
        <v>#DIV/0!</v>
      </c>
      <c r="I57" s="41" t="e">
        <f t="shared" si="2"/>
        <v>#DIV/0!</v>
      </c>
    </row>
    <row r="58" spans="2:22" x14ac:dyDescent="0.2">
      <c r="B58" s="10">
        <v>20</v>
      </c>
      <c r="C58" s="58"/>
      <c r="D58" s="42"/>
      <c r="E58" s="43"/>
      <c r="G58" s="13" t="e">
        <f t="shared" si="18"/>
        <v>#DIV/0!</v>
      </c>
      <c r="H58" s="13" t="e">
        <f t="shared" si="14"/>
        <v>#DIV/0!</v>
      </c>
      <c r="I58" s="41" t="e">
        <f t="shared" si="2"/>
        <v>#DIV/0!</v>
      </c>
    </row>
    <row r="59" spans="2:22" x14ac:dyDescent="0.2">
      <c r="C59" s="1"/>
      <c r="D59" s="1"/>
      <c r="E59" s="13"/>
      <c r="G59" s="40"/>
      <c r="H59" s="40"/>
      <c r="I59" s="41"/>
    </row>
    <row r="60" spans="2:22" x14ac:dyDescent="0.2">
      <c r="C60" s="1"/>
      <c r="D60" s="1"/>
      <c r="E60" s="13"/>
      <c r="G60" s="40"/>
      <c r="H60" s="40"/>
      <c r="I60" s="41"/>
    </row>
    <row r="61" spans="2:22" ht="18" customHeight="1" x14ac:dyDescent="0.2">
      <c r="B61" s="140" t="s">
        <v>46</v>
      </c>
      <c r="C61" s="141"/>
      <c r="D61" s="141"/>
      <c r="E61" s="142"/>
      <c r="G61" s="40"/>
      <c r="H61" s="40"/>
      <c r="I61" s="41"/>
      <c r="T61" s="1" t="s">
        <v>7</v>
      </c>
      <c r="U61" s="1" t="s">
        <v>56</v>
      </c>
      <c r="V61" s="1" t="s">
        <v>53</v>
      </c>
    </row>
    <row r="62" spans="2:22" x14ac:dyDescent="0.2">
      <c r="B62" s="7" t="s">
        <v>8</v>
      </c>
      <c r="C62" s="4" t="s">
        <v>3</v>
      </c>
      <c r="D62" s="4" t="s">
        <v>4</v>
      </c>
      <c r="E62" s="36" t="s">
        <v>51</v>
      </c>
      <c r="G62" s="40"/>
      <c r="H62" s="40"/>
      <c r="I62" s="41"/>
      <c r="T62" s="1">
        <f>B63</f>
        <v>0</v>
      </c>
      <c r="U62" s="39" t="e">
        <f>(E$63-E63)/(2*$U$22)</f>
        <v>#DIV/0!</v>
      </c>
      <c r="V62" s="39" t="str">
        <f>IF(C63="","",(H$63-H63)/(2*$V$22))</f>
        <v/>
      </c>
    </row>
    <row r="63" spans="2:22" x14ac:dyDescent="0.2">
      <c r="B63" s="10">
        <v>0</v>
      </c>
      <c r="C63" s="58"/>
      <c r="D63" s="42"/>
      <c r="E63" s="43"/>
      <c r="G63" s="13" t="e">
        <f>AVERAGE(C63:D63)</f>
        <v>#DIV/0!</v>
      </c>
      <c r="H63" s="13" t="e">
        <f t="shared" ref="H63:H69" si="19">G63*$E$21/$G$21</f>
        <v>#DIV/0!</v>
      </c>
      <c r="I63" s="41" t="e">
        <f t="shared" si="2"/>
        <v>#DIV/0!</v>
      </c>
      <c r="T63" s="1">
        <f t="shared" ref="T63:T64" si="20">B64</f>
        <v>2</v>
      </c>
      <c r="U63" s="39" t="e">
        <f t="shared" ref="U63:U64" si="21">(E$63-E64)/(2*$U$22)</f>
        <v>#DIV/0!</v>
      </c>
      <c r="V63" s="39" t="str">
        <f t="shared" ref="V63:V64" si="22">IF(C64="","",(H$63-H64)/(2*$V$22))</f>
        <v/>
      </c>
    </row>
    <row r="64" spans="2:22" x14ac:dyDescent="0.2">
      <c r="B64" s="10">
        <v>2</v>
      </c>
      <c r="C64" s="58"/>
      <c r="D64" s="58"/>
      <c r="E64" s="43"/>
      <c r="G64" s="13" t="e">
        <f t="shared" ref="G64:G69" si="23">AVERAGE(C64:D64)</f>
        <v>#DIV/0!</v>
      </c>
      <c r="H64" s="13" t="e">
        <f t="shared" si="19"/>
        <v>#DIV/0!</v>
      </c>
      <c r="I64" s="41" t="e">
        <f t="shared" si="2"/>
        <v>#DIV/0!</v>
      </c>
      <c r="T64" s="1">
        <f t="shared" si="20"/>
        <v>5</v>
      </c>
      <c r="U64" s="39" t="e">
        <f t="shared" si="21"/>
        <v>#DIV/0!</v>
      </c>
      <c r="V64" s="39" t="str">
        <f t="shared" si="22"/>
        <v/>
      </c>
    </row>
    <row r="65" spans="2:22" x14ac:dyDescent="0.2">
      <c r="B65" s="10">
        <v>5</v>
      </c>
      <c r="C65" s="58"/>
      <c r="D65" s="58"/>
      <c r="E65" s="43"/>
      <c r="G65" s="13" t="e">
        <f t="shared" si="23"/>
        <v>#DIV/0!</v>
      </c>
      <c r="H65" s="13" t="e">
        <f t="shared" si="19"/>
        <v>#DIV/0!</v>
      </c>
      <c r="I65" s="41" t="e">
        <f t="shared" si="2"/>
        <v>#DIV/0!</v>
      </c>
      <c r="T65" s="1"/>
      <c r="U65" s="1"/>
      <c r="V65" s="39"/>
    </row>
    <row r="66" spans="2:22" x14ac:dyDescent="0.2">
      <c r="B66" s="10">
        <v>8</v>
      </c>
      <c r="C66" s="58"/>
      <c r="D66" s="58"/>
      <c r="E66" s="43"/>
      <c r="G66" s="13" t="e">
        <f t="shared" si="23"/>
        <v>#DIV/0!</v>
      </c>
      <c r="H66" s="13" t="e">
        <f t="shared" si="19"/>
        <v>#DIV/0!</v>
      </c>
      <c r="I66" s="41" t="e">
        <f t="shared" si="2"/>
        <v>#DIV/0!</v>
      </c>
      <c r="T66" s="1"/>
      <c r="U66" s="1"/>
      <c r="V66" s="39"/>
    </row>
    <row r="67" spans="2:22" x14ac:dyDescent="0.2">
      <c r="B67" s="10">
        <v>10</v>
      </c>
      <c r="C67" s="58"/>
      <c r="D67" s="58"/>
      <c r="E67" s="43"/>
      <c r="G67" s="13" t="e">
        <f t="shared" si="23"/>
        <v>#DIV/0!</v>
      </c>
      <c r="H67" s="13" t="e">
        <f t="shared" si="19"/>
        <v>#DIV/0!</v>
      </c>
      <c r="I67" s="41" t="e">
        <f t="shared" si="2"/>
        <v>#DIV/0!</v>
      </c>
    </row>
    <row r="68" spans="2:22" x14ac:dyDescent="0.2">
      <c r="B68" s="10">
        <v>15</v>
      </c>
      <c r="C68" s="58"/>
      <c r="D68" s="58"/>
      <c r="E68" s="43"/>
      <c r="G68" s="13" t="e">
        <f t="shared" si="23"/>
        <v>#DIV/0!</v>
      </c>
      <c r="H68" s="13" t="e">
        <f t="shared" si="19"/>
        <v>#DIV/0!</v>
      </c>
      <c r="I68" s="41" t="e">
        <f t="shared" si="2"/>
        <v>#DIV/0!</v>
      </c>
    </row>
    <row r="69" spans="2:22" x14ac:dyDescent="0.2">
      <c r="B69" s="10">
        <v>20</v>
      </c>
      <c r="C69" s="58"/>
      <c r="D69" s="58"/>
      <c r="E69" s="43"/>
      <c r="G69" s="13" t="e">
        <f t="shared" si="23"/>
        <v>#DIV/0!</v>
      </c>
      <c r="H69" s="13" t="e">
        <f t="shared" si="19"/>
        <v>#DIV/0!</v>
      </c>
      <c r="I69" s="41" t="e">
        <f t="shared" si="2"/>
        <v>#DIV/0!</v>
      </c>
    </row>
    <row r="70" spans="2:22" x14ac:dyDescent="0.2">
      <c r="H70" s="40"/>
    </row>
    <row r="71" spans="2:22" x14ac:dyDescent="0.2">
      <c r="H71" s="40"/>
    </row>
    <row r="72" spans="2:22" x14ac:dyDescent="0.2">
      <c r="H72" s="40"/>
    </row>
    <row r="73" spans="2:22" x14ac:dyDescent="0.2">
      <c r="H73" s="40"/>
    </row>
    <row r="74" spans="2:22" x14ac:dyDescent="0.2">
      <c r="H74" s="40"/>
    </row>
    <row r="75" spans="2:22" x14ac:dyDescent="0.2">
      <c r="H75" s="40"/>
    </row>
    <row r="76" spans="2:22" x14ac:dyDescent="0.2">
      <c r="H76" s="40"/>
    </row>
    <row r="77" spans="2:22" x14ac:dyDescent="0.2">
      <c r="H77" s="40"/>
    </row>
    <row r="78" spans="2:22" x14ac:dyDescent="0.2">
      <c r="H78" s="40"/>
    </row>
    <row r="79" spans="2:22" x14ac:dyDescent="0.2">
      <c r="H79" s="40"/>
    </row>
    <row r="80" spans="2:22" x14ac:dyDescent="0.2">
      <c r="H80" s="40"/>
    </row>
    <row r="81" spans="8:8" x14ac:dyDescent="0.2">
      <c r="H81" s="40"/>
    </row>
    <row r="82" spans="8:8" x14ac:dyDescent="0.2">
      <c r="H82" s="40"/>
    </row>
    <row r="83" spans="8:8" x14ac:dyDescent="0.2">
      <c r="H83" s="40"/>
    </row>
    <row r="84" spans="8:8" x14ac:dyDescent="0.2">
      <c r="H84" s="40"/>
    </row>
    <row r="85" spans="8:8" x14ac:dyDescent="0.2">
      <c r="H85" s="40"/>
    </row>
    <row r="86" spans="8:8" x14ac:dyDescent="0.2">
      <c r="H86" s="40"/>
    </row>
    <row r="87" spans="8:8" x14ac:dyDescent="0.2">
      <c r="H87" s="40"/>
    </row>
    <row r="88" spans="8:8" x14ac:dyDescent="0.2">
      <c r="H88" s="40"/>
    </row>
    <row r="89" spans="8:8" x14ac:dyDescent="0.2">
      <c r="H89" s="40"/>
    </row>
    <row r="90" spans="8:8" x14ac:dyDescent="0.2">
      <c r="H90" s="40"/>
    </row>
    <row r="91" spans="8:8" x14ac:dyDescent="0.2">
      <c r="H91" s="40"/>
    </row>
    <row r="92" spans="8:8" x14ac:dyDescent="0.2">
      <c r="H92" s="40"/>
    </row>
    <row r="93" spans="8:8" x14ac:dyDescent="0.2">
      <c r="H93" s="40"/>
    </row>
    <row r="94" spans="8:8" x14ac:dyDescent="0.2">
      <c r="H94" s="40"/>
    </row>
    <row r="95" spans="8:8" x14ac:dyDescent="0.2">
      <c r="H95" s="40"/>
    </row>
  </sheetData>
  <mergeCells count="7">
    <mergeCell ref="B61:E61"/>
    <mergeCell ref="B19:E19"/>
    <mergeCell ref="Y19:Z19"/>
    <mergeCell ref="U28:V28"/>
    <mergeCell ref="B29:E29"/>
    <mergeCell ref="B41:E41"/>
    <mergeCell ref="B50:E50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Information</vt:lpstr>
      <vt:lpstr>6 MV</vt:lpstr>
      <vt:lpstr>Other energies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Hernandez Masgrau, Victor</dc:creator>
  <cp:lastModifiedBy>Jordi Saez</cp:lastModifiedBy>
  <cp:lastPrinted>2018-09-24T07:44:41Z</cp:lastPrinted>
  <dcterms:created xsi:type="dcterms:W3CDTF">2017-11-09T08:42:21Z</dcterms:created>
  <dcterms:modified xsi:type="dcterms:W3CDTF">2022-04-19T14:42:54Z</dcterms:modified>
</cp:coreProperties>
</file>