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Liam Stubbington\beam-model\sweeping_gap\"/>
    </mc:Choice>
  </mc:AlternateContent>
  <bookViews>
    <workbookView xWindow="19320" yWindow="0" windowWidth="9480" windowHeight="12285" activeTab="1"/>
  </bookViews>
  <sheets>
    <sheet name="Notes" sheetId="1" r:id="rId1"/>
    <sheet name="ImageJ" sheetId="8" r:id="rId2"/>
    <sheet name="Transmission" sheetId="10" r:id="rId3"/>
  </sheets>
  <definedNames>
    <definedName name="TRANSMISSION_10X">ImageJ!$B$80</definedName>
    <definedName name="TRANSMISSION_10X_FFF">ImageJ!$B$60</definedName>
    <definedName name="TRANSMISSION_6X">ImageJ!$B$20</definedName>
    <definedName name="TRANSMISSION_6X_FFF">ImageJ!$B$40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8" l="1"/>
  <c r="B40" i="8"/>
  <c r="D83" i="8" l="1"/>
  <c r="O28" i="8"/>
  <c r="B43" i="8" s="1" a="1"/>
  <c r="B43" i="8" s="1"/>
  <c r="O29" i="8"/>
  <c r="O30" i="8"/>
  <c r="O31" i="8"/>
  <c r="O32" i="8"/>
  <c r="O33" i="8"/>
  <c r="O34" i="8"/>
  <c r="O35" i="8"/>
  <c r="O36" i="8"/>
  <c r="O37" i="8"/>
  <c r="B20" i="8" a="1"/>
  <c r="O8" i="8"/>
  <c r="O9" i="8"/>
  <c r="O10" i="8"/>
  <c r="O11" i="8"/>
  <c r="O12" i="8"/>
  <c r="O13" i="8"/>
  <c r="O14" i="8"/>
  <c r="O15" i="8"/>
  <c r="O16" i="8"/>
  <c r="O17" i="8"/>
  <c r="B83" i="8" a="1"/>
  <c r="B83" i="8" s="1"/>
  <c r="O68" i="8"/>
  <c r="O69" i="8"/>
  <c r="O70" i="8"/>
  <c r="O71" i="8"/>
  <c r="O72" i="8"/>
  <c r="O73" i="8"/>
  <c r="O74" i="8"/>
  <c r="O75" i="8"/>
  <c r="O76" i="8"/>
  <c r="O77" i="8"/>
  <c r="B80" i="8"/>
  <c r="D80" i="8" s="1"/>
  <c r="F17" i="10"/>
  <c r="F15" i="10"/>
  <c r="F16" i="10"/>
  <c r="F14" i="10"/>
  <c r="D40" i="8" l="1"/>
  <c r="B20" i="8"/>
  <c r="C43" i="8"/>
  <c r="C83" i="8"/>
  <c r="O48" i="8"/>
  <c r="O49" i="8"/>
  <c r="O50" i="8"/>
  <c r="O51" i="8"/>
  <c r="O52" i="8"/>
  <c r="O53" i="8"/>
  <c r="O54" i="8"/>
  <c r="O55" i="8"/>
  <c r="O56" i="8"/>
  <c r="O57" i="8"/>
  <c r="B63" i="8" l="1" a="1"/>
  <c r="D20" i="8"/>
  <c r="B60" i="8"/>
  <c r="D60" i="8" s="1"/>
  <c r="B23" i="8" a="1"/>
  <c r="B23" i="8" s="1"/>
  <c r="C63" i="8" l="1"/>
  <c r="D63" i="8" s="1"/>
  <c r="E63" i="8" s="1"/>
  <c r="B63" i="8"/>
  <c r="C23" i="8"/>
  <c r="D23" i="8" s="1"/>
  <c r="E23" i="8" s="1"/>
  <c r="D43" i="8"/>
  <c r="E43" i="8" s="1"/>
</calcChain>
</file>

<file path=xl/sharedStrings.xml><?xml version="1.0" encoding="utf-8"?>
<sst xmlns="http://schemas.openxmlformats.org/spreadsheetml/2006/main" count="215" uniqueCount="105">
  <si>
    <t>References:</t>
  </si>
  <si>
    <t>Hernandez, V. et al. (2018) ‘A new method for modelling the tongue-and-groove in treatment planning systems’, Physics in Medicine &amp; Biology, 63(24), p. 245005. Available at: https://doi.org/10.1088/1361-6560/aaf098.</t>
  </si>
  <si>
    <t>LINAC:</t>
  </si>
  <si>
    <t>DATE:</t>
  </si>
  <si>
    <t>DETECTOR:</t>
  </si>
  <si>
    <t>ELECTROMETER:</t>
  </si>
  <si>
    <t>DICOM Files:</t>
  </si>
  <si>
    <t xml:space="preserve">SETUP: </t>
  </si>
  <si>
    <t>d [cm]</t>
  </si>
  <si>
    <t>R2</t>
  </si>
  <si>
    <t>R3</t>
  </si>
  <si>
    <t>LA8</t>
  </si>
  <si>
    <t>NOTES:</t>
  </si>
  <si>
    <t>MLC_A</t>
  </si>
  <si>
    <t>MLC_B</t>
  </si>
  <si>
    <t xml:space="preserve">MACRO: </t>
  </si>
  <si>
    <t>C:\Program Files\ImageJ\macros\SweepingGapTools.ijm</t>
  </si>
  <si>
    <t>Label</t>
  </si>
  <si>
    <t>Area</t>
  </si>
  <si>
    <t>Mean</t>
  </si>
  <si>
    <t>StdDev</t>
  </si>
  <si>
    <t>Mode</t>
  </si>
  <si>
    <t>Min</t>
  </si>
  <si>
    <t>Max</t>
  </si>
  <si>
    <t>X</t>
  </si>
  <si>
    <t>Y</t>
  </si>
  <si>
    <t>IntDen</t>
  </si>
  <si>
    <t>Median</t>
  </si>
  <si>
    <t>%Area</t>
  </si>
  <si>
    <t>RawIntDen</t>
  </si>
  <si>
    <t>6X DLG</t>
  </si>
  <si>
    <t>DLG</t>
  </si>
  <si>
    <t>Gap [cm]</t>
  </si>
  <si>
    <t>TRANS_A</t>
  </si>
  <si>
    <t>TRANS_B</t>
  </si>
  <si>
    <t>TRANSMISSION 6X</t>
  </si>
  <si>
    <t>EPID</t>
  </si>
  <si>
    <t>RayStation</t>
  </si>
  <si>
    <t>INTERCEPT</t>
  </si>
  <si>
    <t>(1-T)</t>
  </si>
  <si>
    <t>DLG 6X</t>
  </si>
  <si>
    <t>DLG [cm]</t>
  </si>
  <si>
    <t>OPEN</t>
  </si>
  <si>
    <r>
      <t>GRADIENT [cm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]</t>
    </r>
  </si>
  <si>
    <t>TRANSMISSION 6X FFF</t>
  </si>
  <si>
    <t>DLG 6X FFF</t>
  </si>
  <si>
    <t>EPID Signal</t>
  </si>
  <si>
    <t>TRANSMISSION 10X FFF</t>
  </si>
  <si>
    <t>DLG 10X FFF</t>
  </si>
  <si>
    <t>INTER/GRAD</t>
  </si>
  <si>
    <t>LA7</t>
  </si>
  <si>
    <t>U:\Liam Stubbington\beam-model\sweeping_gap\varian_dcm</t>
  </si>
  <si>
    <t>E13</t>
  </si>
  <si>
    <t>6X</t>
  </si>
  <si>
    <t>R1</t>
  </si>
  <si>
    <t xml:space="preserve">AVERAGE [nC] </t>
  </si>
  <si>
    <t>TRANSMISSION [%]</t>
  </si>
  <si>
    <t>6X FFF</t>
  </si>
  <si>
    <t>10X</t>
  </si>
  <si>
    <t>10X FFF</t>
  </si>
  <si>
    <t>U:\Liam Stubbington\beam-model\sweeping_gap\varian_dcm\</t>
  </si>
  <si>
    <t xml:space="preserve">10×10cm square field. 
Fields delivered to the EPID in Dosimetry mode. </t>
  </si>
  <si>
    <t xml:space="preserve">10×10cm square field. 
Chamber @ +5.0cm depth in blocks.
Chamber orientated perpendicular to the direction of MLC travel. 
For closed MLC fields, plan MU overridden in service to 500MU. Factor 0.2 applied in calculated transmission. </t>
  </si>
  <si>
    <t xml:space="preserve"> 2mm :  10x [MV], 400 [MU/min]  </t>
  </si>
  <si>
    <t xml:space="preserve"> 20mm:  10x [MV], 400 [MU/min]  </t>
  </si>
  <si>
    <t xml:space="preserve"> 14mm:  10x [MV], 400 [MU/min]  </t>
  </si>
  <si>
    <t xml:space="preserve"> TransmB :  10x [MV], 400 [MU/min]  </t>
  </si>
  <si>
    <t xml:space="preserve"> 6mm :  10x [MV], 400 [MU/min]  </t>
  </si>
  <si>
    <t xml:space="preserve"> 4mm :  10x [MV], 400 [MU/min]  </t>
  </si>
  <si>
    <t xml:space="preserve"> 10mm:  10x [MV], 400 [MU/min]  </t>
  </si>
  <si>
    <t xml:space="preserve"> TransmA :  10x [MV], 400 [MU/min]  </t>
  </si>
  <si>
    <t xml:space="preserve"> 16mm:  10x [MV], 400 [MU/min]  </t>
  </si>
  <si>
    <t xml:space="preserve"> Open:  10x [MV], 400 [MU/min]  </t>
  </si>
  <si>
    <t xml:space="preserve">TRANSMISSION 10X </t>
  </si>
  <si>
    <t>DLG 10X</t>
  </si>
  <si>
    <t xml:space="preserve"> 16mm:  6x [MV], 400 [MU/min]  </t>
  </si>
  <si>
    <t xml:space="preserve"> TransmA :  6x [MV], 400 [MU/min]  </t>
  </si>
  <si>
    <t xml:space="preserve"> 14mm:  6x [MV], 400 [MU/min]  </t>
  </si>
  <si>
    <t xml:space="preserve"> 20mm:  6x [MV], 400 [MU/min]  </t>
  </si>
  <si>
    <t xml:space="preserve"> 2mm :  6x [MV], 400 [MU/min]  </t>
  </si>
  <si>
    <t xml:space="preserve"> TransmB :  6x [MV], 400 [MU/min]  </t>
  </si>
  <si>
    <t xml:space="preserve"> Open:  6x [MV], 400 [MU/min]  </t>
  </si>
  <si>
    <t xml:space="preserve"> 6mm :  6x [MV], 400 [MU/min]  </t>
  </si>
  <si>
    <t xml:space="preserve"> 4mm :  6x [MV], 400 [MU/min]  </t>
  </si>
  <si>
    <t xml:space="preserve"> 10mm:  6x [MV], 400 [MU/min]  </t>
  </si>
  <si>
    <t xml:space="preserve"> 4mm :  6xFFF [MV], 400 [MU/min]  </t>
  </si>
  <si>
    <t xml:space="preserve"> Open:  6xFFF [MV], 400 [MU/min]  </t>
  </si>
  <si>
    <t xml:space="preserve"> 6mm :  6xFFF [MV], 400 [MU/min]  </t>
  </si>
  <si>
    <t xml:space="preserve"> TransmB :  6xFFF [MV], 400 [MU/min]  </t>
  </si>
  <si>
    <t xml:space="preserve"> 16mm:  6xFFF [MV], 400 [MU/min]  </t>
  </si>
  <si>
    <t xml:space="preserve"> 14mm:  6xFFF [MV], 400 [MU/min]  </t>
  </si>
  <si>
    <t xml:space="preserve"> 2mm :  6xFFF [MV], 400 [MU/min]  </t>
  </si>
  <si>
    <t xml:space="preserve"> TransmA :  6xFFF [MV], 400 [MU/min]  </t>
  </si>
  <si>
    <t xml:space="preserve"> 10mm:  6xFFF [MV], 400 [MU/min]  </t>
  </si>
  <si>
    <t xml:space="preserve"> 20mm:  6xFFF [MV], 400 [MU/min]  </t>
  </si>
  <si>
    <t xml:space="preserve"> 2mm :  10xFFF [MV], 400 [MU/min]  </t>
  </si>
  <si>
    <t xml:space="preserve"> 4mm :  10xFFF [MV], 400 [MU/min]  </t>
  </si>
  <si>
    <t xml:space="preserve"> 6mm :  10xFFF [MV], 400 [MU/min]  </t>
  </si>
  <si>
    <t xml:space="preserve"> 10mm:  10xFFF [MV], 400 [MU/min]  </t>
  </si>
  <si>
    <t xml:space="preserve"> 14mm:  10xFFF [MV], 400 [MU/min]  </t>
  </si>
  <si>
    <t xml:space="preserve"> 16mm:  10xFFF [MV], 400 [MU/min]  </t>
  </si>
  <si>
    <t xml:space="preserve"> 20mm:  10xFFF [MV], 400 [MU/min]  </t>
  </si>
  <si>
    <t xml:space="preserve"> Open:  10xFFF [MV], 400 [MU/min]  </t>
  </si>
  <si>
    <t xml:space="preserve"> TransmB :  10xFFF [MV], 400 [MU/min]  </t>
  </si>
  <si>
    <t xml:space="preserve"> TransmA :  10xFFF [MV], 400 [MU/min]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</si>
</sst>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8" formatCode="0.000%"/>
  </numFmts>
  <fonts count="8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</cellStyleXfs>
  <cellXfs count="23">
    <xf numFmtId="0" fontId="0" fillId="0" borderId="0" xfId="0"/>
    <xf numFmtId="0" fontId="3" fillId="0" borderId="0" xfId="3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/>
    <xf numFmtId="0" fontId="2" fillId="2" borderId="2" xfId="2"/>
    <xf numFmtId="0" fontId="5" fillId="3" borderId="2" xfId="4"/>
    <xf numFmtId="10" fontId="2" fillId="2" borderId="2" xfId="2" applyNumberFormat="1"/>
    <xf numFmtId="165" fontId="2" fillId="2" borderId="2" xfId="2" applyNumberFormat="1"/>
    <xf numFmtId="0" fontId="0" fillId="0" borderId="0" xfId="0" applyAlignment="1">
      <alignment horizontal="center" wrapText="1"/>
    </xf>
    <xf numFmtId="164" fontId="0" fillId="0" borderId="0" xfId="0" applyNumberFormat="1"/>
    <xf numFmtId="166" fontId="2" fillId="2" borderId="2" xfId="2" applyNumberFormat="1"/>
    <xf numFmtId="0" fontId="7" fillId="4" borderId="4" xfId="0" applyFont="1" applyFill="1" applyBorder="1"/>
    <xf numFmtId="165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vertical="top" wrapText="1"/>
    </xf>
    <xf numFmtId="168" fontId="2" fillId="2" borderId="2" xfId="2" applyNumberFormat="1"/>
    <xf numFmtId="0" fontId="0" fillId="0" borderId="0" xfId="0" applyAlignment="1"/>
    <xf numFmtId="0" fontId="1" fillId="0" borderId="1" xfId="1" applyAlignment="1">
      <alignment horizontal="center"/>
    </xf>
    <xf numFmtId="0" fontId="6" fillId="0" borderId="3" xfId="5" applyAlignment="1">
      <alignment horizontal="center"/>
    </xf>
  </cellXfs>
  <cellStyles count="6">
    <cellStyle name="Calculation" xfId="2" builtinId="22"/>
    <cellStyle name="Heading 1" xfId="5" builtinId="16"/>
    <cellStyle name="Heading 2" xfId="1" builtinId="17"/>
    <cellStyle name="Hyperlink" xfId="3" builtinId="8"/>
    <cellStyle name="Input" xfId="4" builtinId="20"/>
    <cellStyle name="Normal" xfId="0" builtinId="0"/>
  </cellStyles>
  <dxfs count="53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9</xdr:row>
      <xdr:rowOff>95250</xdr:rowOff>
    </xdr:from>
    <xdr:to>
      <xdr:col>2</xdr:col>
      <xdr:colOff>10706100</xdr:colOff>
      <xdr:row>23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2295525"/>
          <a:ext cx="10058400" cy="2828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O17" totalsRowShown="0">
  <autoFilter ref="A7:O17"/>
  <sortState ref="A7:N15">
    <sortCondition ref="H6:H15"/>
  </sortState>
  <tableColumns count="15">
    <tableColumn id="1" name="Label"/>
    <tableColumn id="2" name="Area" dataDxfId="52"/>
    <tableColumn id="3" name="Mean" dataDxfId="51"/>
    <tableColumn id="4" name="StdDev" dataDxfId="50"/>
    <tableColumn id="5" name="Mode" dataDxfId="49"/>
    <tableColumn id="6" name="Min" dataDxfId="48"/>
    <tableColumn id="7" name="Max" dataDxfId="47"/>
    <tableColumn id="8" name="X" dataDxfId="46"/>
    <tableColumn id="9" name="Y" dataDxfId="45"/>
    <tableColumn id="10" name="IntDen" dataDxfId="44"/>
    <tableColumn id="11" name="Median" dataDxfId="43"/>
    <tableColumn id="12" name="%Area" dataDxfId="42"/>
    <tableColumn id="13" name="RawIntDen" dataDxfId="41"/>
    <tableColumn id="14" name="Gap [cm]" dataDxfId="40"/>
    <tableColumn id="15" name="EPID Signal" dataDxfId="1">
      <calculatedColumnFormula>Table2[[#This Row],[IntDen]]/$J$15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7:O37" totalsRowShown="0">
  <autoFilter ref="A27:O37"/>
  <sortState ref="A26:O35">
    <sortCondition descending="1" ref="A25:A35"/>
  </sortState>
  <tableColumns count="15">
    <tableColumn id="1" name="Label"/>
    <tableColumn id="2" name="Area" dataDxfId="39"/>
    <tableColumn id="3" name="Mean" dataDxfId="38"/>
    <tableColumn id="4" name="StdDev" dataDxfId="37"/>
    <tableColumn id="5" name="Mode" dataDxfId="36"/>
    <tableColumn id="6" name="Min" dataDxfId="35"/>
    <tableColumn id="7" name="Max" dataDxfId="34"/>
    <tableColumn id="8" name="X" dataDxfId="33"/>
    <tableColumn id="9" name="Y" dataDxfId="32"/>
    <tableColumn id="10" name="IntDen" dataDxfId="31"/>
    <tableColumn id="11" name="Median" dataDxfId="30"/>
    <tableColumn id="12" name="%Area" dataDxfId="29"/>
    <tableColumn id="13" name="RawIntDen" dataDxfId="28"/>
    <tableColumn id="14" name="Gap [cm]"/>
    <tableColumn id="15" name="EPID Signal" dataDxfId="0">
      <calculatedColumnFormula>Table3[[#This Row],[IntDen]]/$J$35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7:O57" totalsRowShown="0">
  <autoFilter ref="A47:O57"/>
  <sortState ref="A45:O54">
    <sortCondition ref="A44:A54"/>
  </sortState>
  <tableColumns count="15">
    <tableColumn id="1" name="Label"/>
    <tableColumn id="2" name="Area" dataDxfId="27"/>
    <tableColumn id="3" name="Mean" dataDxfId="26"/>
    <tableColumn id="4" name="StdDev" dataDxfId="25"/>
    <tableColumn id="5" name="Mode" dataDxfId="24"/>
    <tableColumn id="6" name="Min" dataDxfId="23"/>
    <tableColumn id="7" name="Max" dataDxfId="22"/>
    <tableColumn id="8" name="X" dataDxfId="21"/>
    <tableColumn id="9" name="Y" dataDxfId="20"/>
    <tableColumn id="10" name="IntDen" dataDxfId="19"/>
    <tableColumn id="11" name="Median" dataDxfId="18"/>
    <tableColumn id="12" name="%Area" dataDxfId="17"/>
    <tableColumn id="13" name="RawIntDen" dataDxfId="16"/>
    <tableColumn id="14" name="Gap [cm]"/>
    <tableColumn id="15" name="EPID Signal" dataDxfId="15">
      <calculatedColumnFormula>Table4[[#This Row],[IntDen]]/$J$55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67:O77" totalsRowShown="0">
  <autoFilter ref="A67:O77"/>
  <sortState ref="A64:O73">
    <sortCondition ref="A63:A73"/>
  </sortState>
  <tableColumns count="15">
    <tableColumn id="1" name="Label"/>
    <tableColumn id="2" name="Area" dataDxfId="14"/>
    <tableColumn id="3" name="Mean" dataDxfId="13"/>
    <tableColumn id="4" name="StdDev" dataDxfId="12"/>
    <tableColumn id="5" name="Mode" dataDxfId="11"/>
    <tableColumn id="6" name="Min" dataDxfId="10"/>
    <tableColumn id="7" name="Max" dataDxfId="9"/>
    <tableColumn id="8" name="X" dataDxfId="8"/>
    <tableColumn id="9" name="Y" dataDxfId="7"/>
    <tableColumn id="10" name="IntDen" dataDxfId="6"/>
    <tableColumn id="11" name="Median" dataDxfId="5"/>
    <tableColumn id="12" name="%Area" dataDxfId="4"/>
    <tableColumn id="13" name="RawIntDen" dataDxfId="3"/>
    <tableColumn id="14" name="Gap [cm]"/>
    <tableColumn id="15" name="EPID Signal" dataDxfId="2">
      <calculatedColumnFormula>J68/$J$75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88/1361-6560/aaf09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0" sqref="C10"/>
    </sheetView>
  </sheetViews>
  <sheetFormatPr defaultColWidth="11" defaultRowHeight="15.75" x14ac:dyDescent="0.25"/>
  <cols>
    <col min="1" max="1" width="2.875" customWidth="1"/>
    <col min="2" max="2" width="20.875" customWidth="1"/>
    <col min="3" max="3" width="150.875" customWidth="1"/>
    <col min="4" max="4" width="2.875" customWidth="1"/>
  </cols>
  <sheetData>
    <row r="1" spans="2:3" ht="31.5" x14ac:dyDescent="0.25">
      <c r="B1" t="s">
        <v>0</v>
      </c>
      <c r="C1" s="1" t="s">
        <v>1</v>
      </c>
    </row>
    <row r="3" spans="2:3" x14ac:dyDescent="0.25">
      <c r="B3" t="s">
        <v>2</v>
      </c>
      <c r="C3" s="5" t="s">
        <v>11</v>
      </c>
    </row>
    <row r="4" spans="2:3" x14ac:dyDescent="0.25">
      <c r="B4" t="s">
        <v>3</v>
      </c>
      <c r="C4" s="6">
        <v>44928</v>
      </c>
    </row>
    <row r="6" spans="2:3" x14ac:dyDescent="0.25">
      <c r="B6" t="s">
        <v>6</v>
      </c>
      <c r="C6" t="s">
        <v>60</v>
      </c>
    </row>
    <row r="8" spans="2:3" ht="31.5" x14ac:dyDescent="0.25">
      <c r="B8" s="3" t="s">
        <v>7</v>
      </c>
      <c r="C8" s="2" t="s">
        <v>61</v>
      </c>
    </row>
    <row r="10" spans="2:3" x14ac:dyDescent="0.25">
      <c r="B10" s="3" t="s">
        <v>12</v>
      </c>
      <c r="C10" s="2"/>
    </row>
  </sheetData>
  <hyperlinks>
    <hyperlink ref="C1" r:id="rId1" display="https://doi.org/10.1088/1361-6560/aaf098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topLeftCell="A19" zoomScale="71" zoomScaleNormal="71" workbookViewId="0">
      <selection activeCell="Q27" sqref="Q27"/>
    </sheetView>
  </sheetViews>
  <sheetFormatPr defaultRowHeight="15.75" x14ac:dyDescent="0.25"/>
  <cols>
    <col min="1" max="1" width="42.625" bestFit="1" customWidth="1"/>
    <col min="2" max="15" width="13.125" customWidth="1"/>
    <col min="17" max="17" width="41.5" bestFit="1" customWidth="1"/>
    <col min="18" max="18" width="8.75" customWidth="1"/>
    <col min="19" max="23" width="8.375" customWidth="1"/>
    <col min="24" max="26" width="8.75" customWidth="1"/>
    <col min="27" max="27" width="8.375" customWidth="1"/>
    <col min="28" max="28" width="8.75" customWidth="1"/>
    <col min="29" max="29" width="10.375" bestFit="1" customWidth="1"/>
  </cols>
  <sheetData>
    <row r="1" spans="1:29" x14ac:dyDescent="0.25">
      <c r="A1" t="s">
        <v>15</v>
      </c>
      <c r="B1" t="s">
        <v>16</v>
      </c>
    </row>
    <row r="3" spans="1:29" ht="20.25" thickBot="1" x14ac:dyDescent="0.35">
      <c r="A3" s="22" t="s">
        <v>31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29" ht="16.5" thickTop="1" x14ac:dyDescent="0.25"/>
    <row r="5" spans="1:29" ht="18" thickBot="1" x14ac:dyDescent="0.35">
      <c r="A5" s="21" t="s">
        <v>30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9" ht="16.5" thickTop="1" x14ac:dyDescent="0.25"/>
    <row r="7" spans="1:29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32</v>
      </c>
      <c r="O7" t="s">
        <v>46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t="s">
        <v>79</v>
      </c>
      <c r="B8" s="7">
        <v>22500</v>
      </c>
      <c r="C8" s="7">
        <v>1.1950000000000001E-2</v>
      </c>
      <c r="D8" s="7">
        <v>4.75E-4</v>
      </c>
      <c r="E8" s="7">
        <v>1.1860000000000001E-2</v>
      </c>
      <c r="F8" s="7">
        <v>1.051E-2</v>
      </c>
      <c r="G8" s="7">
        <v>2.051E-2</v>
      </c>
      <c r="H8" s="7">
        <v>595</v>
      </c>
      <c r="I8" s="7">
        <v>595</v>
      </c>
      <c r="J8" s="7">
        <v>268.89999999999998</v>
      </c>
      <c r="K8" s="7">
        <v>1.1900000000000001E-2</v>
      </c>
      <c r="L8" s="7">
        <v>100</v>
      </c>
      <c r="M8" s="7">
        <v>268.89999999999998</v>
      </c>
      <c r="N8" s="13">
        <v>0.2</v>
      </c>
      <c r="O8" s="7">
        <f>Table2[[#This Row],[IntDen]]/$J$15</f>
        <v>2.6597428288822944E-2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t="s">
        <v>83</v>
      </c>
      <c r="B9" s="7">
        <v>22500</v>
      </c>
      <c r="C9" s="7">
        <v>1.915E-2</v>
      </c>
      <c r="D9" s="7">
        <v>4.7830000000000003E-4</v>
      </c>
      <c r="E9" s="7">
        <v>1.9089999999999999E-2</v>
      </c>
      <c r="F9" s="7">
        <v>1.7690000000000001E-2</v>
      </c>
      <c r="G9" s="7">
        <v>2.7539999999999999E-2</v>
      </c>
      <c r="H9" s="7">
        <v>595</v>
      </c>
      <c r="I9" s="7">
        <v>595</v>
      </c>
      <c r="J9" s="7">
        <v>430.9</v>
      </c>
      <c r="K9" s="7">
        <v>1.9099999999999999E-2</v>
      </c>
      <c r="L9" s="7">
        <v>100</v>
      </c>
      <c r="M9" s="7">
        <v>430.9</v>
      </c>
      <c r="N9" s="13">
        <v>0.4</v>
      </c>
      <c r="O9" s="7">
        <f>Table2[[#This Row],[IntDen]]/$J$15</f>
        <v>4.2621167161226506E-2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t="s">
        <v>82</v>
      </c>
      <c r="B10" s="7">
        <v>22500</v>
      </c>
      <c r="C10" s="7">
        <v>2.6530000000000001E-2</v>
      </c>
      <c r="D10" s="7">
        <v>4.6890000000000001E-4</v>
      </c>
      <c r="E10" s="7">
        <v>2.6419999999999999E-2</v>
      </c>
      <c r="F10" s="7">
        <v>2.5080000000000002E-2</v>
      </c>
      <c r="G10" s="7">
        <v>3.4720000000000001E-2</v>
      </c>
      <c r="H10" s="7">
        <v>595</v>
      </c>
      <c r="I10" s="7">
        <v>595</v>
      </c>
      <c r="J10" s="7">
        <v>596.9</v>
      </c>
      <c r="K10" s="7">
        <v>2.648E-2</v>
      </c>
      <c r="L10" s="7">
        <v>100</v>
      </c>
      <c r="M10" s="7">
        <v>596.9</v>
      </c>
      <c r="N10" s="13">
        <v>0.6</v>
      </c>
      <c r="O10" s="7">
        <f>Table2[[#This Row],[IntDen]]/$J$15</f>
        <v>5.9040553907022744E-2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t="s">
        <v>84</v>
      </c>
      <c r="B11" s="7">
        <v>22500</v>
      </c>
      <c r="C11" s="7">
        <v>4.1390000000000003E-2</v>
      </c>
      <c r="D11" s="7">
        <v>4.618E-4</v>
      </c>
      <c r="E11" s="7">
        <v>4.1300000000000003E-2</v>
      </c>
      <c r="F11" s="7">
        <v>3.9910000000000001E-2</v>
      </c>
      <c r="G11" s="7">
        <v>4.9399999999999999E-2</v>
      </c>
      <c r="H11" s="7">
        <v>595</v>
      </c>
      <c r="I11" s="7">
        <v>595</v>
      </c>
      <c r="J11" s="7">
        <v>931.3</v>
      </c>
      <c r="K11" s="7">
        <v>4.1340000000000002E-2</v>
      </c>
      <c r="L11" s="7">
        <v>100</v>
      </c>
      <c r="M11" s="7">
        <v>931.3</v>
      </c>
      <c r="N11" s="13">
        <v>1</v>
      </c>
      <c r="O11" s="7">
        <f>Table2[[#This Row],[IntDen]]/$J$15</f>
        <v>9.2116716122650835E-2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t="s">
        <v>77</v>
      </c>
      <c r="B12" s="7">
        <v>22500</v>
      </c>
      <c r="C12" s="7">
        <v>5.6230000000000002E-2</v>
      </c>
      <c r="D12" s="7">
        <v>4.5879999999999998E-4</v>
      </c>
      <c r="E12" s="7">
        <v>5.6120000000000003E-2</v>
      </c>
      <c r="F12" s="7">
        <v>5.4679999999999999E-2</v>
      </c>
      <c r="G12" s="7">
        <v>6.4460000000000003E-2</v>
      </c>
      <c r="H12" s="7">
        <v>595</v>
      </c>
      <c r="I12" s="7">
        <v>595</v>
      </c>
      <c r="J12" s="7">
        <v>1265</v>
      </c>
      <c r="K12" s="7">
        <v>5.6189999999999997E-2</v>
      </c>
      <c r="L12" s="7">
        <v>100</v>
      </c>
      <c r="M12" s="7">
        <v>1265</v>
      </c>
      <c r="N12" s="13">
        <v>1.4</v>
      </c>
      <c r="O12" s="7">
        <f>Table2[[#This Row],[IntDen]]/$J$15</f>
        <v>0.12512363996043521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t="s">
        <v>75</v>
      </c>
      <c r="B13" s="7">
        <v>22500</v>
      </c>
      <c r="C13" s="7">
        <v>6.3670000000000004E-2</v>
      </c>
      <c r="D13" s="7">
        <v>4.5780000000000001E-4</v>
      </c>
      <c r="E13" s="7">
        <v>6.3519999999999993E-2</v>
      </c>
      <c r="F13" s="7">
        <v>6.2100000000000002E-2</v>
      </c>
      <c r="G13" s="7">
        <v>7.2319999999999995E-2</v>
      </c>
      <c r="H13" s="7">
        <v>595</v>
      </c>
      <c r="I13" s="7">
        <v>595</v>
      </c>
      <c r="J13" s="7">
        <v>1432</v>
      </c>
      <c r="K13" s="7">
        <v>6.3630000000000006E-2</v>
      </c>
      <c r="L13" s="7">
        <v>100</v>
      </c>
      <c r="M13" s="7">
        <v>1432</v>
      </c>
      <c r="N13" s="13">
        <v>1.6</v>
      </c>
      <c r="O13" s="7">
        <f>Table2[[#This Row],[IntDen]]/$J$15</f>
        <v>0.14164193867457964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t="s">
        <v>78</v>
      </c>
      <c r="B14" s="7">
        <v>22500</v>
      </c>
      <c r="C14" s="7">
        <v>7.8479999999999994E-2</v>
      </c>
      <c r="D14" s="7">
        <v>4.6069999999999998E-4</v>
      </c>
      <c r="E14" s="7">
        <v>7.8450000000000006E-2</v>
      </c>
      <c r="F14" s="7">
        <v>7.6880000000000004E-2</v>
      </c>
      <c r="G14" s="7">
        <v>8.7540000000000007E-2</v>
      </c>
      <c r="H14" s="7">
        <v>595</v>
      </c>
      <c r="I14" s="7">
        <v>595</v>
      </c>
      <c r="J14" s="7">
        <v>1766</v>
      </c>
      <c r="K14" s="7">
        <v>7.8450000000000006E-2</v>
      </c>
      <c r="L14" s="7">
        <v>100</v>
      </c>
      <c r="M14" s="7">
        <v>1766</v>
      </c>
      <c r="N14" s="13">
        <v>2</v>
      </c>
      <c r="O14" s="7">
        <f>Table2[[#This Row],[IntDen]]/$J$15</f>
        <v>0.17467853610286846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t="s">
        <v>81</v>
      </c>
      <c r="B15" s="7">
        <v>22500</v>
      </c>
      <c r="C15" s="7">
        <v>0.44929999999999998</v>
      </c>
      <c r="D15" s="7">
        <v>9.1850000000000005E-4</v>
      </c>
      <c r="E15" s="7">
        <v>0.4496</v>
      </c>
      <c r="F15" s="7">
        <v>0.443</v>
      </c>
      <c r="G15" s="7">
        <v>0.45619999999999999</v>
      </c>
      <c r="H15" s="7">
        <v>595</v>
      </c>
      <c r="I15" s="7">
        <v>595</v>
      </c>
      <c r="J15" s="7">
        <v>10110</v>
      </c>
      <c r="K15" s="7">
        <v>0.44940000000000002</v>
      </c>
      <c r="L15" s="7">
        <v>100</v>
      </c>
      <c r="M15" s="7">
        <v>10110</v>
      </c>
      <c r="N15" t="s">
        <v>42</v>
      </c>
      <c r="O15" s="7">
        <f>Table2[[#This Row],[IntDen]]/$J$15</f>
        <v>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t="s">
        <v>76</v>
      </c>
      <c r="B16" s="7">
        <v>22500</v>
      </c>
      <c r="C16" s="7">
        <v>4.006E-3</v>
      </c>
      <c r="D16" s="7">
        <v>5.8980000000000002E-4</v>
      </c>
      <c r="E16" s="7">
        <v>3.8379999999999998E-3</v>
      </c>
      <c r="F16" s="7">
        <v>2.3649999999999999E-3</v>
      </c>
      <c r="G16" s="7">
        <v>1.269E-2</v>
      </c>
      <c r="H16" s="7">
        <v>595</v>
      </c>
      <c r="I16" s="7">
        <v>595</v>
      </c>
      <c r="J16" s="7">
        <v>90.13</v>
      </c>
      <c r="K16" s="7">
        <v>3.9449999999999997E-3</v>
      </c>
      <c r="L16" s="7">
        <v>100</v>
      </c>
      <c r="M16" s="7">
        <v>90.13</v>
      </c>
      <c r="N16" t="s">
        <v>33</v>
      </c>
      <c r="O16" s="7">
        <f>Table2[[#This Row],[IntDen]]/$J$15</f>
        <v>8.9149357072205726E-3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t="s">
        <v>80</v>
      </c>
      <c r="B17" s="7">
        <v>22500</v>
      </c>
      <c r="C17" s="7">
        <v>3.8539999999999998E-3</v>
      </c>
      <c r="D17" s="7">
        <v>5.3569999999999996E-4</v>
      </c>
      <c r="E17" s="7">
        <v>3.7230000000000002E-3</v>
      </c>
      <c r="F17" s="7">
        <v>2.4069999999999999E-3</v>
      </c>
      <c r="G17" s="7">
        <v>1.217E-2</v>
      </c>
      <c r="H17" s="7">
        <v>595</v>
      </c>
      <c r="I17" s="7">
        <v>595</v>
      </c>
      <c r="J17" s="7">
        <v>86.72</v>
      </c>
      <c r="K17" s="7">
        <v>3.79E-3</v>
      </c>
      <c r="L17" s="7">
        <v>100</v>
      </c>
      <c r="M17" s="7">
        <v>86.72</v>
      </c>
      <c r="N17" t="s">
        <v>34</v>
      </c>
      <c r="O17" s="7">
        <f>Table2[[#This Row],[IntDen]]/$J$15</f>
        <v>8.5776458951533126E-3</v>
      </c>
    </row>
    <row r="19" spans="1:29" x14ac:dyDescent="0.25">
      <c r="B19" s="5" t="s">
        <v>36</v>
      </c>
      <c r="C19" s="5" t="s">
        <v>37</v>
      </c>
      <c r="D19" s="5" t="s">
        <v>39</v>
      </c>
      <c r="E19" s="5" t="s">
        <v>8</v>
      </c>
    </row>
    <row r="20" spans="1:29" x14ac:dyDescent="0.25">
      <c r="A20" t="s">
        <v>35</v>
      </c>
      <c r="B20" s="10">
        <f t="array" ref="B20">AVERAGE(O16:O17)</f>
        <v>8.7462908011869435E-3</v>
      </c>
      <c r="C20" s="9">
        <v>1.46E-2</v>
      </c>
      <c r="D20" s="8">
        <f>1-TRANSMISSION_6X</f>
        <v>0.99125370919881306</v>
      </c>
      <c r="E20" s="9">
        <v>12</v>
      </c>
    </row>
    <row r="22" spans="1:29" ht="18" x14ac:dyDescent="0.25">
      <c r="B22" s="5" t="s">
        <v>43</v>
      </c>
      <c r="C22" s="5" t="s">
        <v>38</v>
      </c>
      <c r="D22" s="12" t="s">
        <v>49</v>
      </c>
      <c r="E22" s="5" t="s">
        <v>41</v>
      </c>
    </row>
    <row r="23" spans="1:29" x14ac:dyDescent="0.25">
      <c r="A23" t="s">
        <v>40</v>
      </c>
      <c r="B23" s="8">
        <f t="array" ref="B23:C23">LINEST(O8:O14,N8:N14)</f>
        <v>8.2391027754529278E-2</v>
      </c>
      <c r="C23" s="8">
        <v>9.8006543407136437E-3</v>
      </c>
      <c r="D23" s="8">
        <f>C23/B23</f>
        <v>0.11895293222841091</v>
      </c>
      <c r="E23" s="11">
        <f>D23 - (E20*TRANSMISSION_6X/D20)</f>
        <v>1.307137169526118E-2</v>
      </c>
    </row>
    <row r="25" spans="1:29" ht="18" thickBot="1" x14ac:dyDescent="0.35">
      <c r="A25" s="21" t="s">
        <v>57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29" ht="16.5" thickTop="1" x14ac:dyDescent="0.25"/>
    <row r="27" spans="1:29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32</v>
      </c>
      <c r="O27" t="s">
        <v>46</v>
      </c>
    </row>
    <row r="28" spans="1:29" x14ac:dyDescent="0.25">
      <c r="A28" t="s">
        <v>91</v>
      </c>
      <c r="B28" s="7">
        <v>22500</v>
      </c>
      <c r="C28" s="7">
        <v>9.9979999999999999E-3</v>
      </c>
      <c r="D28" s="7">
        <v>3.3320000000000002E-4</v>
      </c>
      <c r="E28" s="7">
        <v>9.8689999999999993E-3</v>
      </c>
      <c r="F28" s="7">
        <v>9.0270000000000003E-3</v>
      </c>
      <c r="G28" s="7">
        <v>1.609E-2</v>
      </c>
      <c r="H28" s="7">
        <v>595</v>
      </c>
      <c r="I28" s="7">
        <v>595</v>
      </c>
      <c r="J28" s="7">
        <v>225</v>
      </c>
      <c r="K28" s="7">
        <v>9.9699999999999997E-3</v>
      </c>
      <c r="L28" s="7">
        <v>100</v>
      </c>
      <c r="M28" s="7">
        <v>225</v>
      </c>
      <c r="N28" s="13">
        <v>0.2</v>
      </c>
      <c r="O28" s="7">
        <f>Table3[[#This Row],[IntDen]]/$J$35</f>
        <v>2.1469465648854963E-2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t="s">
        <v>85</v>
      </c>
      <c r="B29" s="7">
        <v>22500</v>
      </c>
      <c r="C29" s="7">
        <v>1.7489999999999999E-2</v>
      </c>
      <c r="D29" s="7">
        <v>3.5490000000000001E-4</v>
      </c>
      <c r="E29" s="7">
        <v>1.7489999999999999E-2</v>
      </c>
      <c r="F29" s="7">
        <v>1.634E-2</v>
      </c>
      <c r="G29" s="7">
        <v>2.3609999999999999E-2</v>
      </c>
      <c r="H29" s="7">
        <v>595</v>
      </c>
      <c r="I29" s="7">
        <v>595</v>
      </c>
      <c r="J29" s="7">
        <v>393.5</v>
      </c>
      <c r="K29" s="7">
        <v>1.7469999999999999E-2</v>
      </c>
      <c r="L29" s="7">
        <v>100</v>
      </c>
      <c r="M29" s="7">
        <v>393.5</v>
      </c>
      <c r="N29" s="13">
        <v>0.4</v>
      </c>
      <c r="O29" s="7">
        <f>Table3[[#This Row],[IntDen]]/$J$35</f>
        <v>3.7547709923664123E-2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t="s">
        <v>87</v>
      </c>
      <c r="B30" s="7">
        <v>22500</v>
      </c>
      <c r="C30" s="7">
        <v>2.5149999999999999E-2</v>
      </c>
      <c r="D30" s="7">
        <v>3.903E-4</v>
      </c>
      <c r="E30" s="7">
        <v>2.5049999999999999E-2</v>
      </c>
      <c r="F30" s="7">
        <v>2.385E-2</v>
      </c>
      <c r="G30" s="7">
        <v>3.108E-2</v>
      </c>
      <c r="H30" s="7">
        <v>595</v>
      </c>
      <c r="I30" s="7">
        <v>595</v>
      </c>
      <c r="J30" s="7">
        <v>565.9</v>
      </c>
      <c r="K30" s="7">
        <v>2.5139999999999999E-2</v>
      </c>
      <c r="L30" s="7">
        <v>100</v>
      </c>
      <c r="M30" s="7">
        <v>565.9</v>
      </c>
      <c r="N30" s="13">
        <v>0.6</v>
      </c>
      <c r="O30" s="7">
        <f>Table3[[#This Row],[IntDen]]/$J$35</f>
        <v>5.3998091603053432E-2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t="s">
        <v>93</v>
      </c>
      <c r="B31" s="7">
        <v>22500</v>
      </c>
      <c r="C31" s="7">
        <v>4.0629999999999999E-2</v>
      </c>
      <c r="D31" s="7">
        <v>4.8450000000000001E-4</v>
      </c>
      <c r="E31" s="7">
        <v>4.0739999999999998E-2</v>
      </c>
      <c r="F31" s="7">
        <v>3.9170000000000003E-2</v>
      </c>
      <c r="G31" s="7">
        <v>4.6050000000000001E-2</v>
      </c>
      <c r="H31" s="7">
        <v>595</v>
      </c>
      <c r="I31" s="7">
        <v>595</v>
      </c>
      <c r="J31" s="7">
        <v>914.1</v>
      </c>
      <c r="K31" s="7">
        <v>4.0640000000000003E-2</v>
      </c>
      <c r="L31" s="7">
        <v>100</v>
      </c>
      <c r="M31" s="7">
        <v>914.1</v>
      </c>
      <c r="N31" s="13">
        <v>1</v>
      </c>
      <c r="O31" s="7">
        <f>Table3[[#This Row],[IntDen]]/$J$35</f>
        <v>8.7223282442748087E-2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t="s">
        <v>90</v>
      </c>
      <c r="B32" s="7">
        <v>22500</v>
      </c>
      <c r="C32" s="7">
        <v>5.6059999999999999E-2</v>
      </c>
      <c r="D32" s="7">
        <v>5.9310000000000005E-4</v>
      </c>
      <c r="E32" s="7">
        <v>5.6270000000000001E-2</v>
      </c>
      <c r="F32" s="7">
        <v>5.4219999999999997E-2</v>
      </c>
      <c r="G32" s="7">
        <v>6.1350000000000002E-2</v>
      </c>
      <c r="H32" s="7">
        <v>595</v>
      </c>
      <c r="I32" s="7">
        <v>595</v>
      </c>
      <c r="J32" s="7">
        <v>1261</v>
      </c>
      <c r="K32" s="7">
        <v>5.611E-2</v>
      </c>
      <c r="L32" s="7">
        <v>100</v>
      </c>
      <c r="M32" s="7">
        <v>1261</v>
      </c>
      <c r="N32" s="13">
        <v>1.4</v>
      </c>
      <c r="O32" s="7">
        <f>Table3[[#This Row],[IntDen]]/$J$35</f>
        <v>0.12032442748091603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t="s">
        <v>89</v>
      </c>
      <c r="B33" s="7">
        <v>22500</v>
      </c>
      <c r="C33" s="7">
        <v>6.3799999999999996E-2</v>
      </c>
      <c r="D33" s="7">
        <v>6.5720000000000004E-4</v>
      </c>
      <c r="E33" s="7">
        <v>6.4019999999999994E-2</v>
      </c>
      <c r="F33" s="7">
        <v>6.1830000000000003E-2</v>
      </c>
      <c r="G33" s="7">
        <v>6.9260000000000002E-2</v>
      </c>
      <c r="H33" s="7">
        <v>595</v>
      </c>
      <c r="I33" s="7">
        <v>595</v>
      </c>
      <c r="J33" s="7">
        <v>1435</v>
      </c>
      <c r="K33" s="7">
        <v>6.386E-2</v>
      </c>
      <c r="L33" s="7">
        <v>100</v>
      </c>
      <c r="M33" s="7">
        <v>1435</v>
      </c>
      <c r="N33" s="13">
        <v>1.6</v>
      </c>
      <c r="O33" s="7">
        <f>Table3[[#This Row],[IntDen]]/$J$35</f>
        <v>0.13692748091603055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t="s">
        <v>94</v>
      </c>
      <c r="B34" s="7">
        <v>22500</v>
      </c>
      <c r="C34" s="7">
        <v>7.9219999999999999E-2</v>
      </c>
      <c r="D34" s="7">
        <v>7.8209999999999998E-4</v>
      </c>
      <c r="E34" s="7">
        <v>7.9729999999999995E-2</v>
      </c>
      <c r="F34" s="7">
        <v>7.689E-2</v>
      </c>
      <c r="G34" s="7">
        <v>8.4419999999999995E-2</v>
      </c>
      <c r="H34" s="7">
        <v>595</v>
      </c>
      <c r="I34" s="7">
        <v>595</v>
      </c>
      <c r="J34" s="7">
        <v>1782</v>
      </c>
      <c r="K34" s="7">
        <v>7.9310000000000005E-2</v>
      </c>
      <c r="L34" s="7">
        <v>100</v>
      </c>
      <c r="M34" s="7">
        <v>1782</v>
      </c>
      <c r="N34" s="13">
        <v>2</v>
      </c>
      <c r="O34" s="7">
        <f>Table3[[#This Row],[IntDen]]/$J$35</f>
        <v>0.17003816793893128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t="s">
        <v>86</v>
      </c>
      <c r="B35" s="7">
        <v>22500</v>
      </c>
      <c r="C35" s="7">
        <v>0.46579999999999999</v>
      </c>
      <c r="D35" s="7">
        <v>4.2290000000000001E-3</v>
      </c>
      <c r="E35" s="7">
        <v>0.46929999999999999</v>
      </c>
      <c r="F35" s="7">
        <v>0.45500000000000002</v>
      </c>
      <c r="G35" s="7">
        <v>0.4763</v>
      </c>
      <c r="H35" s="7">
        <v>595</v>
      </c>
      <c r="I35" s="7">
        <v>595</v>
      </c>
      <c r="J35" s="7">
        <v>10480</v>
      </c>
      <c r="K35" s="7">
        <v>0.46629999999999999</v>
      </c>
      <c r="L35" s="7">
        <v>100</v>
      </c>
      <c r="M35" s="7">
        <v>10480</v>
      </c>
      <c r="N35" t="s">
        <v>42</v>
      </c>
      <c r="O35" s="7">
        <f>Table3[[#This Row],[IntDen]]/$J$35</f>
        <v>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t="s">
        <v>92</v>
      </c>
      <c r="B36" s="7">
        <v>22500</v>
      </c>
      <c r="C36" s="7">
        <v>2.6870000000000002E-3</v>
      </c>
      <c r="D36" s="7">
        <v>3.836E-4</v>
      </c>
      <c r="E36" s="7">
        <v>2.4989999999999999E-3</v>
      </c>
      <c r="F36" s="7">
        <v>1.622E-3</v>
      </c>
      <c r="G36" s="7">
        <v>9.2280000000000001E-3</v>
      </c>
      <c r="H36" s="7">
        <v>595</v>
      </c>
      <c r="I36" s="7">
        <v>595</v>
      </c>
      <c r="J36" s="7">
        <v>60.45</v>
      </c>
      <c r="K36" s="7">
        <v>2.6359999999999999E-3</v>
      </c>
      <c r="L36" s="7">
        <v>100</v>
      </c>
      <c r="M36" s="7">
        <v>60.45</v>
      </c>
      <c r="N36" t="s">
        <v>33</v>
      </c>
      <c r="O36" s="7">
        <f>Table3[[#This Row],[IntDen]]/$J$35</f>
        <v>5.7681297709923666E-3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t="s">
        <v>88</v>
      </c>
      <c r="B37" s="7">
        <v>22500</v>
      </c>
      <c r="C37" s="7">
        <v>2.5490000000000001E-3</v>
      </c>
      <c r="D37" s="7">
        <v>3.4440000000000002E-4</v>
      </c>
      <c r="E37" s="7">
        <v>2.4329999999999998E-3</v>
      </c>
      <c r="F37" s="7">
        <v>1.5889999999999999E-3</v>
      </c>
      <c r="G37" s="7">
        <v>8.6770000000000007E-3</v>
      </c>
      <c r="H37" s="7">
        <v>595</v>
      </c>
      <c r="I37" s="7">
        <v>595</v>
      </c>
      <c r="J37" s="7">
        <v>57.35</v>
      </c>
      <c r="K37" s="7">
        <v>2.4979999999999998E-3</v>
      </c>
      <c r="L37" s="7">
        <v>100</v>
      </c>
      <c r="M37" s="7">
        <v>57.35</v>
      </c>
      <c r="N37" t="s">
        <v>34</v>
      </c>
      <c r="O37" s="7">
        <f>Table3[[#This Row],[IntDen]]/$J$35</f>
        <v>5.472328244274809E-3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B39" s="5" t="s">
        <v>36</v>
      </c>
      <c r="C39" s="5" t="s">
        <v>37</v>
      </c>
      <c r="D39" s="5" t="s">
        <v>39</v>
      </c>
      <c r="E39" s="5" t="s">
        <v>8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t="s">
        <v>44</v>
      </c>
      <c r="B40" s="10">
        <f>AVERAGE(O36:O37)</f>
        <v>5.6202290076335874E-3</v>
      </c>
      <c r="C40" s="9"/>
      <c r="D40" s="8">
        <f>1-TRANSMISSION_6X_FFF</f>
        <v>0.99437977099236641</v>
      </c>
      <c r="E40" s="9">
        <v>12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2" spans="1:29" ht="18" x14ac:dyDescent="0.25">
      <c r="B42" s="5" t="s">
        <v>43</v>
      </c>
      <c r="C42" s="5" t="s">
        <v>38</v>
      </c>
      <c r="D42" s="12" t="s">
        <v>49</v>
      </c>
      <c r="E42" s="5" t="s">
        <v>41</v>
      </c>
    </row>
    <row r="43" spans="1:29" x14ac:dyDescent="0.25">
      <c r="A43" t="s">
        <v>45</v>
      </c>
      <c r="B43" s="8">
        <f t="array" ref="B43:C43">LINEST(O28:O34,N28:N34)</f>
        <v>8.2673142167417002E-2</v>
      </c>
      <c r="C43" s="8">
        <v>4.6117146212565768E-3</v>
      </c>
      <c r="D43" s="8">
        <f>C43/B43</f>
        <v>5.5782500826176869E-2</v>
      </c>
      <c r="E43" s="11">
        <f>D43 - (E40*TRANSMISSION_6X_FFF/D40)</f>
        <v>-1.2041433307455864E-2</v>
      </c>
    </row>
    <row r="45" spans="1:29" ht="18" thickBot="1" x14ac:dyDescent="0.35">
      <c r="A45" s="21" t="s">
        <v>59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29" ht="16.5" thickTop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29" x14ac:dyDescent="0.25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32</v>
      </c>
      <c r="O47" t="s">
        <v>46</v>
      </c>
    </row>
    <row r="48" spans="1:29" x14ac:dyDescent="0.25">
      <c r="A48" t="s">
        <v>95</v>
      </c>
      <c r="B48" s="7">
        <v>22500</v>
      </c>
      <c r="C48" s="7">
        <v>1.559E-2</v>
      </c>
      <c r="D48" s="7">
        <v>5.8100000000000003E-4</v>
      </c>
      <c r="E48" s="7">
        <v>1.549E-2</v>
      </c>
      <c r="F48" s="7">
        <v>1.3780000000000001E-2</v>
      </c>
      <c r="G48" s="7">
        <v>2.3189999999999999E-2</v>
      </c>
      <c r="H48" s="7">
        <v>595</v>
      </c>
      <c r="I48" s="7">
        <v>595</v>
      </c>
      <c r="J48" s="7">
        <v>350.8</v>
      </c>
      <c r="K48" s="7">
        <v>1.555E-2</v>
      </c>
      <c r="L48" s="7">
        <v>100</v>
      </c>
      <c r="M48" s="7">
        <v>350.8</v>
      </c>
      <c r="N48" s="13">
        <v>0.2</v>
      </c>
      <c r="O48" s="7">
        <f>Table4[[#This Row],[IntDen]]/$J$55</f>
        <v>2.9728813559322036E-2</v>
      </c>
    </row>
    <row r="49" spans="1:15" x14ac:dyDescent="0.25">
      <c r="A49" t="s">
        <v>96</v>
      </c>
      <c r="B49" s="7">
        <v>22500</v>
      </c>
      <c r="C49" s="7">
        <v>2.3990000000000001E-2</v>
      </c>
      <c r="D49" s="7">
        <v>6.6089999999999996E-4</v>
      </c>
      <c r="E49" s="7">
        <v>2.385E-2</v>
      </c>
      <c r="F49" s="7">
        <v>2.198E-2</v>
      </c>
      <c r="G49" s="7">
        <v>3.1489999999999997E-2</v>
      </c>
      <c r="H49" s="7">
        <v>595</v>
      </c>
      <c r="I49" s="7">
        <v>595</v>
      </c>
      <c r="J49" s="7">
        <v>539.79999999999995</v>
      </c>
      <c r="K49" s="7">
        <v>2.3970000000000002E-2</v>
      </c>
      <c r="L49" s="7">
        <v>100</v>
      </c>
      <c r="M49" s="7">
        <v>539.79999999999995</v>
      </c>
      <c r="N49" s="13">
        <v>0.4</v>
      </c>
      <c r="O49" s="7">
        <f>Table4[[#This Row],[IntDen]]/$J$55</f>
        <v>4.5745762711864403E-2</v>
      </c>
    </row>
    <row r="50" spans="1:15" x14ac:dyDescent="0.25">
      <c r="A50" t="s">
        <v>97</v>
      </c>
      <c r="B50" s="7">
        <v>22500</v>
      </c>
      <c r="C50" s="7">
        <v>3.2570000000000002E-2</v>
      </c>
      <c r="D50" s="7">
        <v>7.5040000000000003E-4</v>
      </c>
      <c r="E50" s="7">
        <v>3.2710000000000003E-2</v>
      </c>
      <c r="F50" s="7">
        <v>3.0450000000000001E-2</v>
      </c>
      <c r="G50" s="7">
        <v>3.9710000000000002E-2</v>
      </c>
      <c r="H50" s="7">
        <v>595</v>
      </c>
      <c r="I50" s="7">
        <v>595</v>
      </c>
      <c r="J50" s="7">
        <v>732.9</v>
      </c>
      <c r="K50" s="7">
        <v>3.2570000000000002E-2</v>
      </c>
      <c r="L50" s="7">
        <v>100</v>
      </c>
      <c r="M50" s="7">
        <v>732.9</v>
      </c>
      <c r="N50" s="13">
        <v>0.6</v>
      </c>
      <c r="O50" s="7">
        <f>Table4[[#This Row],[IntDen]]/$J$55</f>
        <v>6.2110169491525424E-2</v>
      </c>
    </row>
    <row r="51" spans="1:15" x14ac:dyDescent="0.25">
      <c r="A51" t="s">
        <v>98</v>
      </c>
      <c r="B51" s="7">
        <v>22500</v>
      </c>
      <c r="C51" s="7">
        <v>4.9889999999999997E-2</v>
      </c>
      <c r="D51" s="7">
        <v>9.794999999999999E-4</v>
      </c>
      <c r="E51" s="7">
        <v>5.0169999999999999E-2</v>
      </c>
      <c r="F51" s="7">
        <v>4.7169999999999997E-2</v>
      </c>
      <c r="G51" s="7">
        <v>5.6579999999999998E-2</v>
      </c>
      <c r="H51" s="7">
        <v>595</v>
      </c>
      <c r="I51" s="7">
        <v>595</v>
      </c>
      <c r="J51" s="7">
        <v>1123</v>
      </c>
      <c r="K51" s="7">
        <v>4.9939999999999998E-2</v>
      </c>
      <c r="L51" s="7">
        <v>100</v>
      </c>
      <c r="M51" s="7">
        <v>1123</v>
      </c>
      <c r="N51" s="13">
        <v>1</v>
      </c>
      <c r="O51" s="7">
        <f>Table4[[#This Row],[IntDen]]/$J$55</f>
        <v>9.5169491525423727E-2</v>
      </c>
    </row>
    <row r="52" spans="1:15" x14ac:dyDescent="0.25">
      <c r="A52" t="s">
        <v>99</v>
      </c>
      <c r="B52" s="7">
        <v>22500</v>
      </c>
      <c r="C52" s="7">
        <v>6.7129999999999995E-2</v>
      </c>
      <c r="D52" s="7">
        <v>1.2340000000000001E-3</v>
      </c>
      <c r="E52" s="7">
        <v>6.7849999999999994E-2</v>
      </c>
      <c r="F52" s="7">
        <v>6.3829999999999998E-2</v>
      </c>
      <c r="G52" s="7">
        <v>7.3669999999999999E-2</v>
      </c>
      <c r="H52" s="7">
        <v>595</v>
      </c>
      <c r="I52" s="7">
        <v>595</v>
      </c>
      <c r="J52" s="7">
        <v>1510</v>
      </c>
      <c r="K52" s="7">
        <v>6.7229999999999998E-2</v>
      </c>
      <c r="L52" s="7">
        <v>100</v>
      </c>
      <c r="M52" s="7">
        <v>1510</v>
      </c>
      <c r="N52" s="13">
        <v>1.4</v>
      </c>
      <c r="O52" s="7">
        <f>Table4[[#This Row],[IntDen]]/$J$55</f>
        <v>0.12796610169491526</v>
      </c>
    </row>
    <row r="53" spans="1:15" x14ac:dyDescent="0.25">
      <c r="A53" t="s">
        <v>100</v>
      </c>
      <c r="B53" s="7">
        <v>22500</v>
      </c>
      <c r="C53" s="7">
        <v>7.5759999999999994E-2</v>
      </c>
      <c r="D53" s="7">
        <v>1.354E-3</v>
      </c>
      <c r="E53" s="7">
        <v>7.6310000000000003E-2</v>
      </c>
      <c r="F53" s="7">
        <v>7.2120000000000004E-2</v>
      </c>
      <c r="G53" s="7">
        <v>8.1570000000000004E-2</v>
      </c>
      <c r="H53" s="7">
        <v>595</v>
      </c>
      <c r="I53" s="7">
        <v>595</v>
      </c>
      <c r="J53" s="7">
        <v>1705</v>
      </c>
      <c r="K53" s="7">
        <v>7.5889999999999999E-2</v>
      </c>
      <c r="L53" s="7">
        <v>100</v>
      </c>
      <c r="M53" s="7">
        <v>1705</v>
      </c>
      <c r="N53" s="13">
        <v>1.6</v>
      </c>
      <c r="O53" s="7">
        <f>Table4[[#This Row],[IntDen]]/$J$55</f>
        <v>0.14449152542372881</v>
      </c>
    </row>
    <row r="54" spans="1:15" x14ac:dyDescent="0.25">
      <c r="A54" t="s">
        <v>101</v>
      </c>
      <c r="B54" s="7">
        <v>22500</v>
      </c>
      <c r="C54" s="7">
        <v>9.3039999999999998E-2</v>
      </c>
      <c r="D54" s="7">
        <v>1.6180000000000001E-3</v>
      </c>
      <c r="E54" s="7">
        <v>9.3649999999999997E-2</v>
      </c>
      <c r="F54" s="7">
        <v>8.8830000000000006E-2</v>
      </c>
      <c r="G54" s="7">
        <v>9.8430000000000004E-2</v>
      </c>
      <c r="H54" s="7">
        <v>595</v>
      </c>
      <c r="I54" s="7">
        <v>595</v>
      </c>
      <c r="J54" s="7">
        <v>2093</v>
      </c>
      <c r="K54" s="7">
        <v>9.3219999999999997E-2</v>
      </c>
      <c r="L54" s="7">
        <v>100</v>
      </c>
      <c r="M54" s="7">
        <v>2093</v>
      </c>
      <c r="N54" s="13">
        <v>2</v>
      </c>
      <c r="O54" s="7">
        <f>Table4[[#This Row],[IntDen]]/$J$55</f>
        <v>0.17737288135593221</v>
      </c>
    </row>
    <row r="55" spans="1:15" x14ac:dyDescent="0.25">
      <c r="A55" t="s">
        <v>102</v>
      </c>
      <c r="B55" s="7">
        <v>22500</v>
      </c>
      <c r="C55" s="7">
        <v>0.52459999999999996</v>
      </c>
      <c r="D55" s="7">
        <v>8.5959999999999995E-3</v>
      </c>
      <c r="E55" s="7">
        <v>0.52910000000000001</v>
      </c>
      <c r="F55" s="7">
        <v>0.50429999999999997</v>
      </c>
      <c r="G55" s="7">
        <v>0.5474</v>
      </c>
      <c r="H55" s="7">
        <v>595</v>
      </c>
      <c r="I55" s="7">
        <v>595</v>
      </c>
      <c r="J55" s="7">
        <v>11800</v>
      </c>
      <c r="K55" s="7">
        <v>0.52529999999999999</v>
      </c>
      <c r="L55" s="7">
        <v>100</v>
      </c>
      <c r="M55" s="7">
        <v>11800</v>
      </c>
      <c r="N55" t="s">
        <v>42</v>
      </c>
      <c r="O55" s="7">
        <f>Table4[[#This Row],[IntDen]]/$J$55</f>
        <v>1</v>
      </c>
    </row>
    <row r="56" spans="1:15" x14ac:dyDescent="0.25">
      <c r="A56" t="s">
        <v>103</v>
      </c>
      <c r="B56" s="7">
        <v>22500</v>
      </c>
      <c r="C56" s="7">
        <v>6.1850000000000004E-3</v>
      </c>
      <c r="D56" s="7">
        <v>5.687E-4</v>
      </c>
      <c r="E56" s="7">
        <v>5.9360000000000003E-3</v>
      </c>
      <c r="F56" s="7">
        <v>4.581E-3</v>
      </c>
      <c r="G56" s="7">
        <v>1.383E-2</v>
      </c>
      <c r="H56" s="7">
        <v>595</v>
      </c>
      <c r="I56" s="7">
        <v>595</v>
      </c>
      <c r="J56" s="7">
        <v>139.19999999999999</v>
      </c>
      <c r="K56" s="7">
        <v>6.1190000000000003E-3</v>
      </c>
      <c r="L56" s="7">
        <v>100</v>
      </c>
      <c r="M56" s="7">
        <v>139.19999999999999</v>
      </c>
      <c r="N56" t="s">
        <v>34</v>
      </c>
      <c r="O56" s="7">
        <f>Table4[[#This Row],[IntDen]]/$J$55</f>
        <v>1.1796610169491524E-2</v>
      </c>
    </row>
    <row r="57" spans="1:15" x14ac:dyDescent="0.25">
      <c r="A57" t="s">
        <v>104</v>
      </c>
      <c r="B57" s="7">
        <v>22500</v>
      </c>
      <c r="C57" s="7">
        <v>6.352E-3</v>
      </c>
      <c r="D57" s="7">
        <v>6.3259999999999998E-4</v>
      </c>
      <c r="E57" s="7">
        <v>6.0260000000000001E-3</v>
      </c>
      <c r="F57" s="7">
        <v>4.666E-3</v>
      </c>
      <c r="G57" s="7">
        <v>1.447E-2</v>
      </c>
      <c r="H57" s="7">
        <v>595</v>
      </c>
      <c r="I57" s="7">
        <v>595</v>
      </c>
      <c r="J57" s="7">
        <v>142.9</v>
      </c>
      <c r="K57" s="7">
        <v>6.2690000000000003E-3</v>
      </c>
      <c r="L57" s="7">
        <v>100</v>
      </c>
      <c r="M57" s="7">
        <v>142.9</v>
      </c>
      <c r="N57" t="s">
        <v>33</v>
      </c>
      <c r="O57" s="7">
        <f>Table4[[#This Row],[IntDen]]/$J$55</f>
        <v>1.2110169491525425E-2</v>
      </c>
    </row>
    <row r="59" spans="1:15" x14ac:dyDescent="0.25">
      <c r="B59" s="5" t="s">
        <v>36</v>
      </c>
      <c r="C59" s="5" t="s">
        <v>37</v>
      </c>
      <c r="D59" s="5" t="s">
        <v>39</v>
      </c>
      <c r="E59" s="5" t="s">
        <v>8</v>
      </c>
    </row>
    <row r="60" spans="1:15" x14ac:dyDescent="0.25">
      <c r="A60" t="s">
        <v>47</v>
      </c>
      <c r="B60" s="10">
        <f>AVERAGE(O56,O57)</f>
        <v>1.1953389830508475E-2</v>
      </c>
      <c r="C60" s="9"/>
      <c r="D60" s="8">
        <f>1-TRANSMISSION_10X_FFF</f>
        <v>0.98804661016949158</v>
      </c>
      <c r="E60" s="9">
        <v>12</v>
      </c>
    </row>
    <row r="62" spans="1:15" ht="18" x14ac:dyDescent="0.25">
      <c r="B62" s="5" t="s">
        <v>43</v>
      </c>
      <c r="C62" s="5" t="s">
        <v>38</v>
      </c>
      <c r="D62" s="12" t="s">
        <v>49</v>
      </c>
      <c r="E62" s="5" t="s">
        <v>41</v>
      </c>
    </row>
    <row r="63" spans="1:15" x14ac:dyDescent="0.25">
      <c r="A63" t="s">
        <v>48</v>
      </c>
      <c r="B63" s="14">
        <f t="array" ref="B63:C63">LINEST(O48:O54,N48:N54)</f>
        <v>8.2144266985368697E-2</v>
      </c>
      <c r="C63" s="14">
        <v>1.3020860495436742E-2</v>
      </c>
      <c r="D63" s="14">
        <f>C63/B63</f>
        <v>0.15851210283191133</v>
      </c>
      <c r="E63" s="14">
        <f>D63 - (E60*TRANSMISSION_10X_FFF/D60)</f>
        <v>1.3336079262035838E-2</v>
      </c>
    </row>
    <row r="65" spans="1:15" ht="18" thickBot="1" x14ac:dyDescent="0.35">
      <c r="A65" s="21" t="s">
        <v>58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6.5" thickTop="1" x14ac:dyDescent="0.25"/>
    <row r="67" spans="1:15" x14ac:dyDescent="0.25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32</v>
      </c>
      <c r="O67" s="15" t="s">
        <v>46</v>
      </c>
    </row>
    <row r="68" spans="1:15" x14ac:dyDescent="0.25">
      <c r="A68" t="s">
        <v>63</v>
      </c>
      <c r="B68" s="7">
        <v>22500</v>
      </c>
      <c r="C68" s="7">
        <v>1.426E-2</v>
      </c>
      <c r="D68" s="7">
        <v>5.0679999999999996E-4</v>
      </c>
      <c r="E68" s="7">
        <v>1.404E-2</v>
      </c>
      <c r="F68" s="7">
        <v>1.26E-2</v>
      </c>
      <c r="G68" s="7">
        <v>2.3300000000000001E-2</v>
      </c>
      <c r="H68" s="7">
        <v>595</v>
      </c>
      <c r="I68" s="7">
        <v>595</v>
      </c>
      <c r="J68" s="7">
        <v>320.8</v>
      </c>
      <c r="K68" s="7">
        <v>1.421E-2</v>
      </c>
      <c r="L68" s="7">
        <v>100</v>
      </c>
      <c r="M68" s="7">
        <v>320.8</v>
      </c>
      <c r="N68" s="13">
        <v>0.2</v>
      </c>
      <c r="O68" s="7">
        <f t="shared" ref="O68:O77" si="0">J68/$J$75</f>
        <v>3.1952191235059761E-2</v>
      </c>
    </row>
    <row r="69" spans="1:15" x14ac:dyDescent="0.25">
      <c r="A69" t="s">
        <v>68</v>
      </c>
      <c r="B69" s="7">
        <v>22500</v>
      </c>
      <c r="C69" s="7">
        <v>2.1389999999999999E-2</v>
      </c>
      <c r="D69" s="7">
        <v>5.0390000000000005E-4</v>
      </c>
      <c r="E69" s="7">
        <v>2.1129999999999999E-2</v>
      </c>
      <c r="F69" s="7">
        <v>1.9689999999999999E-2</v>
      </c>
      <c r="G69" s="7">
        <v>3.0030000000000001E-2</v>
      </c>
      <c r="H69" s="7">
        <v>595</v>
      </c>
      <c r="I69" s="7">
        <v>595</v>
      </c>
      <c r="J69" s="7">
        <v>481.3</v>
      </c>
      <c r="K69" s="7">
        <v>2.1340000000000001E-2</v>
      </c>
      <c r="L69" s="7">
        <v>100</v>
      </c>
      <c r="M69" s="7">
        <v>481.3</v>
      </c>
      <c r="N69" s="13">
        <v>0.4</v>
      </c>
      <c r="O69" s="7">
        <f t="shared" si="0"/>
        <v>4.7938247011952193E-2</v>
      </c>
    </row>
    <row r="70" spans="1:15" x14ac:dyDescent="0.25">
      <c r="A70" t="s">
        <v>67</v>
      </c>
      <c r="B70" s="7">
        <v>22500</v>
      </c>
      <c r="C70" s="7">
        <v>2.869E-2</v>
      </c>
      <c r="D70" s="7">
        <v>5.0049999999999997E-4</v>
      </c>
      <c r="E70" s="7">
        <v>2.8539999999999999E-2</v>
      </c>
      <c r="F70" s="7">
        <v>2.699E-2</v>
      </c>
      <c r="G70" s="7">
        <v>3.73E-2</v>
      </c>
      <c r="H70" s="7">
        <v>595</v>
      </c>
      <c r="I70" s="7">
        <v>595</v>
      </c>
      <c r="J70" s="7">
        <v>645.6</v>
      </c>
      <c r="K70" s="7">
        <v>2.8639999999999999E-2</v>
      </c>
      <c r="L70" s="7">
        <v>100</v>
      </c>
      <c r="M70" s="7">
        <v>645.6</v>
      </c>
      <c r="N70" s="13">
        <v>0.6</v>
      </c>
      <c r="O70" s="7">
        <f t="shared" si="0"/>
        <v>6.4302788844621511E-2</v>
      </c>
    </row>
    <row r="71" spans="1:15" x14ac:dyDescent="0.25">
      <c r="A71" t="s">
        <v>69</v>
      </c>
      <c r="B71" s="7">
        <v>22500</v>
      </c>
      <c r="C71" s="7">
        <v>4.3400000000000001E-2</v>
      </c>
      <c r="D71" s="7">
        <v>4.975E-4</v>
      </c>
      <c r="E71" s="7">
        <v>4.3290000000000002E-2</v>
      </c>
      <c r="F71" s="7">
        <v>4.1660000000000003E-2</v>
      </c>
      <c r="G71" s="7">
        <v>5.2209999999999999E-2</v>
      </c>
      <c r="H71" s="7">
        <v>595</v>
      </c>
      <c r="I71" s="7">
        <v>595</v>
      </c>
      <c r="J71" s="7">
        <v>976.4</v>
      </c>
      <c r="K71" s="7">
        <v>4.335E-2</v>
      </c>
      <c r="L71" s="7">
        <v>100</v>
      </c>
      <c r="M71" s="7">
        <v>976.4</v>
      </c>
      <c r="N71" s="13">
        <v>1</v>
      </c>
      <c r="O71" s="7">
        <f t="shared" si="0"/>
        <v>9.7250996015936259E-2</v>
      </c>
    </row>
    <row r="72" spans="1:15" x14ac:dyDescent="0.25">
      <c r="A72" t="s">
        <v>65</v>
      </c>
      <c r="B72" s="7">
        <v>22500</v>
      </c>
      <c r="C72" s="7">
        <v>5.8069999999999997E-2</v>
      </c>
      <c r="D72" s="7">
        <v>4.9240000000000004E-4</v>
      </c>
      <c r="E72" s="7">
        <v>5.808E-2</v>
      </c>
      <c r="F72" s="7">
        <v>5.636E-2</v>
      </c>
      <c r="G72" s="7">
        <v>6.6720000000000002E-2</v>
      </c>
      <c r="H72" s="7">
        <v>595</v>
      </c>
      <c r="I72" s="7">
        <v>595</v>
      </c>
      <c r="J72" s="7">
        <v>1307</v>
      </c>
      <c r="K72" s="7">
        <v>5.8029999999999998E-2</v>
      </c>
      <c r="L72" s="7">
        <v>100</v>
      </c>
      <c r="M72" s="7">
        <v>1307</v>
      </c>
      <c r="N72" s="13">
        <v>1.4</v>
      </c>
      <c r="O72" s="7">
        <f t="shared" si="0"/>
        <v>0.1301792828685259</v>
      </c>
    </row>
    <row r="73" spans="1:15" x14ac:dyDescent="0.25">
      <c r="A73" t="s">
        <v>71</v>
      </c>
      <c r="B73" s="7">
        <v>22500</v>
      </c>
      <c r="C73" s="7">
        <v>6.5430000000000002E-2</v>
      </c>
      <c r="D73" s="7">
        <v>4.862E-4</v>
      </c>
      <c r="E73" s="7">
        <v>6.5360000000000001E-2</v>
      </c>
      <c r="F73" s="7">
        <v>6.3799999999999996E-2</v>
      </c>
      <c r="G73" s="7">
        <v>7.4200000000000002E-2</v>
      </c>
      <c r="H73" s="7">
        <v>595</v>
      </c>
      <c r="I73" s="7">
        <v>595</v>
      </c>
      <c r="J73" s="7">
        <v>1472</v>
      </c>
      <c r="K73" s="7">
        <v>6.5390000000000004E-2</v>
      </c>
      <c r="L73" s="7">
        <v>100</v>
      </c>
      <c r="M73" s="7">
        <v>1472</v>
      </c>
      <c r="N73" s="13">
        <v>1.6</v>
      </c>
      <c r="O73" s="7">
        <f t="shared" si="0"/>
        <v>0.14661354581673305</v>
      </c>
    </row>
    <row r="74" spans="1:15" x14ac:dyDescent="0.25">
      <c r="A74" t="s">
        <v>64</v>
      </c>
      <c r="B74" s="7">
        <v>22500</v>
      </c>
      <c r="C74" s="7">
        <v>8.0070000000000002E-2</v>
      </c>
      <c r="D74" s="7">
        <v>4.8440000000000001E-4</v>
      </c>
      <c r="E74" s="7">
        <v>7.9969999999999999E-2</v>
      </c>
      <c r="F74" s="7">
        <v>7.8390000000000001E-2</v>
      </c>
      <c r="G74" s="7">
        <v>8.8599999999999998E-2</v>
      </c>
      <c r="H74" s="7">
        <v>595</v>
      </c>
      <c r="I74" s="7">
        <v>595</v>
      </c>
      <c r="J74" s="7">
        <v>1802</v>
      </c>
      <c r="K74" s="7">
        <v>8.0030000000000004E-2</v>
      </c>
      <c r="L74" s="7">
        <v>100</v>
      </c>
      <c r="M74" s="7">
        <v>1802</v>
      </c>
      <c r="N74" s="13">
        <v>2</v>
      </c>
      <c r="O74" s="7">
        <f t="shared" si="0"/>
        <v>0.17948207171314742</v>
      </c>
    </row>
    <row r="75" spans="1:15" x14ac:dyDescent="0.25">
      <c r="A75" t="s">
        <v>72</v>
      </c>
      <c r="B75" s="7">
        <v>22500</v>
      </c>
      <c r="C75" s="7">
        <v>0.44640000000000002</v>
      </c>
      <c r="D75" s="7">
        <v>8.9400000000000005E-4</v>
      </c>
      <c r="E75" s="7">
        <v>0.44679999999999997</v>
      </c>
      <c r="F75" s="7">
        <v>0.44059999999999999</v>
      </c>
      <c r="G75" s="7">
        <v>0.45419999999999999</v>
      </c>
      <c r="H75" s="7">
        <v>595</v>
      </c>
      <c r="I75" s="7">
        <v>595</v>
      </c>
      <c r="J75" s="7">
        <v>10040</v>
      </c>
      <c r="K75" s="7">
        <v>0.44650000000000001</v>
      </c>
      <c r="L75" s="7">
        <v>100</v>
      </c>
      <c r="M75" s="7">
        <v>10040</v>
      </c>
      <c r="N75" t="s">
        <v>42</v>
      </c>
      <c r="O75" s="7">
        <f t="shared" si="0"/>
        <v>1</v>
      </c>
    </row>
    <row r="76" spans="1:15" x14ac:dyDescent="0.25">
      <c r="A76" t="s">
        <v>66</v>
      </c>
      <c r="B76" s="7">
        <v>22500</v>
      </c>
      <c r="C76" s="7">
        <v>5.5979999999999997E-3</v>
      </c>
      <c r="D76" s="7">
        <v>5.7010000000000003E-4</v>
      </c>
      <c r="E76" s="7">
        <v>5.509E-3</v>
      </c>
      <c r="F76" s="7">
        <v>3.7789999999999998E-3</v>
      </c>
      <c r="G76" s="7">
        <v>1.4449999999999999E-2</v>
      </c>
      <c r="H76" s="7">
        <v>595</v>
      </c>
      <c r="I76" s="7">
        <v>595</v>
      </c>
      <c r="J76" s="7">
        <v>126</v>
      </c>
      <c r="K76" s="7">
        <v>5.5380000000000004E-3</v>
      </c>
      <c r="L76" s="7">
        <v>100</v>
      </c>
      <c r="M76" s="7">
        <v>126</v>
      </c>
      <c r="N76" t="s">
        <v>34</v>
      </c>
      <c r="O76" s="7">
        <f t="shared" si="0"/>
        <v>1.2549800796812749E-2</v>
      </c>
    </row>
    <row r="77" spans="1:15" x14ac:dyDescent="0.25">
      <c r="A77" t="s">
        <v>70</v>
      </c>
      <c r="B77" s="7">
        <v>22500</v>
      </c>
      <c r="C77" s="7">
        <v>5.7619999999999998E-3</v>
      </c>
      <c r="D77" s="7">
        <v>6.2790000000000003E-4</v>
      </c>
      <c r="E77" s="7">
        <v>5.6990000000000001E-3</v>
      </c>
      <c r="F77" s="7">
        <v>3.8930000000000002E-3</v>
      </c>
      <c r="G77" s="7">
        <v>1.5310000000000001E-2</v>
      </c>
      <c r="H77" s="7">
        <v>595</v>
      </c>
      <c r="I77" s="7">
        <v>595</v>
      </c>
      <c r="J77" s="7">
        <v>129.69999999999999</v>
      </c>
      <c r="K77" s="7">
        <v>5.6979999999999999E-3</v>
      </c>
      <c r="L77" s="7">
        <v>100</v>
      </c>
      <c r="M77" s="7">
        <v>129.69999999999999</v>
      </c>
      <c r="N77" t="s">
        <v>33</v>
      </c>
      <c r="O77" s="7">
        <f t="shared" si="0"/>
        <v>1.2918326693227091E-2</v>
      </c>
    </row>
    <row r="79" spans="1:15" x14ac:dyDescent="0.25">
      <c r="B79" s="5" t="s">
        <v>36</v>
      </c>
      <c r="C79" s="5" t="s">
        <v>37</v>
      </c>
      <c r="D79" s="5" t="s">
        <v>39</v>
      </c>
      <c r="E79" s="5" t="s">
        <v>8</v>
      </c>
    </row>
    <row r="80" spans="1:15" x14ac:dyDescent="0.25">
      <c r="A80" t="s">
        <v>73</v>
      </c>
      <c r="B80" s="19">
        <f>AVERAGE(O76,O77)</f>
        <v>1.2734063745019921E-2</v>
      </c>
      <c r="C80" s="9"/>
      <c r="D80" s="19">
        <f>1-B80</f>
        <v>0.98726593625498005</v>
      </c>
      <c r="E80" s="9">
        <v>12</v>
      </c>
    </row>
    <row r="82" spans="1:5" ht="18" x14ac:dyDescent="0.25">
      <c r="B82" s="5" t="s">
        <v>43</v>
      </c>
      <c r="C82" s="5" t="s">
        <v>38</v>
      </c>
      <c r="D82" s="12" t="s">
        <v>49</v>
      </c>
      <c r="E82" s="5" t="s">
        <v>41</v>
      </c>
    </row>
    <row r="83" spans="1:5" x14ac:dyDescent="0.25">
      <c r="A83" t="s">
        <v>74</v>
      </c>
      <c r="B83" s="14">
        <f t="array" ref="B83:C83">LINEST(O68:O74,N68:N74)</f>
        <v>8.2093421187046683E-2</v>
      </c>
      <c r="C83" s="14">
        <v>1.5235212994177127E-2</v>
      </c>
      <c r="D83" s="14">
        <f>C83/B83</f>
        <v>0.18558384793666088</v>
      </c>
      <c r="E83" s="14">
        <f>D83-(E80*TRANSMISSION_10X/D80)</f>
        <v>3.0804107920619966E-2</v>
      </c>
    </row>
  </sheetData>
  <sortState ref="Q26:AC35">
    <sortCondition ref="Q26"/>
  </sortState>
  <mergeCells count="5">
    <mergeCell ref="A3:O3"/>
    <mergeCell ref="A5:O5"/>
    <mergeCell ref="A25:O25"/>
    <mergeCell ref="A45:O45"/>
    <mergeCell ref="A65:O65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A13" workbookViewId="0">
      <selection activeCell="M16" sqref="M16"/>
    </sheetView>
  </sheetViews>
  <sheetFormatPr defaultRowHeight="15.75" x14ac:dyDescent="0.25"/>
  <cols>
    <col min="1" max="1" width="2.625" customWidth="1"/>
    <col min="2" max="6" width="20.625" customWidth="1"/>
    <col min="7" max="7" width="2.625" customWidth="1"/>
  </cols>
  <sheetData>
    <row r="2" spans="2:7" x14ac:dyDescent="0.25">
      <c r="B2" t="s">
        <v>2</v>
      </c>
      <c r="C2" s="5" t="s">
        <v>50</v>
      </c>
    </row>
    <row r="3" spans="2:7" x14ac:dyDescent="0.25">
      <c r="B3" t="s">
        <v>3</v>
      </c>
      <c r="C3" s="6">
        <v>44942</v>
      </c>
    </row>
    <row r="4" spans="2:7" x14ac:dyDescent="0.25">
      <c r="B4" t="s">
        <v>4</v>
      </c>
      <c r="C4" s="5"/>
    </row>
    <row r="5" spans="2:7" x14ac:dyDescent="0.25">
      <c r="B5" t="s">
        <v>5</v>
      </c>
      <c r="C5" s="5" t="s">
        <v>52</v>
      </c>
    </row>
    <row r="7" spans="2:7" x14ac:dyDescent="0.25">
      <c r="B7" t="s">
        <v>6</v>
      </c>
      <c r="C7" t="s">
        <v>51</v>
      </c>
    </row>
    <row r="9" spans="2:7" ht="80.25" customHeight="1" x14ac:dyDescent="0.25">
      <c r="B9" s="3" t="s">
        <v>7</v>
      </c>
      <c r="C9" s="18" t="s">
        <v>62</v>
      </c>
      <c r="D9" s="18"/>
      <c r="E9" s="18"/>
      <c r="F9" s="18"/>
      <c r="G9" s="2"/>
    </row>
    <row r="11" spans="2:7" ht="18" thickBot="1" x14ac:dyDescent="0.35">
      <c r="B11" s="4" t="s">
        <v>53</v>
      </c>
    </row>
    <row r="12" spans="2:7" ht="16.5" thickTop="1" x14ac:dyDescent="0.25"/>
    <row r="13" spans="2:7" x14ac:dyDescent="0.25">
      <c r="C13" t="s">
        <v>54</v>
      </c>
      <c r="D13" t="s">
        <v>9</v>
      </c>
      <c r="E13" t="s">
        <v>10</v>
      </c>
      <c r="F13" t="s">
        <v>55</v>
      </c>
    </row>
    <row r="14" spans="2:7" x14ac:dyDescent="0.25">
      <c r="B14" t="s">
        <v>42</v>
      </c>
      <c r="C14" s="16">
        <v>1.66</v>
      </c>
      <c r="D14" s="16">
        <v>1.66</v>
      </c>
      <c r="E14" s="16"/>
      <c r="F14" s="16">
        <f>AVERAGE(C14:E14)</f>
        <v>1.66</v>
      </c>
    </row>
    <row r="15" spans="2:7" x14ac:dyDescent="0.25">
      <c r="B15" t="s">
        <v>13</v>
      </c>
      <c r="C15" s="16">
        <v>9.7000000000000003E-2</v>
      </c>
      <c r="D15" s="16">
        <v>9.5000000000000001E-2</v>
      </c>
      <c r="E15" s="16"/>
      <c r="F15" s="16">
        <f t="shared" ref="F15:F16" si="0">AVERAGE(C15:E15)</f>
        <v>9.6000000000000002E-2</v>
      </c>
    </row>
    <row r="16" spans="2:7" x14ac:dyDescent="0.25">
      <c r="B16" t="s">
        <v>14</v>
      </c>
      <c r="C16" s="16">
        <v>9.2999999999999999E-2</v>
      </c>
      <c r="D16" s="16">
        <v>9.2999999999999999E-2</v>
      </c>
      <c r="E16" s="16"/>
      <c r="F16" s="16">
        <f t="shared" si="0"/>
        <v>9.2999999999999999E-2</v>
      </c>
    </row>
    <row r="17" spans="2:6" x14ac:dyDescent="0.25">
      <c r="B17" t="s">
        <v>56</v>
      </c>
      <c r="C17" s="16"/>
      <c r="D17" s="16"/>
      <c r="E17" s="16"/>
      <c r="F17" s="17">
        <f>0.2*AVERAGE(F15/F14,F16/F14)</f>
        <v>1.1385542168674699E-2</v>
      </c>
    </row>
    <row r="19" spans="2:6" ht="18" thickBot="1" x14ac:dyDescent="0.35">
      <c r="B19" s="4" t="s">
        <v>57</v>
      </c>
    </row>
    <row r="20" spans="2:6" ht="16.5" thickTop="1" x14ac:dyDescent="0.25"/>
    <row r="21" spans="2:6" x14ac:dyDescent="0.25">
      <c r="C21" t="s">
        <v>54</v>
      </c>
      <c r="D21" t="s">
        <v>9</v>
      </c>
      <c r="E21" t="s">
        <v>10</v>
      </c>
      <c r="F21" t="s">
        <v>55</v>
      </c>
    </row>
    <row r="22" spans="2:6" x14ac:dyDescent="0.25">
      <c r="B22" t="s">
        <v>42</v>
      </c>
    </row>
    <row r="23" spans="2:6" x14ac:dyDescent="0.25">
      <c r="B23" t="s">
        <v>13</v>
      </c>
    </row>
    <row r="24" spans="2:6" x14ac:dyDescent="0.25">
      <c r="B24" t="s">
        <v>14</v>
      </c>
    </row>
    <row r="25" spans="2:6" x14ac:dyDescent="0.25">
      <c r="B25" t="s">
        <v>56</v>
      </c>
    </row>
    <row r="27" spans="2:6" ht="18" thickBot="1" x14ac:dyDescent="0.35">
      <c r="B27" s="4" t="s">
        <v>58</v>
      </c>
    </row>
    <row r="28" spans="2:6" ht="16.5" thickTop="1" x14ac:dyDescent="0.25"/>
    <row r="29" spans="2:6" x14ac:dyDescent="0.25">
      <c r="C29" t="s">
        <v>54</v>
      </c>
      <c r="D29" t="s">
        <v>9</v>
      </c>
      <c r="E29" t="s">
        <v>10</v>
      </c>
      <c r="F29" t="s">
        <v>55</v>
      </c>
    </row>
    <row r="30" spans="2:6" x14ac:dyDescent="0.25">
      <c r="B30" t="s">
        <v>42</v>
      </c>
    </row>
    <row r="31" spans="2:6" x14ac:dyDescent="0.25">
      <c r="B31" t="s">
        <v>13</v>
      </c>
    </row>
    <row r="32" spans="2:6" x14ac:dyDescent="0.25">
      <c r="B32" t="s">
        <v>14</v>
      </c>
    </row>
    <row r="33" spans="2:6" x14ac:dyDescent="0.25">
      <c r="B33" t="s">
        <v>56</v>
      </c>
    </row>
    <row r="36" spans="2:6" ht="18" thickBot="1" x14ac:dyDescent="0.35">
      <c r="B36" s="4" t="s">
        <v>59</v>
      </c>
    </row>
    <row r="37" spans="2:6" ht="16.5" thickTop="1" x14ac:dyDescent="0.25"/>
    <row r="38" spans="2:6" x14ac:dyDescent="0.25">
      <c r="C38" t="s">
        <v>54</v>
      </c>
      <c r="D38" t="s">
        <v>9</v>
      </c>
      <c r="E38" t="s">
        <v>10</v>
      </c>
      <c r="F38" t="s">
        <v>55</v>
      </c>
    </row>
    <row r="39" spans="2:6" x14ac:dyDescent="0.25">
      <c r="B39" t="s">
        <v>42</v>
      </c>
    </row>
    <row r="40" spans="2:6" x14ac:dyDescent="0.25">
      <c r="B40" t="s">
        <v>13</v>
      </c>
    </row>
    <row r="41" spans="2:6" x14ac:dyDescent="0.25">
      <c r="B41" t="s">
        <v>14</v>
      </c>
    </row>
    <row r="42" spans="2:6" x14ac:dyDescent="0.25">
      <c r="B42" t="s">
        <v>56</v>
      </c>
    </row>
  </sheetData>
  <mergeCells count="1">
    <mergeCell ref="C9:F9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Notes</vt:lpstr>
      <vt:lpstr>ImageJ</vt:lpstr>
      <vt:lpstr>Transmission</vt:lpstr>
      <vt:lpstr>TRANSMISSION_10X</vt:lpstr>
      <vt:lpstr>TRANSMISSION_10X_FFF</vt:lpstr>
      <vt:lpstr>TRANSMISSION_6X</vt:lpstr>
      <vt:lpstr>TRANSMISSION_6X_FFF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Thomas Edward Stubbington</dc:creator>
  <cp:keywords/>
  <dc:description/>
  <cp:lastModifiedBy>Stubbington, Liam</cp:lastModifiedBy>
  <cp:revision/>
  <dcterms:created xsi:type="dcterms:W3CDTF">2022-12-19T09:39:36Z</dcterms:created>
  <dcterms:modified xsi:type="dcterms:W3CDTF">2023-01-16T12:36:46Z</dcterms:modified>
  <cp:category/>
  <cp:contentStatus/>
</cp:coreProperties>
</file>