
<file path=[Content_Types].xml><?xml version="1.0" encoding="utf-8"?>
<Types xmlns="http://schemas.openxmlformats.org/package/2006/content-types"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liam\Desktop\FINS2624\week2\"/>
    </mc:Choice>
  </mc:AlternateContent>
  <xr:revisionPtr revIDLastSave="0" documentId="8_{CBF83A24-9D68-4121-9229-A52FE0DD1F56}" xr6:coauthVersionLast="47" xr6:coauthVersionMax="47" xr10:uidLastSave="{00000000-0000-0000-0000-000000000000}"/>
  <bookViews>
    <workbookView xWindow="28680" yWindow="-120" windowWidth="29040" windowHeight="16440" activeTab="1" xr2:uid="{00000000-000D-0000-FFFF-FFFF00000000}"/>
  </bookViews>
  <sheets>
    <sheet name="Yield Curve" sheetId="3" r:id="rId1"/>
    <sheet name="bond price with forward rate" sheetId="4" r:id="rId2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2" i="4" l="1"/>
  <c r="B20" i="4" l="1"/>
  <c r="C18" i="4"/>
  <c r="C17" i="4"/>
  <c r="C16" i="4"/>
  <c r="C15" i="4"/>
  <c r="D15" i="4" s="1"/>
  <c r="C6" i="4"/>
  <c r="C7" i="4" s="1"/>
  <c r="C8" i="4" s="1"/>
  <c r="C9" i="4" s="1"/>
  <c r="D6" i="4"/>
  <c r="C11" i="3"/>
  <c r="D11" i="3" s="1"/>
  <c r="E11" i="3" s="1"/>
  <c r="F11" i="3" s="1"/>
  <c r="G11" i="3" s="1"/>
  <c r="H11" i="3" s="1"/>
  <c r="I11" i="3" s="1"/>
  <c r="J11" i="3" s="1"/>
  <c r="K11" i="3" s="1"/>
  <c r="B22" i="3"/>
  <c r="B57" i="3"/>
  <c r="C16" i="3"/>
  <c r="H16" i="3"/>
  <c r="B95" i="3" s="1"/>
  <c r="I16" i="3"/>
  <c r="J16" i="3"/>
  <c r="K16" i="3"/>
  <c r="B16" i="3"/>
  <c r="D13" i="3"/>
  <c r="E13" i="3" s="1"/>
  <c r="C10" i="3"/>
  <c r="D10" i="3" s="1"/>
  <c r="E10" i="3" s="1"/>
  <c r="F10" i="3" s="1"/>
  <c r="G10" i="3" s="1"/>
  <c r="H10" i="3" s="1"/>
  <c r="I10" i="3" s="1"/>
  <c r="J10" i="3" s="1"/>
  <c r="K10" i="3" s="1"/>
  <c r="E15" i="4" l="1"/>
  <c r="D16" i="4"/>
  <c r="D17" i="4" s="1"/>
  <c r="D18" i="4" s="1"/>
  <c r="B3" i="4"/>
  <c r="B59" i="3"/>
  <c r="B62" i="3" s="1"/>
  <c r="E50" i="3"/>
  <c r="B48" i="3"/>
  <c r="D16" i="3"/>
  <c r="F13" i="3"/>
  <c r="E16" i="3"/>
  <c r="W162" i="3"/>
  <c r="W159" i="3"/>
  <c r="B13" i="4" l="1"/>
  <c r="B73" i="3"/>
  <c r="G13" i="3"/>
  <c r="G16" i="3" s="1"/>
  <c r="B47" i="3"/>
  <c r="F16" i="3"/>
  <c r="W163" i="3"/>
  <c r="W164" i="3" s="1"/>
  <c r="W169" i="3" s="1"/>
  <c r="X169" i="3" l="1"/>
  <c r="Y169" i="3" s="1"/>
  <c r="W171" i="3"/>
  <c r="C97" i="3"/>
  <c r="D97" i="3" s="1"/>
  <c r="E97" i="3" l="1"/>
  <c r="K67" i="3"/>
  <c r="J67" i="3"/>
  <c r="I67" i="3"/>
  <c r="H67" i="3"/>
  <c r="G67" i="3"/>
  <c r="F97" i="3" l="1"/>
  <c r="E79" i="3"/>
  <c r="G66" i="3"/>
  <c r="H66" i="3" s="1"/>
  <c r="I66" i="3" s="1"/>
  <c r="K68" i="3"/>
  <c r="H68" i="3"/>
  <c r="I68" i="3"/>
  <c r="J68" i="3"/>
  <c r="G68" i="3"/>
  <c r="G69" i="3" l="1"/>
  <c r="G97" i="3"/>
  <c r="H69" i="3"/>
  <c r="E80" i="3"/>
  <c r="F79" i="3"/>
  <c r="J66" i="3"/>
  <c r="I69" i="3"/>
  <c r="G27" i="3"/>
  <c r="B5" i="3"/>
  <c r="B20" i="3"/>
  <c r="B45" i="3" l="1"/>
  <c r="H14" i="3"/>
  <c r="F14" i="3"/>
  <c r="C14" i="3"/>
  <c r="I14" i="3"/>
  <c r="G14" i="3"/>
  <c r="J14" i="3"/>
  <c r="E14" i="3"/>
  <c r="K14" i="3"/>
  <c r="D14" i="3"/>
  <c r="G17" i="3"/>
  <c r="K17" i="3"/>
  <c r="F17" i="3"/>
  <c r="B46" i="3" s="1"/>
  <c r="B50" i="3" s="1"/>
  <c r="H17" i="3"/>
  <c r="C17" i="3"/>
  <c r="C20" i="3" s="1"/>
  <c r="C22" i="3" s="1"/>
  <c r="B17" i="3"/>
  <c r="I17" i="3"/>
  <c r="D17" i="3"/>
  <c r="B70" i="3" s="1"/>
  <c r="B14" i="3"/>
  <c r="J17" i="3"/>
  <c r="E17" i="3"/>
  <c r="C38" i="3"/>
  <c r="A29" i="3"/>
  <c r="B29" i="3" s="1"/>
  <c r="A30" i="3"/>
  <c r="B30" i="3" s="1"/>
  <c r="A28" i="3"/>
  <c r="B28" i="3" s="1"/>
  <c r="B98" i="3"/>
  <c r="B99" i="3" s="1"/>
  <c r="B100" i="3" s="1"/>
  <c r="H97" i="3"/>
  <c r="G79" i="3"/>
  <c r="F80" i="3"/>
  <c r="J69" i="3"/>
  <c r="K66" i="3"/>
  <c r="K69" i="3" s="1"/>
  <c r="A31" i="3"/>
  <c r="H27" i="3"/>
  <c r="B89" i="3" l="1"/>
  <c r="B90" i="3" s="1"/>
  <c r="B91" i="3" s="1"/>
  <c r="D20" i="3"/>
  <c r="D22" i="3" s="1"/>
  <c r="B74" i="3"/>
  <c r="B75" i="3" s="1"/>
  <c r="B77" i="3" s="1"/>
  <c r="E20" i="3"/>
  <c r="E22" i="3" s="1"/>
  <c r="E24" i="3" s="1"/>
  <c r="C30" i="3"/>
  <c r="D30" i="3"/>
  <c r="C29" i="3"/>
  <c r="C98" i="3"/>
  <c r="C99" i="3" s="1"/>
  <c r="C100" i="3" s="1"/>
  <c r="G80" i="3"/>
  <c r="H79" i="3"/>
  <c r="L69" i="3"/>
  <c r="C31" i="3"/>
  <c r="I27" i="3"/>
  <c r="J27" i="3" s="1"/>
  <c r="C28" i="3"/>
  <c r="B31" i="3"/>
  <c r="B32" i="3" s="1"/>
  <c r="E28" i="3" l="1"/>
  <c r="D24" i="3"/>
  <c r="E30" i="3"/>
  <c r="F20" i="3"/>
  <c r="F30" i="3" s="1"/>
  <c r="E31" i="3"/>
  <c r="E98" i="3"/>
  <c r="E99" i="3" s="1"/>
  <c r="E100" i="3" s="1"/>
  <c r="E29" i="3"/>
  <c r="D29" i="3"/>
  <c r="D31" i="3"/>
  <c r="C32" i="3"/>
  <c r="C33" i="3" s="1"/>
  <c r="D98" i="3"/>
  <c r="D99" i="3" s="1"/>
  <c r="D100" i="3" s="1"/>
  <c r="I79" i="3"/>
  <c r="H80" i="3"/>
  <c r="D28" i="3"/>
  <c r="C24" i="3"/>
  <c r="K27" i="3"/>
  <c r="F29" i="3" l="1"/>
  <c r="F22" i="3"/>
  <c r="F24" i="3" s="1"/>
  <c r="F28" i="3"/>
  <c r="F98" i="3"/>
  <c r="F99" i="3" s="1"/>
  <c r="F100" i="3" s="1"/>
  <c r="G20" i="3"/>
  <c r="C40" i="3"/>
  <c r="F31" i="3"/>
  <c r="F32" i="3" s="1"/>
  <c r="F33" i="3" s="1"/>
  <c r="C89" i="3"/>
  <c r="C90" i="3" s="1"/>
  <c r="C91" i="3" s="1"/>
  <c r="D32" i="3"/>
  <c r="D33" i="3" s="1"/>
  <c r="E32" i="3"/>
  <c r="E33" i="3" s="1"/>
  <c r="I80" i="3"/>
  <c r="J79" i="3"/>
  <c r="J80" i="3" s="1"/>
  <c r="G98" i="3" l="1"/>
  <c r="G99" i="3" s="1"/>
  <c r="G100" i="3" s="1"/>
  <c r="G22" i="3"/>
  <c r="G24" i="3" s="1"/>
  <c r="G30" i="3"/>
  <c r="G28" i="3"/>
  <c r="G29" i="3"/>
  <c r="H20" i="3"/>
  <c r="G31" i="3"/>
  <c r="K80" i="3"/>
  <c r="H98" i="3" l="1"/>
  <c r="H99" i="3" s="1"/>
  <c r="H100" i="3" s="1"/>
  <c r="I100" i="3" s="1"/>
  <c r="B102" i="3" s="1"/>
  <c r="B103" i="3" s="1"/>
  <c r="D89" i="3"/>
  <c r="H30" i="3"/>
  <c r="H31" i="3"/>
  <c r="H29" i="3"/>
  <c r="H32" i="3" s="1"/>
  <c r="H33" i="3" s="1"/>
  <c r="H22" i="3"/>
  <c r="H24" i="3" s="1"/>
  <c r="I20" i="3"/>
  <c r="J20" i="3" s="1"/>
  <c r="J22" i="3" s="1"/>
  <c r="G32" i="3"/>
  <c r="G33" i="3" s="1"/>
  <c r="K20" i="3" l="1"/>
  <c r="K22" i="3" s="1"/>
  <c r="F103" i="3"/>
  <c r="D90" i="3"/>
  <c r="D91" i="3" s="1"/>
  <c r="J30" i="3"/>
  <c r="J29" i="3"/>
  <c r="J31" i="3"/>
  <c r="I30" i="3"/>
  <c r="I31" i="3"/>
  <c r="I29" i="3"/>
  <c r="I22" i="3"/>
  <c r="E89" i="3" l="1"/>
  <c r="E90" i="3" s="1"/>
  <c r="E91" i="3" s="1"/>
  <c r="K30" i="3"/>
  <c r="K24" i="3"/>
  <c r="I32" i="3"/>
  <c r="I33" i="3" s="1"/>
  <c r="I24" i="3"/>
  <c r="J24" i="3"/>
  <c r="J32" i="3"/>
  <c r="J33" i="3" s="1"/>
  <c r="K29" i="3"/>
  <c r="K31" i="3"/>
  <c r="K32" i="3" s="1"/>
  <c r="K33" i="3" s="1"/>
</calcChain>
</file>

<file path=xl/sharedStrings.xml><?xml version="1.0" encoding="utf-8"?>
<sst xmlns="http://schemas.openxmlformats.org/spreadsheetml/2006/main" count="92" uniqueCount="69">
  <si>
    <t>Face Value</t>
  </si>
  <si>
    <t>using</t>
  </si>
  <si>
    <t>Yield to Maturity</t>
  </si>
  <si>
    <t>Coupon (Semi-annual)</t>
  </si>
  <si>
    <t>Price</t>
  </si>
  <si>
    <t>Check</t>
  </si>
  <si>
    <t>Forward Rates</t>
  </si>
  <si>
    <t>Coupon (Annual)</t>
  </si>
  <si>
    <t>Price Basis</t>
  </si>
  <si>
    <t>Example: Pricing 5 Year Bond off the Annual Pure Yield Curve</t>
  </si>
  <si>
    <t>due to variable spot rates</t>
  </si>
  <si>
    <t>YTM</t>
  </si>
  <si>
    <t>Yield to Maturity Calculation</t>
  </si>
  <si>
    <t>FV</t>
  </si>
  <si>
    <t>years</t>
  </si>
  <si>
    <t>Coupon Rate</t>
  </si>
  <si>
    <t>Time to maturity</t>
  </si>
  <si>
    <t>Semi-annual</t>
  </si>
  <si>
    <t>Holding Period Return and Realised Yield Calculation</t>
  </si>
  <si>
    <t>Calculate HPR</t>
  </si>
  <si>
    <t>Total Bond Proceeds</t>
  </si>
  <si>
    <t>Bond Price</t>
  </si>
  <si>
    <t>HPR</t>
  </si>
  <si>
    <t>Realised Compound Yield per semi-annual period</t>
  </si>
  <si>
    <t>Spot Rate (actual yield curve)</t>
  </si>
  <si>
    <t>Note: Spot rates are slightly different from the YTM</t>
  </si>
  <si>
    <t>PV Factors</t>
  </si>
  <si>
    <t>Bond Prices</t>
  </si>
  <si>
    <t>Zero Term to Maturity</t>
  </si>
  <si>
    <t>Annual bond for simplicity</t>
  </si>
  <si>
    <t>Cashflow Year</t>
  </si>
  <si>
    <t xml:space="preserve">PV of Cashflow </t>
  </si>
  <si>
    <t>Zeros</t>
  </si>
  <si>
    <t>Sum the Cashflow PVs</t>
  </si>
  <si>
    <t>Zero Coupon Bond</t>
  </si>
  <si>
    <t>Coupon Bond</t>
  </si>
  <si>
    <t>Coupon Bond Price</t>
  </si>
  <si>
    <t>Coupon</t>
  </si>
  <si>
    <t>Pure Yield</t>
  </si>
  <si>
    <t>Using the Yield Curve to Price Bonds</t>
  </si>
  <si>
    <t>Yield Curve Using Yield to Maturity</t>
  </si>
  <si>
    <t>(ie not the pure yield curve)</t>
  </si>
  <si>
    <t>Annual Spot Rates (Pure Yield Curve)</t>
  </si>
  <si>
    <t>Bootstrapping the Pure Yield Curve (Annual)</t>
  </si>
  <si>
    <t>This is called "bootstrapping"</t>
  </si>
  <si>
    <t>Pricing bonds using YTM and off the Spot Rates is Equivalent</t>
  </si>
  <si>
    <t>Example: Price of the 5 Year Annual Bond Using YTM</t>
  </si>
  <si>
    <t>Annual</t>
  </si>
  <si>
    <t>Yield to marturity</t>
  </si>
  <si>
    <t>as per YTM yield curve</t>
  </si>
  <si>
    <t>Price Bonds off the Yield Curve</t>
  </si>
  <si>
    <t>Coupon Rate on 7 year bond</t>
  </si>
  <si>
    <t>Example 7 Year Coupon Bond</t>
  </si>
  <si>
    <t>Slightly lower than 7 year spot rate</t>
  </si>
  <si>
    <t>Actual Rate Year 1</t>
  </si>
  <si>
    <t>Actual Rate Year 2</t>
  </si>
  <si>
    <t>Actual Rate Year 3</t>
  </si>
  <si>
    <t>YTM at Purchase</t>
  </si>
  <si>
    <t>Slightly higher than YTM because rates were higher than the YTM expectation</t>
  </si>
  <si>
    <t>Higher than YTM</t>
  </si>
  <si>
    <t>Equal</t>
  </si>
  <si>
    <t>coupon rate</t>
  </si>
  <si>
    <t>price</t>
  </si>
  <si>
    <t>current price</t>
  </si>
  <si>
    <t>rate</t>
  </si>
  <si>
    <t>mature</t>
  </si>
  <si>
    <t>coupon</t>
  </si>
  <si>
    <t>cv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</si>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</sst>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8" formatCode="&quot;$&quot;#,##0.00_);[Red]\(&quot;$&quot;#,##0.00\)"/>
    <numFmt numFmtId="164" formatCode="0.000%"/>
    <numFmt numFmtId="165" formatCode="0.00000%"/>
    <numFmt numFmtId="166" formatCode="0.00000"/>
    <numFmt numFmtId="167" formatCode="0.0000000"/>
    <numFmt numFmtId="168" formatCode="0.00000000"/>
    <numFmt numFmtId="169" formatCode="0.0000%"/>
    <numFmt numFmtId="170" formatCode="0.0000"/>
    <numFmt numFmtId="171" formatCode="&quot;$&quot;#,##0.00"/>
    <numFmt numFmtId="172" formatCode="0.0"/>
    <numFmt numFmtId="173" formatCode="0.0%"/>
  </numFmts>
  <fonts count="10" x14ac:knownFonts="1">
    <font>
      <sz val="11"/>
      <color theme="1"/>
      <name val="Calibri"/>
      <family val="2"/>
      <scheme val="minor"/>
    </font>
    <font>
      <sz val="12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6"/>
      <name val="Verdana"/>
      <family val="2"/>
    </font>
    <font>
      <sz val="12"/>
      <color rgb="FFFF0000"/>
      <name val="Verdana"/>
      <family val="2"/>
    </font>
    <font>
      <b/>
      <sz val="12"/>
      <color theme="1"/>
      <name val="Verdana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u/>
      <sz val="12"/>
      <color theme="1"/>
      <name val="Verdana"/>
      <family val="2"/>
    </font>
    <font>
      <i/>
      <sz val="12"/>
      <color rgb="FFFF000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FDFFA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0">
    <xf numFmtId="0" fontId="0" fillId="0" borderId="0"/>
    <xf numFmtId="9" fontId="2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61">
    <xf numFmtId="0" fontId="0" fillId="0" borderId="0" xfId="0"/>
    <xf numFmtId="0" fontId="1" fillId="0" borderId="0" xfId="0" applyFont="1"/>
    <xf numFmtId="0" fontId="3" fillId="2" borderId="1" xfId="0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3" xfId="0" applyFont="1" applyFill="1" applyBorder="1" applyAlignment="1">
      <alignment horizontal="left"/>
    </xf>
    <xf numFmtId="0" fontId="1" fillId="0" borderId="0" xfId="0" applyFont="1" applyAlignment="1">
      <alignment horizontal="center"/>
    </xf>
    <xf numFmtId="10" fontId="1" fillId="0" borderId="0" xfId="1" applyNumberFormat="1" applyFont="1" applyAlignment="1">
      <alignment horizontal="center"/>
    </xf>
    <xf numFmtId="0" fontId="4" fillId="0" borderId="0" xfId="0" applyFont="1" applyAlignment="1">
      <alignment horizontal="center"/>
    </xf>
    <xf numFmtId="10" fontId="4" fillId="0" borderId="0" xfId="1" applyNumberFormat="1" applyFont="1" applyAlignment="1">
      <alignment horizontal="center"/>
    </xf>
    <xf numFmtId="0" fontId="1" fillId="0" borderId="0" xfId="0" applyFont="1" applyAlignment="1">
      <alignment horizontal="right"/>
    </xf>
    <xf numFmtId="2" fontId="1" fillId="0" borderId="0" xfId="0" applyNumberFormat="1" applyFont="1"/>
    <xf numFmtId="2" fontId="1" fillId="0" borderId="0" xfId="0" applyNumberFormat="1" applyFont="1" applyAlignment="1">
      <alignment horizontal="center"/>
    </xf>
    <xf numFmtId="164" fontId="1" fillId="0" borderId="0" xfId="1" applyNumberFormat="1" applyFont="1"/>
    <xf numFmtId="0" fontId="8" fillId="0" borderId="0" xfId="0" applyFont="1"/>
    <xf numFmtId="164" fontId="1" fillId="0" borderId="0" xfId="1" applyNumberFormat="1" applyFont="1" applyAlignment="1">
      <alignment horizontal="center"/>
    </xf>
    <xf numFmtId="166" fontId="1" fillId="0" borderId="0" xfId="0" applyNumberFormat="1" applyFont="1" applyAlignment="1">
      <alignment horizontal="center"/>
    </xf>
    <xf numFmtId="10" fontId="1" fillId="0" borderId="0" xfId="0" applyNumberFormat="1" applyFont="1" applyAlignment="1">
      <alignment horizontal="center"/>
    </xf>
    <xf numFmtId="167" fontId="1" fillId="0" borderId="0" xfId="0" applyNumberFormat="1" applyFont="1"/>
    <xf numFmtId="164" fontId="1" fillId="0" borderId="0" xfId="0" applyNumberFormat="1" applyFont="1"/>
    <xf numFmtId="164" fontId="1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 vertical="center" wrapText="1"/>
    </xf>
    <xf numFmtId="164" fontId="4" fillId="0" borderId="0" xfId="1" applyNumberFormat="1" applyFont="1" applyAlignment="1">
      <alignment horizontal="center"/>
    </xf>
    <xf numFmtId="169" fontId="1" fillId="0" borderId="0" xfId="1" applyNumberFormat="1" applyFont="1" applyAlignment="1">
      <alignment horizontal="center"/>
    </xf>
    <xf numFmtId="168" fontId="1" fillId="0" borderId="0" xfId="0" applyNumberFormat="1" applyFont="1" applyAlignment="1">
      <alignment horizontal="center"/>
    </xf>
    <xf numFmtId="10" fontId="1" fillId="0" borderId="0" xfId="0" applyNumberFormat="1" applyFont="1"/>
    <xf numFmtId="10" fontId="1" fillId="0" borderId="0" xfId="1" applyNumberFormat="1" applyFont="1"/>
    <xf numFmtId="170" fontId="5" fillId="0" borderId="0" xfId="0" applyNumberFormat="1" applyFont="1"/>
    <xf numFmtId="170" fontId="1" fillId="0" borderId="0" xfId="0" applyNumberFormat="1" applyFont="1"/>
    <xf numFmtId="171" fontId="1" fillId="0" borderId="0" xfId="0" applyNumberFormat="1" applyFont="1"/>
    <xf numFmtId="164" fontId="5" fillId="0" borderId="0" xfId="0" applyNumberFormat="1" applyFont="1"/>
    <xf numFmtId="0" fontId="9" fillId="0" borderId="0" xfId="0" applyFont="1"/>
    <xf numFmtId="171" fontId="1" fillId="3" borderId="4" xfId="0" applyNumberFormat="1" applyFont="1" applyFill="1" applyBorder="1"/>
    <xf numFmtId="172" fontId="1" fillId="0" borderId="0" xfId="0" applyNumberFormat="1" applyFont="1"/>
    <xf numFmtId="9" fontId="1" fillId="0" borderId="0" xfId="1" applyFont="1"/>
    <xf numFmtId="166" fontId="1" fillId="3" borderId="4" xfId="0" applyNumberFormat="1" applyFont="1" applyFill="1" applyBorder="1"/>
    <xf numFmtId="166" fontId="5" fillId="0" borderId="0" xfId="0" applyNumberFormat="1" applyFont="1"/>
    <xf numFmtId="169" fontId="1" fillId="0" borderId="0" xfId="0" applyNumberFormat="1" applyFont="1"/>
    <xf numFmtId="165" fontId="1" fillId="0" borderId="0" xfId="0" applyNumberFormat="1" applyFont="1"/>
    <xf numFmtId="169" fontId="1" fillId="3" borderId="4" xfId="1" applyNumberFormat="1" applyFont="1" applyFill="1" applyBorder="1"/>
    <xf numFmtId="169" fontId="1" fillId="4" borderId="0" xfId="1" applyNumberFormat="1" applyFont="1" applyFill="1"/>
    <xf numFmtId="164" fontId="1" fillId="4" borderId="0" xfId="0" applyNumberFormat="1" applyFont="1" applyFill="1"/>
    <xf numFmtId="167" fontId="1" fillId="4" borderId="0" xfId="0" applyNumberFormat="1" applyFont="1" applyFill="1"/>
    <xf numFmtId="9" fontId="0" fillId="0" borderId="0" xfId="1" applyFont="1"/>
    <xf numFmtId="173" fontId="0" fillId="0" borderId="0" xfId="1" applyNumberFormat="1" applyFont="1"/>
    <xf numFmtId="8" fontId="0" fillId="0" borderId="0" xfId="0" applyNumberFormat="1"/>
    <xf numFmtId="0" fontId="0" fillId="0" borderId="5" xfId="0" applyBorder="1"/>
    <xf numFmtId="173" fontId="0" fillId="0" borderId="6" xfId="1" applyNumberFormat="1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Border="1"/>
    <xf numFmtId="0" fontId="0" fillId="0" borderId="9" xfId="0" applyBorder="1"/>
    <xf numFmtId="2" fontId="0" fillId="0" borderId="0" xfId="0" applyNumberFormat="1" applyBorder="1" applyAlignment="1">
      <alignment horizontal="center" vertical="center" wrapText="1"/>
    </xf>
    <xf numFmtId="10" fontId="0" fillId="0" borderId="0" xfId="1" applyNumberFormat="1" applyFont="1" applyBorder="1"/>
    <xf numFmtId="0" fontId="0" fillId="0" borderId="10" xfId="0" applyBorder="1"/>
    <xf numFmtId="2" fontId="0" fillId="0" borderId="11" xfId="0" applyNumberFormat="1" applyBorder="1" applyAlignment="1">
      <alignment horizontal="center" vertical="center" wrapText="1"/>
    </xf>
    <xf numFmtId="10" fontId="0" fillId="0" borderId="11" xfId="1" applyNumberFormat="1" applyFont="1" applyBorder="1"/>
    <xf numFmtId="0" fontId="0" fillId="0" borderId="11" xfId="0" applyBorder="1"/>
    <xf numFmtId="0" fontId="0" fillId="0" borderId="12" xfId="0" applyBorder="1"/>
    <xf numFmtId="164" fontId="0" fillId="0" borderId="0" xfId="1" applyNumberFormat="1" applyFont="1"/>
    <xf numFmtId="1" fontId="0" fillId="0" borderId="0" xfId="0" applyNumberFormat="1" applyFill="1" applyBorder="1" applyAlignment="1">
      <alignment horizontal="center" vertical="center" wrapText="1"/>
    </xf>
  </cellXfs>
  <cellStyles count="30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612178</xdr:colOff>
      <xdr:row>12</xdr:row>
      <xdr:rowOff>62194</xdr:rowOff>
    </xdr:from>
    <xdr:to>
      <xdr:col>16</xdr:col>
      <xdr:colOff>408903</xdr:colOff>
      <xdr:row>14</xdr:row>
      <xdr:rowOff>87796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24163" y="2275356"/>
          <a:ext cx="2570181" cy="4178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508747</xdr:colOff>
      <xdr:row>20</xdr:row>
      <xdr:rowOff>143771</xdr:rowOff>
    </xdr:from>
    <xdr:to>
      <xdr:col>15</xdr:col>
      <xdr:colOff>324186</xdr:colOff>
      <xdr:row>23</xdr:row>
      <xdr:rowOff>106936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02828" y="4121859"/>
          <a:ext cx="2000586" cy="5514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68580</xdr:colOff>
      <xdr:row>36</xdr:row>
      <xdr:rowOff>2241</xdr:rowOff>
    </xdr:from>
    <xdr:to>
      <xdr:col>6</xdr:col>
      <xdr:colOff>563880</xdr:colOff>
      <xdr:row>38</xdr:row>
      <xdr:rowOff>27843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26337" y="7314079"/>
          <a:ext cx="2568389" cy="4178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53340</xdr:colOff>
      <xdr:row>38</xdr:row>
      <xdr:rowOff>119458</xdr:rowOff>
    </xdr:from>
    <xdr:to>
      <xdr:col>5</xdr:col>
      <xdr:colOff>861060</xdr:colOff>
      <xdr:row>41</xdr:row>
      <xdr:rowOff>474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231380" y="5514418"/>
          <a:ext cx="1836420" cy="452515"/>
        </a:xfrm>
        <a:prstGeom prst="rect">
          <a:avLst/>
        </a:prstGeom>
      </xdr:spPr>
    </xdr:pic>
    <xdr:clientData/>
  </xdr:twoCellAnchor>
  <xdr:twoCellAnchor editAs="oneCell">
    <xdr:from>
      <xdr:col>4</xdr:col>
      <xdr:colOff>196101</xdr:colOff>
      <xdr:row>73</xdr:row>
      <xdr:rowOff>42023</xdr:rowOff>
    </xdr:from>
    <xdr:to>
      <xdr:col>6</xdr:col>
      <xdr:colOff>434225</xdr:colOff>
      <xdr:row>75</xdr:row>
      <xdr:rowOff>81532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384" t="-4215" b="-1"/>
        <a:stretch/>
      </xdr:blipFill>
      <xdr:spPr bwMode="auto">
        <a:xfrm>
          <a:off x="7353858" y="18139523"/>
          <a:ext cx="2311213" cy="4317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112061</xdr:colOff>
      <xdr:row>75</xdr:row>
      <xdr:rowOff>70041</xdr:rowOff>
    </xdr:from>
    <xdr:to>
      <xdr:col>6</xdr:col>
      <xdr:colOff>957166</xdr:colOff>
      <xdr:row>80</xdr:row>
      <xdr:rowOff>28014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746" t="2288"/>
        <a:stretch/>
      </xdr:blipFill>
      <xdr:spPr bwMode="auto">
        <a:xfrm>
          <a:off x="7269818" y="18559747"/>
          <a:ext cx="2918194" cy="5462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E171"/>
  <sheetViews>
    <sheetView showGridLines="0" zoomScale="68" zoomScaleNormal="68" zoomScalePageLayoutView="125" workbookViewId="0">
      <selection activeCell="B13" sqref="B13"/>
    </sheetView>
  </sheetViews>
  <sheetFormatPr defaultColWidth="8.85546875" defaultRowHeight="15" x14ac:dyDescent="0.2"/>
  <cols>
    <col min="1" max="1" width="60" style="1" customWidth="1"/>
    <col min="2" max="4" width="15.85546875" style="1" customWidth="1"/>
    <col min="5" max="5" width="15.42578125" style="1" customWidth="1"/>
    <col min="6" max="9" width="15.85546875" style="1" customWidth="1"/>
    <col min="10" max="10" width="13.140625" style="1" customWidth="1"/>
    <col min="11" max="11" width="16.42578125" style="1" customWidth="1"/>
    <col min="12" max="12" width="15.5703125" style="1" bestFit="1" customWidth="1"/>
    <col min="13" max="13" width="14.140625" style="1" customWidth="1"/>
    <col min="14" max="14" width="8.85546875" style="1"/>
    <col min="15" max="15" width="9.85546875" style="1" customWidth="1"/>
    <col min="16" max="30" width="8.85546875" style="1"/>
    <col min="31" max="31" width="19.5703125" style="1" customWidth="1"/>
    <col min="32" max="32" width="12.42578125" style="1" bestFit="1" customWidth="1"/>
    <col min="33" max="16384" width="8.85546875" style="1"/>
  </cols>
  <sheetData>
    <row r="2" spans="1:12" ht="19.5" x14ac:dyDescent="0.25">
      <c r="A2" s="2" t="s">
        <v>39</v>
      </c>
      <c r="B2" s="3"/>
      <c r="C2" s="4"/>
    </row>
    <row r="4" spans="1:12" x14ac:dyDescent="0.2">
      <c r="A4" s="1" t="s">
        <v>0</v>
      </c>
      <c r="B4" s="7">
        <v>1000</v>
      </c>
    </row>
    <row r="5" spans="1:12" x14ac:dyDescent="0.2">
      <c r="A5" s="1" t="s">
        <v>8</v>
      </c>
      <c r="B5" s="5">
        <f>B4/10</f>
        <v>100</v>
      </c>
    </row>
    <row r="9" spans="1:12" x14ac:dyDescent="0.2">
      <c r="A9" s="1" t="s">
        <v>40</v>
      </c>
    </row>
    <row r="10" spans="1:12" x14ac:dyDescent="0.2">
      <c r="A10" s="1" t="s">
        <v>41</v>
      </c>
      <c r="B10" s="5">
        <v>1</v>
      </c>
      <c r="C10" s="5">
        <f>B10+1</f>
        <v>2</v>
      </c>
      <c r="D10" s="5">
        <f t="shared" ref="D10:K10" si="0">C10+1</f>
        <v>3</v>
      </c>
      <c r="E10" s="5">
        <f t="shared" si="0"/>
        <v>4</v>
      </c>
      <c r="F10" s="5">
        <f t="shared" si="0"/>
        <v>5</v>
      </c>
      <c r="G10" s="5">
        <f t="shared" si="0"/>
        <v>6</v>
      </c>
      <c r="H10" s="5">
        <f t="shared" si="0"/>
        <v>7</v>
      </c>
      <c r="I10" s="5">
        <f t="shared" si="0"/>
        <v>8</v>
      </c>
      <c r="J10" s="5">
        <f t="shared" si="0"/>
        <v>9</v>
      </c>
      <c r="K10" s="5">
        <f t="shared" si="0"/>
        <v>10</v>
      </c>
    </row>
    <row r="11" spans="1:12" x14ac:dyDescent="0.2">
      <c r="A11" s="1" t="s">
        <v>2</v>
      </c>
      <c r="B11" s="20">
        <v>0.05</v>
      </c>
      <c r="C11" s="20">
        <f>B11+0.0025</f>
        <v>5.2500000000000005E-2</v>
      </c>
      <c r="D11" s="20">
        <f t="shared" ref="D11:K11" si="1">C11+0.0025</f>
        <v>5.5000000000000007E-2</v>
      </c>
      <c r="E11" s="20">
        <f t="shared" si="1"/>
        <v>5.7500000000000009E-2</v>
      </c>
      <c r="F11" s="20">
        <f t="shared" si="1"/>
        <v>6.0000000000000012E-2</v>
      </c>
      <c r="G11" s="20">
        <f t="shared" si="1"/>
        <v>6.2500000000000014E-2</v>
      </c>
      <c r="H11" s="20">
        <f t="shared" si="1"/>
        <v>6.5000000000000016E-2</v>
      </c>
      <c r="I11" s="20">
        <f t="shared" si="1"/>
        <v>6.7500000000000018E-2</v>
      </c>
      <c r="J11" s="20">
        <f>I11+0.0025</f>
        <v>7.0000000000000021E-2</v>
      </c>
      <c r="K11" s="20">
        <f t="shared" si="1"/>
        <v>7.2500000000000023E-2</v>
      </c>
    </row>
    <row r="12" spans="1:12" x14ac:dyDescent="0.2">
      <c r="B12" s="5"/>
      <c r="C12" s="5"/>
      <c r="D12" s="5"/>
      <c r="E12" s="5"/>
      <c r="F12" s="5"/>
      <c r="G12" s="5"/>
      <c r="H12" s="5"/>
    </row>
    <row r="13" spans="1:12" x14ac:dyDescent="0.2">
      <c r="A13" s="1" t="s">
        <v>3</v>
      </c>
      <c r="B13" s="8">
        <v>0</v>
      </c>
      <c r="C13" s="8">
        <v>0.04</v>
      </c>
      <c r="D13" s="8">
        <f>C13</f>
        <v>0.04</v>
      </c>
      <c r="E13" s="8">
        <f>D13</f>
        <v>0.04</v>
      </c>
      <c r="F13" s="8">
        <f>E13</f>
        <v>0.04</v>
      </c>
      <c r="G13" s="8">
        <f>F13</f>
        <v>0.04</v>
      </c>
      <c r="H13" s="21">
        <v>0.05</v>
      </c>
      <c r="I13" s="21">
        <v>0.05</v>
      </c>
      <c r="J13" s="21">
        <v>0.05</v>
      </c>
      <c r="K13" s="21">
        <v>0.05</v>
      </c>
    </row>
    <row r="14" spans="1:12" x14ac:dyDescent="0.2">
      <c r="A14" s="1" t="s">
        <v>4</v>
      </c>
      <c r="B14" s="11">
        <f>B5/(1+B11)</f>
        <v>95.238095238095241</v>
      </c>
      <c r="C14" s="11">
        <f t="shared" ref="C14:K14" si="2">$B$5*C13/2*((1-(1+C$11/2)^(-C10*2))/(C11/2))+($B$5)*(1+C11/2)^(-C10*2)</f>
        <v>97.655828903769276</v>
      </c>
      <c r="D14" s="11">
        <f t="shared" si="2"/>
        <v>95.903224916653926</v>
      </c>
      <c r="E14" s="11">
        <f t="shared" si="2"/>
        <v>93.825252120130813</v>
      </c>
      <c r="F14" s="11">
        <f t="shared" si="2"/>
        <v>91.469797163224172</v>
      </c>
      <c r="G14" s="11">
        <f t="shared" si="2"/>
        <v>88.884846264541949</v>
      </c>
      <c r="H14" s="11">
        <f t="shared" si="2"/>
        <v>91.670531181665666</v>
      </c>
      <c r="I14" s="11">
        <f t="shared" si="2"/>
        <v>89.317616887992358</v>
      </c>
      <c r="J14" s="11">
        <f t="shared" si="2"/>
        <v>86.810318272866169</v>
      </c>
      <c r="K14" s="11">
        <f t="shared" si="2"/>
        <v>84.190388901176789</v>
      </c>
      <c r="L14" s="9" t="s">
        <v>1</v>
      </c>
    </row>
    <row r="15" spans="1:12" x14ac:dyDescent="0.2">
      <c r="B15" s="5"/>
      <c r="C15" s="5"/>
      <c r="D15" s="5"/>
      <c r="E15" s="5"/>
      <c r="F15" s="5"/>
      <c r="G15" s="5"/>
      <c r="H15" s="5"/>
    </row>
    <row r="16" spans="1:12" x14ac:dyDescent="0.2">
      <c r="A16" s="1" t="s">
        <v>7</v>
      </c>
      <c r="B16" s="6">
        <f>B13</f>
        <v>0</v>
      </c>
      <c r="C16" s="6">
        <f t="shared" ref="C16:K16" si="3">C13</f>
        <v>0.04</v>
      </c>
      <c r="D16" s="6">
        <f t="shared" si="3"/>
        <v>0.04</v>
      </c>
      <c r="E16" s="6">
        <f t="shared" si="3"/>
        <v>0.04</v>
      </c>
      <c r="F16" s="6">
        <f t="shared" si="3"/>
        <v>0.04</v>
      </c>
      <c r="G16" s="6">
        <f t="shared" si="3"/>
        <v>0.04</v>
      </c>
      <c r="H16" s="6">
        <f t="shared" si="3"/>
        <v>0.05</v>
      </c>
      <c r="I16" s="6">
        <f t="shared" si="3"/>
        <v>0.05</v>
      </c>
      <c r="J16" s="6">
        <f t="shared" si="3"/>
        <v>0.05</v>
      </c>
      <c r="K16" s="6">
        <f t="shared" si="3"/>
        <v>0.05</v>
      </c>
    </row>
    <row r="17" spans="1:31" x14ac:dyDescent="0.2">
      <c r="A17" s="1" t="s">
        <v>4</v>
      </c>
      <c r="B17" s="11">
        <f>B5/(1+B11)</f>
        <v>95.238095238095241</v>
      </c>
      <c r="C17" s="11">
        <f t="shared" ref="C17:K17" si="4">$B$5*C13*((1-(1+C$11)^(-C10))/(C11))+($B$5)*(1+C11)^(-C10)</f>
        <v>97.683944459803314</v>
      </c>
      <c r="D17" s="11">
        <f t="shared" si="4"/>
        <v>95.953099932286079</v>
      </c>
      <c r="E17" s="11">
        <f t="shared" si="4"/>
        <v>93.901189547143119</v>
      </c>
      <c r="F17" s="15">
        <f t="shared" si="4"/>
        <v>91.575272428868558</v>
      </c>
      <c r="G17" s="11">
        <f t="shared" si="4"/>
        <v>89.02239459160117</v>
      </c>
      <c r="H17" s="11">
        <f t="shared" si="4"/>
        <v>91.773220342340608</v>
      </c>
      <c r="I17" s="11">
        <f t="shared" si="4"/>
        <v>89.448227340503905</v>
      </c>
      <c r="J17" s="11">
        <f t="shared" si="4"/>
        <v>86.969535502404227</v>
      </c>
      <c r="K17" s="11">
        <f t="shared" si="4"/>
        <v>84.377960934179413</v>
      </c>
    </row>
    <row r="18" spans="1:31" x14ac:dyDescent="0.2">
      <c r="B18" s="5"/>
      <c r="C18" s="5"/>
      <c r="D18" s="5"/>
      <c r="E18" s="5"/>
      <c r="F18" s="5"/>
      <c r="G18" s="5"/>
      <c r="H18" s="5"/>
    </row>
    <row r="19" spans="1:31" x14ac:dyDescent="0.2">
      <c r="A19" s="13" t="s">
        <v>43</v>
      </c>
      <c r="B19" s="5"/>
      <c r="C19" s="5"/>
      <c r="D19" s="5"/>
      <c r="E19" s="23"/>
      <c r="F19" s="23"/>
      <c r="G19" s="23"/>
      <c r="H19" s="23"/>
    </row>
    <row r="20" spans="1:31" x14ac:dyDescent="0.2">
      <c r="A20" s="1" t="s">
        <v>42</v>
      </c>
      <c r="B20" s="19">
        <f>B11</f>
        <v>0.05</v>
      </c>
      <c r="C20" s="14">
        <f>(($B$5+$B$5*C$16)/(C17-$B$5*C$16/(1+$B$20)))^(1/C10)-1</f>
        <v>5.2550725106818019E-2</v>
      </c>
      <c r="D20" s="14">
        <f>(($B$5+D16*$B$5)/(D17-D16*$B$5/(1+$B$20)-D16*$B$5/(1+$C$20)^2))^(1/D10)-1</f>
        <v>5.5138211183670682E-2</v>
      </c>
      <c r="E20" s="14">
        <f>(($B$5+E16*$B$5)/(E17-E16*$B$5/(1+$B$20)-E16*$B$5/(1+$C$20)^2-E16*$B$5/(1+$D$20)^3))^(1/E10)-1</f>
        <v>5.7765619576129357E-2</v>
      </c>
      <c r="F20" s="14">
        <f>(($B$5+F16*$B$5)/(F17-F16*$B$5/(1+$B$20)-F16*$B$5/(1+$C$20)^2-F16*$B$5/(1+$D$20)^3-F16*$B$5/(1+$E$20)^4))^(1/F10)-1</f>
        <v>6.043701500556975E-2</v>
      </c>
      <c r="G20" s="14">
        <f>(($B$5+G16*$B$5)/(G17-G16*$B$5/(1+$B$20)-G16*$B$5/(1+$C$20)^2-G16*$B$5/(1+$D$20)^3-G16*$B$5/(1+$E$20)^4-G16*$B$5/(1+$F$20)^5))^(1/G10)-1</f>
        <v>6.3157525524615732E-2</v>
      </c>
      <c r="H20" s="14">
        <f>(($B$5+H16*$B$5)/(H17-H16*$B$5/(1+$B$20)-H16*$B$5/(1+$C$20)^2-H16*$B$5/(1+$D$20)^3-H16*$B$5/(1+$E$20)^4-H16*$B$5/(1+$F$20)^5-H16*$B$5/(1+$G$20)^6))^(1/H10)-1</f>
        <v>6.6156793109553691E-2</v>
      </c>
      <c r="I20" s="14">
        <f>(($B$5+I16*$B$5)/(I17-I16*$B$5/(1+$B$20)-I16*$B$5/(1+$C$20)^2-I16*$B$5/(1+$D$20)^3-I16*$B$5/(1+$E$20)^4-I16*$B$5/(1+$F$20)^5-I16*$B$5/(1+$G$20)^6-I16*$B$5/(1+$H$20)^7))^(1/I10)-1</f>
        <v>6.9067992953416146E-2</v>
      </c>
      <c r="J20" s="14">
        <f>(($B$5+J16*$B$5)/(J17-J16*$B$5/(1+$B$20)-J16*$B$5/(1+$C$20)^2-J16*$B$5/(1+$D$20)^3-J16*$B$5/(1+$E$20)^4-J16*$B$5/(1+$F$20)^5-J16*$B$5/(1+$G$20)^6-J16*$B$5/(1+$H$20)^7-J16*$B$5/(1+$I$20)^8))^(1/J10)-1</f>
        <v>7.2067481967559965E-2</v>
      </c>
      <c r="K20" s="14">
        <f>(($B$5+K16*$B$5)/(K17-K16*$B$5/(1+$B$20)-K16*$B$5/(1+$C$20)^2-K16*$B$5/(1+$D$20)^3-K16*$B$5/(1+$E$20)^4-K16*$B$5/(1+$F$20)^5-K16*$B$5/(1+$G$20)^6-K16*$B$5/(1+$H$20)^7-K16*$B$5/(1+$I$20)^8-K16*$B$5/(1+$J$20)^9))^(1/K10)-1</f>
        <v>7.5169781493594989E-2</v>
      </c>
      <c r="L20" s="1" t="s">
        <v>44</v>
      </c>
    </row>
    <row r="21" spans="1:31" x14ac:dyDescent="0.2">
      <c r="B21" s="5"/>
      <c r="C21" s="5"/>
      <c r="D21" s="5"/>
      <c r="E21" s="5"/>
      <c r="F21" s="5"/>
      <c r="G21" s="5"/>
      <c r="H21" s="5"/>
    </row>
    <row r="22" spans="1:31" x14ac:dyDescent="0.2">
      <c r="A22" s="1" t="s">
        <v>6</v>
      </c>
      <c r="B22" s="16">
        <f>B11</f>
        <v>0.05</v>
      </c>
      <c r="C22" s="22">
        <f>((1+C20)^C10/(1+B20)^B10)-1</f>
        <v>5.5107646593226978E-2</v>
      </c>
      <c r="D22" s="22">
        <f t="shared" ref="D22:K22" si="5">((1+D20)^D10/(1+C20)^C10)-1</f>
        <v>6.0332281429889445E-2</v>
      </c>
      <c r="E22" s="22">
        <f t="shared" si="5"/>
        <v>6.5687165148821336E-2</v>
      </c>
      <c r="F22" s="22">
        <f t="shared" si="5"/>
        <v>7.1190233627909327E-2</v>
      </c>
      <c r="G22" s="22">
        <f t="shared" si="5"/>
        <v>7.6865127397505839E-2</v>
      </c>
      <c r="H22" s="22">
        <f t="shared" si="5"/>
        <v>8.4330921973641892E-2</v>
      </c>
      <c r="I22" s="22">
        <f t="shared" si="5"/>
        <v>8.9670188900179193E-2</v>
      </c>
      <c r="J22" s="22">
        <f t="shared" si="5"/>
        <v>9.6368350339486764E-2</v>
      </c>
      <c r="K22" s="22">
        <f t="shared" si="5"/>
        <v>0.10349758855804381</v>
      </c>
    </row>
    <row r="23" spans="1:31" x14ac:dyDescent="0.2">
      <c r="B23" s="5"/>
      <c r="C23" s="5"/>
      <c r="D23" s="5"/>
      <c r="E23" s="5"/>
      <c r="F23" s="5"/>
      <c r="G23" s="5"/>
      <c r="H23" s="5"/>
      <c r="I23" s="5"/>
      <c r="J23" s="5"/>
    </row>
    <row r="24" spans="1:31" x14ac:dyDescent="0.2">
      <c r="A24" s="1" t="s">
        <v>5</v>
      </c>
      <c r="B24" s="5"/>
      <c r="C24" s="11">
        <f>((1+$B22)*(1+$C22))^(1/C10)-1-C20</f>
        <v>0</v>
      </c>
      <c r="D24" s="11">
        <f>((1+$B22)*(1+$C22)*(1+$D22))^(1/D10)-1-D20</f>
        <v>0</v>
      </c>
      <c r="E24" s="11">
        <f>((1+$B22)*(1+$C22)*(1+$D22)*(1+$E22))^(1/E10)-1-E20</f>
        <v>0</v>
      </c>
      <c r="F24" s="11">
        <f>((1+$B22)*(1+$C22)*(1+$D22)*(1+$E22)*(1+$F22))^(1/F10)-1-F20</f>
        <v>0</v>
      </c>
      <c r="G24" s="11">
        <f>((1+$B22)*(1+$C22)*(1+$D22)*(1+$E22)*(1+$F22)*(1+$G22))^(1/G10)-1-G20</f>
        <v>0</v>
      </c>
      <c r="H24" s="11">
        <f>((1+$B22)*(1+$C22)*(1+$D22)*(1+$E22)*(1+$F22)*(1+$G22)*(1+$H22))^(1/H10)-1-H20</f>
        <v>0</v>
      </c>
      <c r="I24" s="11">
        <f>((1+$B22)*(1+$C22)*(1+$D22)*(1+$E22)*(1+$F22)*(1+$G22)*(1+$H22)*(1+$I22))^(1/I10)-1-I20</f>
        <v>0</v>
      </c>
      <c r="J24" s="11">
        <f>((1+$B22)*(1+$C22)*(1+$D22)*(1+$E22)*(1+$F22)*(1+$G22)*(1+$H22)*(1+$I22)*(1+$J22))^(1/J10)-1-J20</f>
        <v>0</v>
      </c>
      <c r="K24" s="11">
        <f>((1+$B22)*(1+$C22)*(1+$D22)*(1+$E22)*(1+$F22)*(1+$G22)*(1+$H22)*(1+$I22)*(1+$J22)*(1+$K22))^(1/K10)-1-K20</f>
        <v>0</v>
      </c>
    </row>
    <row r="25" spans="1:31" hidden="1" x14ac:dyDescent="0.2">
      <c r="B25" s="5"/>
      <c r="C25" s="5"/>
      <c r="D25" s="5"/>
      <c r="E25" s="5"/>
      <c r="F25" s="5"/>
      <c r="G25" s="5"/>
      <c r="H25" s="5"/>
    </row>
    <row r="26" spans="1:31" hidden="1" x14ac:dyDescent="0.2"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</row>
    <row r="27" spans="1:31" hidden="1" x14ac:dyDescent="0.2">
      <c r="B27" s="5">
        <v>1</v>
      </c>
      <c r="C27" s="5">
        <v>2</v>
      </c>
      <c r="D27" s="5">
        <v>3</v>
      </c>
      <c r="E27" s="5">
        <v>4</v>
      </c>
      <c r="F27" s="5">
        <v>5</v>
      </c>
      <c r="G27" s="5">
        <f>F27+1</f>
        <v>6</v>
      </c>
      <c r="H27" s="5">
        <f>G27+1</f>
        <v>7</v>
      </c>
      <c r="I27" s="5">
        <f>H27+1</f>
        <v>8</v>
      </c>
      <c r="J27" s="5">
        <f>I27+1</f>
        <v>9</v>
      </c>
      <c r="K27" s="5">
        <f>J27+1</f>
        <v>10</v>
      </c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</row>
    <row r="28" spans="1:31" hidden="1" x14ac:dyDescent="0.2">
      <c r="A28" s="10">
        <f>E16*$B$5</f>
        <v>4</v>
      </c>
      <c r="B28" s="11">
        <f t="shared" ref="B28:G28" si="6">$A$28*(1+B$20)^-B$27</f>
        <v>3.8095238095238093</v>
      </c>
      <c r="C28" s="11">
        <f t="shared" si="6"/>
        <v>3.6105546403953661</v>
      </c>
      <c r="D28" s="11">
        <f t="shared" si="6"/>
        <v>3.4051162108602657</v>
      </c>
      <c r="E28" s="11">
        <f t="shared" si="6"/>
        <v>3.1952305725524499</v>
      </c>
      <c r="F28" s="11">
        <f t="shared" si="6"/>
        <v>2.9828787382898709</v>
      </c>
      <c r="G28" s="11">
        <f t="shared" si="6"/>
        <v>2.7699650238453617</v>
      </c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</row>
    <row r="29" spans="1:31" hidden="1" x14ac:dyDescent="0.2">
      <c r="A29" s="10">
        <f>H16*B5</f>
        <v>5</v>
      </c>
      <c r="B29" s="11">
        <f>$A$29*(1+B$20)^-B$27</f>
        <v>4.7619047619047619</v>
      </c>
      <c r="C29" s="11">
        <f t="shared" ref="C29:K29" si="7">$A$29*(1+C$20)^-C$27</f>
        <v>4.5131933004942075</v>
      </c>
      <c r="D29" s="11">
        <f t="shared" si="7"/>
        <v>4.2563952635753317</v>
      </c>
      <c r="E29" s="11">
        <f t="shared" si="7"/>
        <v>3.9940382156905625</v>
      </c>
      <c r="F29" s="11">
        <f t="shared" si="7"/>
        <v>3.7285984228623388</v>
      </c>
      <c r="G29" s="11">
        <f t="shared" si="7"/>
        <v>3.4624562798067022</v>
      </c>
      <c r="H29" s="11">
        <f t="shared" si="7"/>
        <v>3.1931730522860322</v>
      </c>
      <c r="I29" s="11">
        <f t="shared" si="7"/>
        <v>2.9304032401849507</v>
      </c>
      <c r="J29" s="11">
        <f t="shared" si="7"/>
        <v>2.6728272840761602</v>
      </c>
      <c r="K29" s="11">
        <f t="shared" si="7"/>
        <v>2.4221414815856392</v>
      </c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</row>
    <row r="30" spans="1:31" hidden="1" x14ac:dyDescent="0.2">
      <c r="A30" s="10">
        <f>K16*B5</f>
        <v>5</v>
      </c>
      <c r="B30" s="11">
        <f>$A$30*(1+B$20)^-B$27</f>
        <v>4.7619047619047619</v>
      </c>
      <c r="C30" s="11">
        <f t="shared" ref="C30:K30" si="8">$A$30*(1+C$20)^-C$27</f>
        <v>4.5131933004942075</v>
      </c>
      <c r="D30" s="11">
        <f t="shared" si="8"/>
        <v>4.2563952635753317</v>
      </c>
      <c r="E30" s="11">
        <f t="shared" si="8"/>
        <v>3.9940382156905625</v>
      </c>
      <c r="F30" s="11">
        <f t="shared" si="8"/>
        <v>3.7285984228623388</v>
      </c>
      <c r="G30" s="11">
        <f t="shared" si="8"/>
        <v>3.4624562798067022</v>
      </c>
      <c r="H30" s="11">
        <f t="shared" si="8"/>
        <v>3.1931730522860322</v>
      </c>
      <c r="I30" s="11">
        <f t="shared" si="8"/>
        <v>2.9304032401849507</v>
      </c>
      <c r="J30" s="11">
        <f t="shared" si="8"/>
        <v>2.6728272840761602</v>
      </c>
      <c r="K30" s="11">
        <f t="shared" si="8"/>
        <v>2.4221414815856392</v>
      </c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</row>
    <row r="31" spans="1:31" hidden="1" x14ac:dyDescent="0.2">
      <c r="A31" s="10">
        <f>B5</f>
        <v>100</v>
      </c>
      <c r="B31" s="10">
        <f>$A31*(1+B$20)^-B$27</f>
        <v>95.238095238095227</v>
      </c>
      <c r="C31" s="10">
        <f>$A31*(1+C$20)^-C$27</f>
        <v>90.263866009884154</v>
      </c>
      <c r="D31" s="10">
        <f t="shared" ref="D31:K31" si="9">$A31*(1+D$20)^-D$27</f>
        <v>85.127905271506648</v>
      </c>
      <c r="E31" s="10">
        <f t="shared" si="9"/>
        <v>79.880764313811241</v>
      </c>
      <c r="F31" s="10">
        <f t="shared" si="9"/>
        <v>74.571968457246768</v>
      </c>
      <c r="G31" s="10">
        <f t="shared" si="9"/>
        <v>69.249125596134036</v>
      </c>
      <c r="H31" s="10">
        <f t="shared" si="9"/>
        <v>63.863461045720648</v>
      </c>
      <c r="I31" s="10">
        <f t="shared" si="9"/>
        <v>58.608064803699008</v>
      </c>
      <c r="J31" s="10">
        <f t="shared" si="9"/>
        <v>53.456545681523203</v>
      </c>
      <c r="K31" s="10">
        <f t="shared" si="9"/>
        <v>48.442829631712783</v>
      </c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 hidden="1" x14ac:dyDescent="0.2">
      <c r="A32" s="10"/>
      <c r="B32" s="10">
        <f>B31</f>
        <v>95.238095238095227</v>
      </c>
      <c r="C32" s="10">
        <f>C31+C28+B28</f>
        <v>97.683944459803328</v>
      </c>
      <c r="D32" s="10">
        <f>D28+C28+B28+D31</f>
        <v>95.953099932286094</v>
      </c>
      <c r="E32" s="10">
        <f>B28+C28+D28+E28+E31</f>
        <v>93.901189547143133</v>
      </c>
      <c r="F32" s="10">
        <f>SUM(B28:F28)+F31</f>
        <v>91.57527242886853</v>
      </c>
      <c r="G32" s="10">
        <f>SUM(B28:G28)+G31</f>
        <v>89.022394591601156</v>
      </c>
      <c r="H32" s="10">
        <f>SUM(B29:H29)+H31</f>
        <v>91.773220342340579</v>
      </c>
      <c r="I32" s="10">
        <f>SUM(B29:I29)+I31</f>
        <v>89.448227340503891</v>
      </c>
      <c r="J32" s="10">
        <f>SUM(B29:J29)+J31</f>
        <v>86.969535502404256</v>
      </c>
      <c r="K32" s="10">
        <f>SUM(B30:K30)+K31</f>
        <v>84.37796093417947</v>
      </c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 x14ac:dyDescent="0.2">
      <c r="A33" s="10"/>
      <c r="B33" s="10"/>
      <c r="C33" s="11">
        <f>C32-C17</f>
        <v>0</v>
      </c>
      <c r="D33" s="11">
        <f>D32-D17</f>
        <v>0</v>
      </c>
      <c r="E33" s="11">
        <f t="shared" ref="E33:K33" si="10">E32-E17</f>
        <v>0</v>
      </c>
      <c r="F33" s="11">
        <f t="shared" si="10"/>
        <v>0</v>
      </c>
      <c r="G33" s="11">
        <f t="shared" si="10"/>
        <v>0</v>
      </c>
      <c r="H33" s="11">
        <f t="shared" si="10"/>
        <v>0</v>
      </c>
      <c r="I33" s="11">
        <f t="shared" si="10"/>
        <v>0</v>
      </c>
      <c r="J33" s="11">
        <f t="shared" si="10"/>
        <v>0</v>
      </c>
      <c r="K33" s="11">
        <f t="shared" si="10"/>
        <v>0</v>
      </c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1:31" x14ac:dyDescent="0.2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 x14ac:dyDescent="0.2">
      <c r="C35" s="17"/>
    </row>
    <row r="36" spans="1:31" x14ac:dyDescent="0.2">
      <c r="A36" s="13" t="s">
        <v>45</v>
      </c>
      <c r="C36" s="17"/>
    </row>
    <row r="38" spans="1:31" x14ac:dyDescent="0.2">
      <c r="A38" s="1" t="s">
        <v>46</v>
      </c>
      <c r="C38" s="34">
        <f>F16*B5*(1-(1+F11)^-F10)/(F11)+B5*(1+F11)^-F10</f>
        <v>91.575272428868558</v>
      </c>
      <c r="D38" s="9" t="s">
        <v>1</v>
      </c>
    </row>
    <row r="39" spans="1:31" x14ac:dyDescent="0.2">
      <c r="C39" s="17"/>
    </row>
    <row r="40" spans="1:31" x14ac:dyDescent="0.2">
      <c r="A40" s="1" t="s">
        <v>9</v>
      </c>
      <c r="C40" s="34">
        <f>$B$5*$F$13/(1+B20)+$B$5*$F$13/(1+C20)^C10+$B$5*$F$13/(1+D20)^D10+$B$5*$F$13/(1+E20)^E10+(B5+$B$5*$F$13)/(1+F20)^F10</f>
        <v>91.57527242886853</v>
      </c>
      <c r="D40" s="9" t="s">
        <v>1</v>
      </c>
      <c r="G40" s="1" t="s">
        <v>10</v>
      </c>
    </row>
    <row r="41" spans="1:31" x14ac:dyDescent="0.2">
      <c r="C41" s="41" t="s">
        <v>60</v>
      </c>
    </row>
    <row r="43" spans="1:31" x14ac:dyDescent="0.2">
      <c r="A43" s="13" t="s">
        <v>12</v>
      </c>
    </row>
    <row r="44" spans="1:31" x14ac:dyDescent="0.2">
      <c r="A44" s="1" t="s">
        <v>47</v>
      </c>
    </row>
    <row r="45" spans="1:31" x14ac:dyDescent="0.2">
      <c r="A45" s="1" t="s">
        <v>0</v>
      </c>
      <c r="B45" s="1">
        <f>B5</f>
        <v>100</v>
      </c>
    </row>
    <row r="46" spans="1:31" x14ac:dyDescent="0.2">
      <c r="A46" s="1" t="s">
        <v>4</v>
      </c>
      <c r="B46" s="35">
        <f>F17</f>
        <v>91.575272428868558</v>
      </c>
    </row>
    <row r="47" spans="1:31" x14ac:dyDescent="0.2">
      <c r="A47" s="1" t="s">
        <v>15</v>
      </c>
      <c r="B47" s="24">
        <f>F13</f>
        <v>0.04</v>
      </c>
    </row>
    <row r="48" spans="1:31" x14ac:dyDescent="0.2">
      <c r="A48" s="1" t="s">
        <v>16</v>
      </c>
      <c r="B48" s="1">
        <f>F10</f>
        <v>5</v>
      </c>
      <c r="C48" s="1" t="s">
        <v>14</v>
      </c>
    </row>
    <row r="50" spans="1:5" x14ac:dyDescent="0.2">
      <c r="A50" s="1" t="s">
        <v>48</v>
      </c>
      <c r="B50" s="37">
        <f>RATE(B48,B47*B45,-B46,B45)</f>
        <v>6.0000000000001649E-2</v>
      </c>
      <c r="C50" s="1" t="s">
        <v>49</v>
      </c>
      <c r="E50" s="18">
        <f>F11</f>
        <v>6.0000000000000012E-2</v>
      </c>
    </row>
    <row r="54" spans="1:5" x14ac:dyDescent="0.2">
      <c r="A54" s="13" t="s">
        <v>18</v>
      </c>
    </row>
    <row r="55" spans="1:5" x14ac:dyDescent="0.2">
      <c r="A55" s="1" t="s">
        <v>17</v>
      </c>
    </row>
    <row r="56" spans="1:5" x14ac:dyDescent="0.2">
      <c r="A56" s="1" t="s">
        <v>0</v>
      </c>
      <c r="B56" s="1">
        <v>100</v>
      </c>
    </row>
    <row r="57" spans="1:5" x14ac:dyDescent="0.2">
      <c r="A57" s="1" t="s">
        <v>15</v>
      </c>
      <c r="B57" s="24">
        <f>D16</f>
        <v>0.04</v>
      </c>
    </row>
    <row r="58" spans="1:5" x14ac:dyDescent="0.2">
      <c r="A58" s="1" t="s">
        <v>16</v>
      </c>
      <c r="B58" s="1">
        <v>3</v>
      </c>
      <c r="C58" s="1" t="s">
        <v>14</v>
      </c>
    </row>
    <row r="59" spans="1:5" x14ac:dyDescent="0.2">
      <c r="A59" s="1" t="s">
        <v>57</v>
      </c>
      <c r="B59" s="40">
        <f>D11</f>
        <v>5.5000000000000007E-2</v>
      </c>
    </row>
    <row r="62" spans="1:5" x14ac:dyDescent="0.2">
      <c r="A62" s="1" t="s">
        <v>54</v>
      </c>
      <c r="B62" s="36">
        <f>B59</f>
        <v>5.5000000000000007E-2</v>
      </c>
    </row>
    <row r="63" spans="1:5" x14ac:dyDescent="0.2">
      <c r="A63" s="1" t="s">
        <v>55</v>
      </c>
      <c r="B63" s="36">
        <v>0.04</v>
      </c>
      <c r="C63" s="1" t="s">
        <v>59</v>
      </c>
    </row>
    <row r="64" spans="1:5" x14ac:dyDescent="0.2">
      <c r="A64" s="1" t="s">
        <v>56</v>
      </c>
      <c r="B64" s="36">
        <v>0.04</v>
      </c>
      <c r="C64" s="1" t="s">
        <v>59</v>
      </c>
    </row>
    <row r="66" spans="1:12" ht="15" hidden="1" customHeight="1" x14ac:dyDescent="0.2">
      <c r="G66" s="1">
        <f>F66</f>
        <v>0</v>
      </c>
      <c r="H66" s="1">
        <f>G66</f>
        <v>0</v>
      </c>
      <c r="I66" s="1">
        <f>H66</f>
        <v>0</v>
      </c>
      <c r="J66" s="1">
        <f>I66</f>
        <v>0</v>
      </c>
      <c r="K66" s="1">
        <f>J66+B56</f>
        <v>100</v>
      </c>
    </row>
    <row r="67" spans="1:12" ht="15" hidden="1" customHeight="1" x14ac:dyDescent="0.2">
      <c r="G67" s="24">
        <f>F67</f>
        <v>0</v>
      </c>
      <c r="H67" s="24">
        <f>B63</f>
        <v>0.04</v>
      </c>
      <c r="I67" s="24">
        <f>B63</f>
        <v>0.04</v>
      </c>
      <c r="J67" s="24">
        <f>B64</f>
        <v>0.04</v>
      </c>
      <c r="K67" s="24">
        <f>B64</f>
        <v>0.04</v>
      </c>
    </row>
    <row r="68" spans="1:12" ht="15" hidden="1" customHeight="1" x14ac:dyDescent="0.2">
      <c r="G68" s="1">
        <f>1/((1+F67)*(1+G67))</f>
        <v>1</v>
      </c>
      <c r="H68" s="1">
        <f>1/((1+F67)*(1+G67)*(1+H67))</f>
        <v>0.96153846153846145</v>
      </c>
      <c r="I68" s="1">
        <f>1/((1+F67)*(1+G67)*(1+H67)*(1+I67))</f>
        <v>0.92455621301775137</v>
      </c>
      <c r="J68" s="1">
        <f>1/((1+F67)*(1+G67)*(1+H67)*(1+I67)*(1+J67))</f>
        <v>0.88899635867091487</v>
      </c>
      <c r="K68" s="1">
        <f>1/((1+G67)*(1+H67)*(1+I67)*(1+J67)*(1+K67)*(1+F67))</f>
        <v>0.85480419102972571</v>
      </c>
    </row>
    <row r="69" spans="1:12" ht="15" hidden="1" customHeight="1" x14ac:dyDescent="0.2">
      <c r="G69" s="1">
        <f>G66*G68</f>
        <v>0</v>
      </c>
      <c r="H69" s="1">
        <f>H66*H68</f>
        <v>0</v>
      </c>
      <c r="I69" s="1">
        <f>I66*I68</f>
        <v>0</v>
      </c>
      <c r="J69" s="1">
        <f>J66*J68</f>
        <v>0</v>
      </c>
      <c r="K69" s="1">
        <f>K66*K68</f>
        <v>85.480419102972576</v>
      </c>
      <c r="L69" s="1">
        <f>SUM(F69:K69)</f>
        <v>85.480419102972576</v>
      </c>
    </row>
    <row r="70" spans="1:12" x14ac:dyDescent="0.2">
      <c r="A70" s="1" t="s">
        <v>4</v>
      </c>
      <c r="B70" s="26">
        <f>D17</f>
        <v>95.953099932286079</v>
      </c>
    </row>
    <row r="72" spans="1:12" x14ac:dyDescent="0.2">
      <c r="A72" s="13" t="s">
        <v>19</v>
      </c>
    </row>
    <row r="73" spans="1:12" x14ac:dyDescent="0.2">
      <c r="A73" s="1" t="s">
        <v>20</v>
      </c>
      <c r="B73" s="10">
        <f>B57*B56*(1+B63)*(1+B64)+B57*B56*(1+B64)+B56+B57*B56</f>
        <v>112.4864</v>
      </c>
    </row>
    <row r="74" spans="1:12" x14ac:dyDescent="0.2">
      <c r="A74" s="1" t="s">
        <v>21</v>
      </c>
      <c r="B74" s="10">
        <f>B70</f>
        <v>95.953099932286079</v>
      </c>
    </row>
    <row r="75" spans="1:12" x14ac:dyDescent="0.2">
      <c r="A75" s="1" t="s">
        <v>22</v>
      </c>
      <c r="B75" s="25">
        <f>B73/B74-1</f>
        <v>0.17230605451393899</v>
      </c>
      <c r="D75" s="9" t="s">
        <v>1</v>
      </c>
    </row>
    <row r="76" spans="1:12" x14ac:dyDescent="0.2">
      <c r="D76" s="9"/>
    </row>
    <row r="77" spans="1:12" x14ac:dyDescent="0.2">
      <c r="A77" s="1" t="s">
        <v>23</v>
      </c>
      <c r="B77" s="39">
        <f>(1+B75)^(1/B58)-1</f>
        <v>5.442008349902383E-2</v>
      </c>
      <c r="D77" s="9" t="s">
        <v>1</v>
      </c>
    </row>
    <row r="78" spans="1:12" x14ac:dyDescent="0.2">
      <c r="B78" s="1" t="s">
        <v>58</v>
      </c>
      <c r="D78" s="9"/>
    </row>
    <row r="79" spans="1:12" hidden="1" x14ac:dyDescent="0.2">
      <c r="E79" s="1">
        <f>E58</f>
        <v>0</v>
      </c>
      <c r="F79" s="1">
        <f>E79</f>
        <v>0</v>
      </c>
      <c r="G79" s="1">
        <f>F79</f>
        <v>0</v>
      </c>
      <c r="H79" s="1">
        <f>G79</f>
        <v>0</v>
      </c>
      <c r="I79" s="1">
        <f>H79</f>
        <v>0</v>
      </c>
      <c r="J79" s="1">
        <f>I79+B56</f>
        <v>100</v>
      </c>
    </row>
    <row r="80" spans="1:12" hidden="1" x14ac:dyDescent="0.2">
      <c r="E80" s="1">
        <f>E79*(1+$B$62)*(1+$B$63)^2*(1+$B$64)^2</f>
        <v>0</v>
      </c>
      <c r="F80" s="1">
        <f>F79*(1+$B$63)^2*(1+$B$64)^2</f>
        <v>0</v>
      </c>
      <c r="G80" s="1">
        <f>G79*(1+$B$63)*(1+$B$64)^2</f>
        <v>0</v>
      </c>
      <c r="H80" s="1">
        <f>H79*(1+$B$64)^2</f>
        <v>0</v>
      </c>
      <c r="I80" s="1">
        <f>I79*(1+$B$64)</f>
        <v>0</v>
      </c>
      <c r="J80" s="1">
        <f>J79</f>
        <v>100</v>
      </c>
      <c r="K80" s="1">
        <f>SUM(E80:J80)</f>
        <v>100</v>
      </c>
    </row>
    <row r="82" spans="1:6" x14ac:dyDescent="0.2">
      <c r="A82" s="13" t="s">
        <v>50</v>
      </c>
    </row>
    <row r="84" spans="1:6" x14ac:dyDescent="0.2">
      <c r="A84" s="30" t="s">
        <v>32</v>
      </c>
    </row>
    <row r="86" spans="1:6" x14ac:dyDescent="0.2">
      <c r="A86" s="1" t="s">
        <v>0</v>
      </c>
      <c r="B86" s="1">
        <v>100</v>
      </c>
      <c r="C86" s="1" t="s">
        <v>29</v>
      </c>
    </row>
    <row r="88" spans="1:6" x14ac:dyDescent="0.2">
      <c r="A88" s="1" t="s">
        <v>28</v>
      </c>
      <c r="B88" s="1">
        <v>2</v>
      </c>
      <c r="C88" s="1">
        <v>5</v>
      </c>
      <c r="D88" s="1">
        <v>7</v>
      </c>
      <c r="E88" s="1">
        <v>10</v>
      </c>
    </row>
    <row r="89" spans="1:6" x14ac:dyDescent="0.2">
      <c r="A89" s="1" t="s">
        <v>24</v>
      </c>
      <c r="B89" s="12">
        <f>C20</f>
        <v>5.2550725106818019E-2</v>
      </c>
      <c r="C89" s="12">
        <f>F20</f>
        <v>6.043701500556975E-2</v>
      </c>
      <c r="D89" s="12">
        <f>H20</f>
        <v>6.6156793109553691E-2</v>
      </c>
      <c r="E89" s="12">
        <f>K20</f>
        <v>7.5169781493594989E-2</v>
      </c>
      <c r="F89" s="1" t="s">
        <v>25</v>
      </c>
    </row>
    <row r="90" spans="1:6" x14ac:dyDescent="0.2">
      <c r="A90" s="1" t="s">
        <v>26</v>
      </c>
      <c r="B90" s="27">
        <f>(1+B89)^-B88</f>
        <v>0.90263866009884153</v>
      </c>
      <c r="C90" s="27">
        <f>(1+C89)^-C88</f>
        <v>0.74571968457246773</v>
      </c>
      <c r="D90" s="27">
        <f>(1+D89)^-D88</f>
        <v>0.63863461045720649</v>
      </c>
      <c r="E90" s="27">
        <f>(1+E89)^-E88</f>
        <v>0.48442829631712786</v>
      </c>
    </row>
    <row r="91" spans="1:6" x14ac:dyDescent="0.2">
      <c r="A91" s="1" t="s">
        <v>27</v>
      </c>
      <c r="B91" s="28">
        <f>$B$86*B90</f>
        <v>90.263866009884154</v>
      </c>
      <c r="C91" s="28">
        <f>$B$86*C90</f>
        <v>74.571968457246768</v>
      </c>
      <c r="D91" s="28">
        <f>$B$86*D90</f>
        <v>63.863461045720648</v>
      </c>
      <c r="E91" s="28">
        <f>$B$86*E90</f>
        <v>48.442829631712783</v>
      </c>
    </row>
    <row r="93" spans="1:6" x14ac:dyDescent="0.2">
      <c r="A93" s="30" t="s">
        <v>52</v>
      </c>
    </row>
    <row r="95" spans="1:6" x14ac:dyDescent="0.2">
      <c r="A95" s="1" t="s">
        <v>51</v>
      </c>
      <c r="B95" s="29">
        <f>H16</f>
        <v>0.05</v>
      </c>
    </row>
    <row r="97" spans="1:12" x14ac:dyDescent="0.2">
      <c r="A97" s="1" t="s">
        <v>30</v>
      </c>
      <c r="B97" s="1">
        <v>1</v>
      </c>
      <c r="C97" s="1">
        <f t="shared" ref="C97:H97" si="11">B97+1</f>
        <v>2</v>
      </c>
      <c r="D97" s="1">
        <f t="shared" si="11"/>
        <v>3</v>
      </c>
      <c r="E97" s="1">
        <f t="shared" si="11"/>
        <v>4</v>
      </c>
      <c r="F97" s="1">
        <f t="shared" si="11"/>
        <v>5</v>
      </c>
      <c r="G97" s="1">
        <f t="shared" si="11"/>
        <v>6</v>
      </c>
      <c r="H97" s="1">
        <f t="shared" si="11"/>
        <v>7</v>
      </c>
    </row>
    <row r="98" spans="1:12" x14ac:dyDescent="0.2">
      <c r="A98" s="1" t="s">
        <v>24</v>
      </c>
      <c r="B98" s="18">
        <f t="shared" ref="B98:H98" si="12">B20</f>
        <v>0.05</v>
      </c>
      <c r="C98" s="18">
        <f t="shared" si="12"/>
        <v>5.2550725106818019E-2</v>
      </c>
      <c r="D98" s="18">
        <f t="shared" si="12"/>
        <v>5.5138211183670682E-2</v>
      </c>
      <c r="E98" s="18">
        <f t="shared" si="12"/>
        <v>5.7765619576129357E-2</v>
      </c>
      <c r="F98" s="18">
        <f t="shared" si="12"/>
        <v>6.043701500556975E-2</v>
      </c>
      <c r="G98" s="18">
        <f t="shared" si="12"/>
        <v>6.3157525524615732E-2</v>
      </c>
      <c r="H98" s="18">
        <f t="shared" si="12"/>
        <v>6.6156793109553691E-2</v>
      </c>
    </row>
    <row r="99" spans="1:12" x14ac:dyDescent="0.2">
      <c r="A99" s="1" t="s">
        <v>26</v>
      </c>
      <c r="B99" s="27">
        <f>(1+B98)^-B97</f>
        <v>0.95238095238095233</v>
      </c>
      <c r="C99" s="27">
        <f t="shared" ref="C99:H99" si="13">(1+C98)^-C97</f>
        <v>0.90263866009884153</v>
      </c>
      <c r="D99" s="27">
        <f t="shared" si="13"/>
        <v>0.85127905271506643</v>
      </c>
      <c r="E99" s="27">
        <f t="shared" si="13"/>
        <v>0.79880764313811248</v>
      </c>
      <c r="F99" s="27">
        <f t="shared" si="13"/>
        <v>0.74571968457246773</v>
      </c>
      <c r="G99" s="27">
        <f t="shared" si="13"/>
        <v>0.69249125596134042</v>
      </c>
      <c r="H99" s="27">
        <f t="shared" si="13"/>
        <v>0.63863461045720649</v>
      </c>
    </row>
    <row r="100" spans="1:12" x14ac:dyDescent="0.2">
      <c r="A100" s="1" t="s">
        <v>31</v>
      </c>
      <c r="B100" s="28">
        <f t="shared" ref="B100:G100" si="14">$B$86*$B$95*B99</f>
        <v>4.7619047619047619</v>
      </c>
      <c r="C100" s="28">
        <f t="shared" si="14"/>
        <v>4.5131933004942075</v>
      </c>
      <c r="D100" s="28">
        <f t="shared" si="14"/>
        <v>4.2563952635753317</v>
      </c>
      <c r="E100" s="28">
        <f t="shared" si="14"/>
        <v>3.9940382156905625</v>
      </c>
      <c r="F100" s="28">
        <f t="shared" si="14"/>
        <v>3.7285984228623388</v>
      </c>
      <c r="G100" s="28">
        <f t="shared" si="14"/>
        <v>3.4624562798067022</v>
      </c>
      <c r="H100" s="28">
        <f>($B$86*$B$95+B86)*H99</f>
        <v>67.056634098006683</v>
      </c>
      <c r="I100" s="10">
        <f>SUM(B100:H100)</f>
        <v>91.773220342340579</v>
      </c>
    </row>
    <row r="101" spans="1:12" x14ac:dyDescent="0.2">
      <c r="B101" s="28"/>
      <c r="C101" s="28"/>
      <c r="D101" s="28"/>
      <c r="E101" s="28"/>
      <c r="F101" s="28"/>
      <c r="G101" s="28"/>
      <c r="H101" s="28"/>
      <c r="I101" s="10"/>
    </row>
    <row r="102" spans="1:12" x14ac:dyDescent="0.2">
      <c r="A102" s="1" t="s">
        <v>21</v>
      </c>
      <c r="B102" s="31">
        <f>I100</f>
        <v>91.773220342340579</v>
      </c>
      <c r="C102" s="1" t="s">
        <v>33</v>
      </c>
    </row>
    <row r="103" spans="1:12" x14ac:dyDescent="0.2">
      <c r="A103" s="1" t="s">
        <v>11</v>
      </c>
      <c r="B103" s="38">
        <f>RATE(H97,B95*B86,-B102,B86)</f>
        <v>6.5000000000042496E-2</v>
      </c>
      <c r="C103" s="1" t="s">
        <v>53</v>
      </c>
      <c r="F103" s="18">
        <f>D89</f>
        <v>6.6156793109553691E-2</v>
      </c>
    </row>
    <row r="105" spans="1:12" x14ac:dyDescent="0.2">
      <c r="L105" s="24"/>
    </row>
    <row r="112" spans="1:12" x14ac:dyDescent="0.2">
      <c r="I112" s="10"/>
    </row>
    <row r="153" spans="20:25" x14ac:dyDescent="0.2">
      <c r="W153" s="1" t="s">
        <v>13</v>
      </c>
      <c r="X153" s="1">
        <v>100</v>
      </c>
    </row>
    <row r="156" spans="20:25" x14ac:dyDescent="0.2">
      <c r="W156" s="1">
        <v>1</v>
      </c>
      <c r="X156" s="1">
        <v>2</v>
      </c>
      <c r="Y156" s="1">
        <v>3</v>
      </c>
    </row>
    <row r="157" spans="20:25" x14ac:dyDescent="0.2">
      <c r="T157" s="1" t="s">
        <v>38</v>
      </c>
      <c r="W157" s="1">
        <v>0.06</v>
      </c>
      <c r="X157" s="1">
        <v>7.0000000000000007E-2</v>
      </c>
      <c r="Y157" s="1">
        <v>0.08</v>
      </c>
    </row>
    <row r="159" spans="20:25" x14ac:dyDescent="0.2">
      <c r="V159" s="9" t="s">
        <v>34</v>
      </c>
      <c r="W159" s="32">
        <f>X153/(1+Y157)^Y156</f>
        <v>79.383224102016953</v>
      </c>
    </row>
    <row r="161" spans="21:25" x14ac:dyDescent="0.2">
      <c r="U161" s="1" t="s">
        <v>35</v>
      </c>
      <c r="W161" s="33">
        <v>0.1</v>
      </c>
    </row>
    <row r="162" spans="21:25" x14ac:dyDescent="0.2">
      <c r="U162" s="1" t="s">
        <v>37</v>
      </c>
      <c r="W162" s="1">
        <f>W161*X153</f>
        <v>10</v>
      </c>
    </row>
    <row r="163" spans="21:25" x14ac:dyDescent="0.2">
      <c r="U163" s="1" t="s">
        <v>36</v>
      </c>
      <c r="W163" s="1">
        <f>W162/(1+W157)+W162/(1+X157)^X156+(X153+W162)/(1+Y157)^Y156</f>
        <v>105.48989605910171</v>
      </c>
    </row>
    <row r="164" spans="21:25" x14ac:dyDescent="0.2">
      <c r="U164" s="1" t="s">
        <v>11</v>
      </c>
      <c r="W164" s="24">
        <f>RATE(Y156,W162,-W163,X153)</f>
        <v>7.8745564741687354E-2</v>
      </c>
    </row>
    <row r="168" spans="21:25" x14ac:dyDescent="0.2">
      <c r="W168" s="1">
        <v>1</v>
      </c>
      <c r="X168" s="1">
        <v>2</v>
      </c>
      <c r="Y168" s="1">
        <v>3</v>
      </c>
    </row>
    <row r="169" spans="21:25" x14ac:dyDescent="0.2">
      <c r="W169" s="24">
        <f>W164</f>
        <v>7.8745564741687354E-2</v>
      </c>
      <c r="X169" s="24">
        <f>W169</f>
        <v>7.8745564741687354E-2</v>
      </c>
      <c r="Y169" s="24">
        <f>X169</f>
        <v>7.8745564741687354E-2</v>
      </c>
    </row>
    <row r="171" spans="21:25" x14ac:dyDescent="0.2">
      <c r="U171" s="1" t="s">
        <v>36</v>
      </c>
      <c r="W171" s="1">
        <f>W162/(1+W169)^W168+W162/(1+X169)^X168+(X153+W162)/(1+Y169)^Y168</f>
        <v>105.48989605909054</v>
      </c>
    </row>
  </sheetData>
  <pageMargins left="0.7" right="0.7" top="0.75" bottom="0.75" header="0.3" footer="0.3"/>
  <pageSetup paperSize="9" orientation="portrait" horizontalDpi="4294967292" verticalDpi="429496729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BBBC2-5B82-4FEC-BBCF-BFCD6ED7497F}">
  <dimension ref="A1:E22"/>
  <sheetViews>
    <sheetView tabSelected="1" workbookViewId="0">
      <selection activeCell="B22" sqref="B22"/>
    </sheetView>
  </sheetViews>
  <sheetFormatPr defaultRowHeight="15" x14ac:dyDescent="0.25"/>
  <cols>
    <col min="1" max="1" width="11.5703125" bestFit="1" customWidth="1"/>
    <col min="2" max="2" width="10.5703125" bestFit="1" customWidth="1"/>
  </cols>
  <sheetData>
    <row r="1" spans="1:5" x14ac:dyDescent="0.25">
      <c r="A1" t="s">
        <v>61</v>
      </c>
      <c r="B1" s="42">
        <v>0.09</v>
      </c>
    </row>
    <row r="2" spans="1:5" x14ac:dyDescent="0.25">
      <c r="A2" t="s">
        <v>62</v>
      </c>
      <c r="B2">
        <v>1000</v>
      </c>
    </row>
    <row r="3" spans="1:5" x14ac:dyDescent="0.25">
      <c r="A3" t="s">
        <v>63</v>
      </c>
      <c r="B3">
        <f>SUM(C6:C10,D6)</f>
        <v>1006.807793643536</v>
      </c>
    </row>
    <row r="6" spans="1:5" x14ac:dyDescent="0.25">
      <c r="A6">
        <v>1</v>
      </c>
      <c r="B6" s="43">
        <v>8.1000000000000003E-2</v>
      </c>
      <c r="C6">
        <f>$B$2*$B$1/(1+B6)</f>
        <v>83.256244218316382</v>
      </c>
      <c r="D6">
        <f>B2/(1+B6)/(1+B7)/(1+B8)/(1+B9)</f>
        <v>710.96576021865428</v>
      </c>
    </row>
    <row r="7" spans="1:5" x14ac:dyDescent="0.25">
      <c r="A7">
        <v>2</v>
      </c>
      <c r="B7" s="43">
        <v>7.2550000000000003E-2</v>
      </c>
      <c r="C7">
        <f>C6/(1+B7)</f>
        <v>77.624580875778634</v>
      </c>
    </row>
    <row r="8" spans="1:5" x14ac:dyDescent="0.25">
      <c r="A8">
        <v>3</v>
      </c>
      <c r="B8" s="43">
        <v>9.3700000000000006E-2</v>
      </c>
      <c r="C8">
        <f>C7/(1+B8)</f>
        <v>70.974289911107817</v>
      </c>
    </row>
    <row r="9" spans="1:5" x14ac:dyDescent="0.25">
      <c r="A9">
        <v>4</v>
      </c>
      <c r="B9" s="43">
        <v>0.10920000000000001</v>
      </c>
      <c r="C9">
        <f>C8/(1+B9)</f>
        <v>63.986918419678886</v>
      </c>
    </row>
    <row r="10" spans="1:5" ht="15.75" thickBot="1" x14ac:dyDescent="0.3">
      <c r="B10" s="43"/>
    </row>
    <row r="11" spans="1:5" x14ac:dyDescent="0.25">
      <c r="A11" s="45" t="s">
        <v>66</v>
      </c>
      <c r="B11" s="46">
        <v>0.12</v>
      </c>
      <c r="C11" s="47"/>
      <c r="D11" s="47"/>
      <c r="E11" s="48"/>
    </row>
    <row r="12" spans="1:5" x14ac:dyDescent="0.25">
      <c r="A12" s="49" t="s">
        <v>62</v>
      </c>
      <c r="B12" s="50">
        <v>1000</v>
      </c>
      <c r="C12" s="50"/>
      <c r="D12" s="50"/>
      <c r="E12" s="51"/>
    </row>
    <row r="13" spans="1:5" x14ac:dyDescent="0.25">
      <c r="A13" s="49" t="s">
        <v>67</v>
      </c>
      <c r="B13" s="50">
        <f>SUM(D15:D18,E15)</f>
        <v>1147.2159999999999</v>
      </c>
      <c r="C13" s="50"/>
      <c r="D13" s="50"/>
      <c r="E13" s="51"/>
    </row>
    <row r="14" spans="1:5" x14ac:dyDescent="0.25">
      <c r="A14" s="49" t="s">
        <v>65</v>
      </c>
      <c r="B14" s="50" t="s">
        <v>62</v>
      </c>
      <c r="C14" s="50" t="s">
        <v>64</v>
      </c>
      <c r="D14" s="50"/>
      <c r="E14" s="51"/>
    </row>
    <row r="15" spans="1:5" x14ac:dyDescent="0.25">
      <c r="A15" s="49">
        <v>1</v>
      </c>
      <c r="B15" s="52">
        <v>943.4</v>
      </c>
      <c r="C15" s="53">
        <f>1000/B15-1</f>
        <v>5.9995760016960054E-2</v>
      </c>
      <c r="D15" s="50">
        <f>$B$12*$B$11/(1+C15)</f>
        <v>113.20799999999998</v>
      </c>
      <c r="E15" s="51">
        <f>B12/(1+C15)/(1+C16)/(1+C17)/(1+C18)</f>
        <v>742.08999999999992</v>
      </c>
    </row>
    <row r="16" spans="1:5" x14ac:dyDescent="0.25">
      <c r="A16" s="49">
        <v>2</v>
      </c>
      <c r="B16" s="52">
        <v>881.68</v>
      </c>
      <c r="C16" s="53">
        <f>B15/B16-1</f>
        <v>7.0002722076036639E-2</v>
      </c>
      <c r="D16" s="50">
        <f>D15/(1+C16)</f>
        <v>105.80159999999999</v>
      </c>
      <c r="E16" s="51"/>
    </row>
    <row r="17" spans="1:5" x14ac:dyDescent="0.25">
      <c r="A17" s="49">
        <v>3</v>
      </c>
      <c r="B17" s="52">
        <v>808.88</v>
      </c>
      <c r="C17" s="53">
        <f>B16/B17-1</f>
        <v>9.000098902185738E-2</v>
      </c>
      <c r="D17" s="50">
        <f>D16/(1+C17)</f>
        <v>97.065599999999989</v>
      </c>
      <c r="E17" s="51"/>
    </row>
    <row r="18" spans="1:5" ht="15.75" thickBot="1" x14ac:dyDescent="0.3">
      <c r="A18" s="54">
        <v>4</v>
      </c>
      <c r="B18" s="55">
        <v>742.09</v>
      </c>
      <c r="C18" s="56">
        <f>B17/B18-1</f>
        <v>9.0002560336347237E-2</v>
      </c>
      <c r="D18" s="57">
        <f>D17/(1+C18)</f>
        <v>89.050799999999995</v>
      </c>
      <c r="E18" s="58"/>
    </row>
    <row r="20" spans="1:5" x14ac:dyDescent="0.25">
      <c r="A20" t="s">
        <v>11</v>
      </c>
      <c r="B20" s="59">
        <f>(1000/B18)^(1/4) - 1</f>
        <v>7.7422039604001291E-2</v>
      </c>
    </row>
    <row r="21" spans="1:5" x14ac:dyDescent="0.25">
      <c r="A21" t="s">
        <v>68</v>
      </c>
      <c r="B21" s="60">
        <v>4</v>
      </c>
    </row>
    <row r="22" spans="1:5" x14ac:dyDescent="0.25">
      <c r="A22" t="s">
        <v>67</v>
      </c>
      <c r="B22" s="44">
        <f>PV(B20,B21,B11*B12,B12)</f>
        <v>-1141.8366374988204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Yield Curve</vt:lpstr>
      <vt:lpstr>bond price with forward rate</vt:lpstr>
    </vt:vector>
  </TitlesOfParts>
  <Company>University of New South Wales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Ah-Boon Sim</dc:creator>
  <cp:lastModifiedBy>liam</cp:lastModifiedBy>
  <dcterms:created xsi:type="dcterms:W3CDTF">2013-05-09T06:33:34Z</dcterms:created>
  <dcterms:modified xsi:type="dcterms:W3CDTF">2022-07-06T11:52:55Z</dcterms:modified>
</cp:coreProperties>
</file>