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Lexar\Portfolio Management\"/>
    </mc:Choice>
  </mc:AlternateContent>
  <xr:revisionPtr revIDLastSave="0" documentId="8_{B12B3FC2-D363-4549-A443-D5A1FC293B29}" xr6:coauthVersionLast="45" xr6:coauthVersionMax="45" xr10:uidLastSave="{00000000-0000-0000-0000-000000000000}"/>
  <bookViews>
    <workbookView xWindow="3900" yWindow="2805" windowWidth="16230" windowHeight="11385" firstSheet="4" activeTab="4" xr2:uid="{00000000-000D-0000-FFFF-FFFF00000000}"/>
  </bookViews>
  <sheets>
    <sheet name="Equities" sheetId="2" r:id="rId1"/>
    <sheet name="Bonds" sheetId="3" r:id="rId2"/>
    <sheet name="Covariance and Correlation" sheetId="4" r:id="rId3"/>
    <sheet name="Portfolio Return and Risk" sheetId="5" r:id="rId4"/>
    <sheet name="Diversification Benefit" sheetId="6" r:id="rId5"/>
    <sheet name="Div Ben. Simple Exmpl" sheetId="7" r:id="rId6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" i="3" l="1"/>
  <c r="D11" i="3"/>
  <c r="D33" i="3"/>
  <c r="E33" i="3"/>
  <c r="F33" i="3"/>
  <c r="B33" i="3"/>
  <c r="G33" i="3"/>
  <c r="C34" i="3"/>
  <c r="D34" i="3"/>
  <c r="E34" i="3"/>
  <c r="F34" i="3"/>
  <c r="B34" i="3"/>
  <c r="G34" i="3"/>
  <c r="C35" i="3"/>
  <c r="D35" i="3"/>
  <c r="E35" i="3"/>
  <c r="F35" i="3"/>
  <c r="B35" i="3"/>
  <c r="G35" i="3"/>
  <c r="C36" i="3"/>
  <c r="D36" i="3"/>
  <c r="E36" i="3"/>
  <c r="F36" i="3"/>
  <c r="B36" i="3"/>
  <c r="G36" i="3"/>
  <c r="G37" i="3"/>
  <c r="D43" i="3"/>
  <c r="F43" i="3"/>
  <c r="B19" i="6"/>
  <c r="C33" i="2"/>
  <c r="D11" i="2"/>
  <c r="D33" i="2"/>
  <c r="E33" i="2"/>
  <c r="F33" i="2"/>
  <c r="B33" i="2"/>
  <c r="G33" i="2"/>
  <c r="C34" i="2"/>
  <c r="D34" i="2"/>
  <c r="E34" i="2"/>
  <c r="F34" i="2"/>
  <c r="B34" i="2"/>
  <c r="G34" i="2"/>
  <c r="C35" i="2"/>
  <c r="D35" i="2"/>
  <c r="E35" i="2"/>
  <c r="F35" i="2"/>
  <c r="B35" i="2"/>
  <c r="G35" i="2"/>
  <c r="C36" i="2"/>
  <c r="D36" i="2"/>
  <c r="E36" i="2"/>
  <c r="F36" i="2"/>
  <c r="B36" i="2"/>
  <c r="G36" i="2"/>
  <c r="G37" i="2"/>
  <c r="D43" i="2"/>
  <c r="F43" i="2"/>
  <c r="B14" i="6"/>
  <c r="B39" i="6"/>
  <c r="C39" i="6"/>
  <c r="B12" i="6"/>
  <c r="B17" i="6"/>
  <c r="D39" i="6"/>
  <c r="E34" i="6"/>
  <c r="E39" i="6"/>
  <c r="F34" i="6"/>
  <c r="F39" i="6"/>
  <c r="G34" i="6"/>
  <c r="G39" i="6"/>
  <c r="C17" i="4"/>
  <c r="D17" i="4"/>
  <c r="E17" i="4"/>
  <c r="B17" i="4"/>
  <c r="F17" i="4"/>
  <c r="C18" i="4"/>
  <c r="D18" i="4"/>
  <c r="E18" i="4"/>
  <c r="B18" i="4"/>
  <c r="F18" i="4"/>
  <c r="C19" i="4"/>
  <c r="D19" i="4"/>
  <c r="E19" i="4"/>
  <c r="B19" i="4"/>
  <c r="F19" i="4"/>
  <c r="C20" i="4"/>
  <c r="D20" i="4"/>
  <c r="E20" i="4"/>
  <c r="B20" i="4"/>
  <c r="F20" i="4"/>
  <c r="F21" i="4"/>
  <c r="B26" i="4"/>
  <c r="B27" i="4"/>
  <c r="D29" i="4"/>
  <c r="H34" i="6"/>
  <c r="H39" i="6"/>
  <c r="I34" i="6"/>
  <c r="I39" i="6"/>
  <c r="C36" i="6"/>
  <c r="E36" i="6"/>
  <c r="D27" i="2"/>
  <c r="B6" i="5"/>
  <c r="D27" i="3"/>
  <c r="D11" i="4"/>
  <c r="B25" i="5"/>
  <c r="B23" i="7"/>
  <c r="B8" i="7"/>
  <c r="B6" i="7"/>
  <c r="B22" i="6"/>
  <c r="B37" i="6"/>
  <c r="B38" i="6"/>
  <c r="B40" i="6"/>
  <c r="C40" i="6"/>
  <c r="D40" i="6"/>
  <c r="B41" i="6"/>
  <c r="B42" i="6"/>
  <c r="B43" i="6"/>
  <c r="B44" i="6"/>
  <c r="C44" i="6"/>
  <c r="D44" i="6"/>
  <c r="B45" i="6"/>
  <c r="B46" i="6"/>
  <c r="B47" i="6"/>
  <c r="C47" i="6"/>
  <c r="D47" i="6"/>
  <c r="D36" i="6"/>
  <c r="B8" i="6"/>
  <c r="B18" i="6"/>
  <c r="B6" i="6"/>
  <c r="B29" i="7"/>
  <c r="B18" i="7"/>
  <c r="B20" i="7"/>
  <c r="B13" i="7"/>
  <c r="C41" i="6"/>
  <c r="D41" i="6"/>
  <c r="B23" i="6"/>
  <c r="H36" i="6"/>
  <c r="I36" i="6"/>
  <c r="I41" i="6"/>
  <c r="G36" i="6"/>
  <c r="C38" i="6"/>
  <c r="D38" i="6"/>
  <c r="B13" i="6"/>
  <c r="B15" i="6"/>
  <c r="C46" i="6"/>
  <c r="D46" i="6"/>
  <c r="C42" i="6"/>
  <c r="D42" i="6"/>
  <c r="C37" i="6"/>
  <c r="D37" i="6"/>
  <c r="C43" i="6"/>
  <c r="D43" i="6"/>
  <c r="C45" i="6"/>
  <c r="D45" i="6"/>
  <c r="B29" i="6"/>
  <c r="B20" i="6"/>
  <c r="F36" i="6"/>
  <c r="H38" i="6"/>
  <c r="G37" i="6"/>
  <c r="B28" i="6"/>
  <c r="B45" i="5"/>
  <c r="B49" i="5"/>
  <c r="B36" i="5"/>
  <c r="B55" i="5"/>
  <c r="B44" i="5"/>
  <c r="B28" i="7"/>
  <c r="B30" i="7"/>
  <c r="B15" i="7"/>
  <c r="H40" i="6"/>
  <c r="G38" i="6"/>
  <c r="H37" i="6"/>
  <c r="I40" i="6"/>
  <c r="F37" i="6"/>
  <c r="F38" i="6"/>
  <c r="E38" i="6"/>
  <c r="I38" i="6"/>
  <c r="I37" i="6"/>
  <c r="E41" i="6"/>
  <c r="F40" i="6"/>
  <c r="G40" i="6"/>
  <c r="E40" i="6"/>
  <c r="E37" i="6"/>
  <c r="H41" i="6"/>
  <c r="B30" i="6"/>
  <c r="B54" i="5"/>
  <c r="B46" i="5"/>
  <c r="B42" i="5"/>
  <c r="B56" i="5"/>
  <c r="B13" i="5"/>
  <c r="B12" i="5"/>
  <c r="B14" i="5"/>
  <c r="G41" i="6"/>
  <c r="I42" i="6"/>
  <c r="F41" i="6"/>
  <c r="F42" i="6"/>
  <c r="H42" i="6"/>
  <c r="E42" i="6"/>
  <c r="G42" i="6"/>
  <c r="F43" i="6"/>
  <c r="B37" i="3"/>
  <c r="B21" i="4"/>
  <c r="B21" i="3"/>
  <c r="D20" i="3"/>
  <c r="D19" i="3"/>
  <c r="D18" i="3"/>
  <c r="D17" i="3"/>
  <c r="I43" i="6"/>
  <c r="E43" i="6"/>
  <c r="G43" i="6"/>
  <c r="H43" i="6"/>
  <c r="G44" i="6"/>
  <c r="B16" i="5"/>
  <c r="B23" i="5"/>
  <c r="B24" i="5"/>
  <c r="D21" i="3"/>
  <c r="B37" i="2"/>
  <c r="D17" i="2"/>
  <c r="D18" i="2"/>
  <c r="D19" i="2"/>
  <c r="D20" i="2"/>
  <c r="B21" i="2"/>
  <c r="H44" i="6"/>
  <c r="F44" i="6"/>
  <c r="I44" i="6"/>
  <c r="E44" i="6"/>
  <c r="E45" i="6"/>
  <c r="D21" i="2"/>
  <c r="H45" i="6"/>
  <c r="F45" i="6"/>
  <c r="I45" i="6"/>
  <c r="E47" i="6"/>
  <c r="G47" i="6"/>
  <c r="H47" i="6"/>
  <c r="F47" i="6"/>
  <c r="G45" i="6"/>
  <c r="F46" i="6"/>
  <c r="I47" i="6"/>
  <c r="H46" i="6"/>
  <c r="E46" i="6"/>
  <c r="I46" i="6"/>
  <c r="G46" i="6"/>
  <c r="B26" i="5"/>
  <c r="B27" i="5"/>
  <c r="D12" i="4"/>
  <c r="B17" i="5"/>
  <c r="B18" i="5"/>
</calcChain>
</file>

<file path=xl/sharedStrings.xml><?xml version="1.0" encoding="utf-8"?>
<sst xmlns="http://schemas.openxmlformats.org/spreadsheetml/2006/main" count="233" uniqueCount="97">
  <si>
    <t>Probability of State</t>
  </si>
  <si>
    <t>Excellent</t>
  </si>
  <si>
    <t>Good</t>
  </si>
  <si>
    <t>Poor</t>
  </si>
  <si>
    <t>Crash</t>
  </si>
  <si>
    <t>Sum</t>
  </si>
  <si>
    <t>Expected Return</t>
  </si>
  <si>
    <t>Variance</t>
  </si>
  <si>
    <t>Standard Deviation</t>
  </si>
  <si>
    <t>Assume you can estimate expected returns in each state and the probability of each state</t>
  </si>
  <si>
    <t>From this information, you can derive the expected return, variance and standard deviation</t>
  </si>
  <si>
    <t>State of the Economy</t>
  </si>
  <si>
    <t>Expected Return of State</t>
  </si>
  <si>
    <t>B</t>
  </si>
  <si>
    <t>Expected Return is simply the probability weighted return in each state</t>
  </si>
  <si>
    <t>Step #1 Derive Expected Return</t>
  </si>
  <si>
    <t>C</t>
  </si>
  <si>
    <t>Given/Estimated</t>
  </si>
  <si>
    <t>D</t>
  </si>
  <si>
    <t>Deviations from ER</t>
  </si>
  <si>
    <t>E</t>
  </si>
  <si>
    <t>Squared Deviations</t>
  </si>
  <si>
    <t>F</t>
  </si>
  <si>
    <t>Probability Weighted Squared Deviations</t>
  </si>
  <si>
    <t>Step #2 Derive Variance from each state's deviation from Expected Return</t>
  </si>
  <si>
    <t>Step #3 Derive Standard Deviation from square root of the Variance</t>
  </si>
  <si>
    <t>Standard deviation is simply the square root of the variance</t>
  </si>
  <si>
    <t>or can be expressed as:</t>
  </si>
  <si>
    <t>G</t>
  </si>
  <si>
    <t>Sum of (B x C)</t>
  </si>
  <si>
    <t>(C - D)</t>
  </si>
  <si>
    <r>
      <t>(E)</t>
    </r>
    <r>
      <rPr>
        <vertAlign val="superscript"/>
        <sz val="12"/>
        <color rgb="FFFF0000"/>
        <rFont val="Verdana"/>
        <family val="2"/>
      </rPr>
      <t>2</t>
    </r>
  </si>
  <si>
    <t>(B x F)</t>
  </si>
  <si>
    <t>Multiply columns B and F and sum them or SUMPRODUCT(B,F)</t>
  </si>
  <si>
    <t>(B x C)</t>
  </si>
  <si>
    <t>Multiply columns B and C and sum them or SUMPRODUCT(B,C)</t>
  </si>
  <si>
    <t>Assume 4 possible future (ex-ante) states:  Excellent, Good, Poor and Crash</t>
  </si>
  <si>
    <t>Determine each state's deviation from the Expected Return, square the deviations then probability weight them based on the probability of each state</t>
  </si>
  <si>
    <t>Simply SQRT(G37)</t>
  </si>
  <si>
    <t>Covariance measures how the assets deviate from their expected return in different states</t>
  </si>
  <si>
    <t>(C x D)</t>
  </si>
  <si>
    <t>Probability Weighted Product of Deviations</t>
  </si>
  <si>
    <t>(B x E)</t>
  </si>
  <si>
    <t>Multiply columns B, C, and D and sum them or SUMPRODUCT(B,C, D)</t>
  </si>
  <si>
    <t>Covariance</t>
  </si>
  <si>
    <t>or SUMPRODUCT(B,E)</t>
  </si>
  <si>
    <t>Product of Asset Deviations</t>
  </si>
  <si>
    <t>Step #2 Derive Correlation from Covarance and SD's of each Asset</t>
  </si>
  <si>
    <t>Correlation</t>
  </si>
  <si>
    <t>Step #1 Determine Covariance from each Asset's deviation from its Expected Return</t>
  </si>
  <si>
    <t>Bonds: Calculate Ex-Ante ER, Var and SD</t>
  </si>
  <si>
    <t xml:space="preserve">Determine each asset's deviation from the Expected Return in each state, multiply the deviations for each asset (in each state),  then probability weight and sum them </t>
  </si>
  <si>
    <t>Standard Deviation derived earlier in sheet "Bonds"</t>
  </si>
  <si>
    <t>Portfolio Return and Risk</t>
  </si>
  <si>
    <t>Risk-Free Rate</t>
  </si>
  <si>
    <t>Sharpe Ratio</t>
  </si>
  <si>
    <t>Risk Premium Bonds</t>
  </si>
  <si>
    <t>Stand Alone Assets</t>
  </si>
  <si>
    <t>Portfolio</t>
  </si>
  <si>
    <t>Return</t>
  </si>
  <si>
    <t>Risk Premium</t>
  </si>
  <si>
    <t>Portfolio Variance</t>
  </si>
  <si>
    <t>Portfolio Standard Deviation</t>
  </si>
  <si>
    <t>Simplified Example</t>
  </si>
  <si>
    <t>Risk Premium Asset A</t>
  </si>
  <si>
    <t>Standard Deviation Asset A</t>
  </si>
  <si>
    <t>Risk Premium Asset B</t>
  </si>
  <si>
    <t>Standard Deviation Asset B</t>
  </si>
  <si>
    <t>Equities: Calculate Ex-Ante ER, Var and SD</t>
  </si>
  <si>
    <t>Calculate Covariance and Correlation of Equities and Bonds</t>
  </si>
  <si>
    <t>We start with the deviations from Expected Return for each of equities and bonds which we already derived in the earlier sheets</t>
  </si>
  <si>
    <t>Deviations from ER Equities</t>
  </si>
  <si>
    <t>Derived in Column E ("Equities")</t>
  </si>
  <si>
    <t>Derived in Column E ("Bonds")</t>
  </si>
  <si>
    <t>Deviations from ER Bonds</t>
  </si>
  <si>
    <t>Standard Deviation derived earlier in sheet "Equities"</t>
  </si>
  <si>
    <r>
      <rPr>
        <sz val="16"/>
        <color theme="1"/>
        <rFont val="Calibri"/>
        <family val="2"/>
      </rPr>
      <t>σ</t>
    </r>
    <r>
      <rPr>
        <vertAlign val="subscript"/>
        <sz val="16"/>
        <color theme="1"/>
        <rFont val="Verdana"/>
        <family val="2"/>
      </rPr>
      <t xml:space="preserve">E </t>
    </r>
  </si>
  <si>
    <r>
      <rPr>
        <sz val="16"/>
        <color theme="1"/>
        <rFont val="Calibri"/>
        <family val="2"/>
      </rPr>
      <t>σ</t>
    </r>
    <r>
      <rPr>
        <vertAlign val="subscript"/>
        <sz val="16"/>
        <color theme="1"/>
        <rFont val="Verdana"/>
        <family val="2"/>
      </rPr>
      <t>D</t>
    </r>
  </si>
  <si>
    <r>
      <rPr>
        <sz val="16"/>
        <color theme="1"/>
        <rFont val="Calibri"/>
        <family val="2"/>
      </rPr>
      <t>ρ</t>
    </r>
    <r>
      <rPr>
        <vertAlign val="subscript"/>
        <sz val="16"/>
        <color theme="1"/>
        <rFont val="Calibri"/>
        <family val="2"/>
      </rPr>
      <t>D,E</t>
    </r>
    <r>
      <rPr>
        <sz val="16"/>
        <color theme="1"/>
        <rFont val="Verdana"/>
        <family val="2"/>
      </rPr>
      <t xml:space="preserve"> = </t>
    </r>
    <r>
      <rPr>
        <sz val="14"/>
        <color theme="1"/>
        <rFont val="Verdana"/>
        <family val="2"/>
      </rPr>
      <t>Cov</t>
    </r>
    <r>
      <rPr>
        <sz val="16"/>
        <color theme="1"/>
        <rFont val="Verdana"/>
        <family val="2"/>
      </rPr>
      <t>(r</t>
    </r>
    <r>
      <rPr>
        <vertAlign val="subscript"/>
        <sz val="16"/>
        <color theme="1"/>
        <rFont val="Verdana"/>
        <family val="2"/>
      </rPr>
      <t>D</t>
    </r>
    <r>
      <rPr>
        <sz val="16"/>
        <color theme="1"/>
        <rFont val="Verdana"/>
        <family val="2"/>
      </rPr>
      <t>,r</t>
    </r>
    <r>
      <rPr>
        <vertAlign val="subscript"/>
        <sz val="16"/>
        <color theme="1"/>
        <rFont val="Verdana"/>
        <family val="2"/>
      </rPr>
      <t>E</t>
    </r>
    <r>
      <rPr>
        <sz val="16"/>
        <color theme="1"/>
        <rFont val="Verdana"/>
        <family val="2"/>
      </rPr>
      <t>) / (</t>
    </r>
    <r>
      <rPr>
        <sz val="16"/>
        <color theme="1"/>
        <rFont val="Calibri"/>
        <family val="2"/>
      </rPr>
      <t>σ</t>
    </r>
    <r>
      <rPr>
        <vertAlign val="subscript"/>
        <sz val="16"/>
        <color theme="1"/>
        <rFont val="Calibri"/>
        <family val="2"/>
      </rPr>
      <t>D</t>
    </r>
    <r>
      <rPr>
        <sz val="16"/>
        <color theme="1"/>
        <rFont val="Calibri"/>
        <family val="2"/>
      </rPr>
      <t xml:space="preserve"> x σ</t>
    </r>
    <r>
      <rPr>
        <vertAlign val="subscript"/>
        <sz val="16"/>
        <color theme="1"/>
        <rFont val="Calibri"/>
        <family val="2"/>
      </rPr>
      <t>E</t>
    </r>
    <r>
      <rPr>
        <sz val="16"/>
        <color theme="1"/>
        <rFont val="Verdana"/>
        <family val="2"/>
      </rPr>
      <t>)</t>
    </r>
  </si>
  <si>
    <t>Risk Premium Equities</t>
  </si>
  <si>
    <t>Standard Deviation Equities</t>
  </si>
  <si>
    <t>Standard Deviation Bonds</t>
  </si>
  <si>
    <t>Weighting to Equities</t>
  </si>
  <si>
    <t>Weighting to Bonds</t>
  </si>
  <si>
    <t>Weighting to Asset A</t>
  </si>
  <si>
    <t>Weighting to Asset B</t>
  </si>
  <si>
    <t>Weightings</t>
  </si>
  <si>
    <t>Correlation = 1</t>
  </si>
  <si>
    <t>Correlation = .7</t>
  </si>
  <si>
    <t>Correlation = 0</t>
  </si>
  <si>
    <t>Correlation = -1</t>
  </si>
  <si>
    <t>Correlation = -.71</t>
  </si>
  <si>
    <t>Diversification Benefit Simplified Example</t>
  </si>
  <si>
    <t>Diversification Benefit: Equities and Bonds</t>
  </si>
  <si>
    <t>Risk Free Rate</t>
  </si>
  <si>
    <t>Bonds</t>
  </si>
  <si>
    <t>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</si>
</sst>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%"/>
    <numFmt numFmtId="167" formatCode="#,##0.000_);\(#,##0.000\)"/>
    <numFmt numFmtId="168" formatCode="#,##0.0000_);\(#,##0.0000\)"/>
    <numFmt numFmtId="169" formatCode="#,##0.00000_);\(#,##0.00000\)"/>
    <numFmt numFmtId="170" formatCode="0.00000"/>
    <numFmt numFmtId="171" formatCode="0.0000"/>
    <numFmt numFmtId="172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6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theme="1"/>
      <name val="Verdana"/>
      <family val="2"/>
    </font>
    <font>
      <sz val="12"/>
      <name val="Verdana"/>
      <family val="2"/>
    </font>
    <font>
      <sz val="12"/>
      <color rgb="FFFF0000"/>
      <name val="Verdana"/>
      <family val="2"/>
    </font>
    <font>
      <vertAlign val="superscript"/>
      <sz val="12"/>
      <color rgb="FFFF0000"/>
      <name val="Verdana"/>
      <family val="2"/>
    </font>
    <font>
      <b/>
      <u/>
      <sz val="14"/>
      <color theme="1"/>
      <name val="Verdana"/>
      <family val="2"/>
    </font>
    <font>
      <b/>
      <sz val="12"/>
      <color rgb="FF000000"/>
      <name val="Verdana"/>
      <family val="2"/>
    </font>
    <font>
      <sz val="12"/>
      <color rgb="FFFF0000"/>
      <name val="Verdana"/>
      <family val="2"/>
    </font>
    <font>
      <sz val="12"/>
      <color theme="1"/>
      <name val="Verdana"/>
      <family val="2"/>
    </font>
    <font>
      <b/>
      <u/>
      <sz val="14"/>
      <color theme="1"/>
      <name val="Verdana"/>
      <family val="2"/>
    </font>
    <font>
      <b/>
      <sz val="12"/>
      <name val="Verdana"/>
      <family val="2"/>
    </font>
    <font>
      <b/>
      <sz val="12"/>
      <color theme="1"/>
      <name val="Verdana"/>
      <family val="2"/>
    </font>
    <font>
      <b/>
      <sz val="12"/>
      <color rgb="FF000000"/>
      <name val="Verdana"/>
      <family val="2"/>
    </font>
    <font>
      <sz val="16"/>
      <color theme="1"/>
      <name val="Verdana"/>
      <family val="2"/>
    </font>
    <font>
      <sz val="16"/>
      <color theme="1"/>
      <name val="Calibri"/>
      <family val="2"/>
    </font>
    <font>
      <sz val="14"/>
      <color theme="1"/>
      <name val="Verdana"/>
      <family val="2"/>
    </font>
    <font>
      <vertAlign val="subscript"/>
      <sz val="16"/>
      <color theme="1"/>
      <name val="Verdana"/>
      <family val="2"/>
    </font>
    <font>
      <vertAlign val="subscript"/>
      <sz val="16"/>
      <color theme="1"/>
      <name val="Calibri"/>
      <family val="2"/>
    </font>
    <font>
      <b/>
      <sz val="12"/>
      <color rgb="FFFF0000"/>
      <name val="Verdana"/>
      <family val="2"/>
    </font>
    <font>
      <sz val="12"/>
      <color rgb="FF00B05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DFFA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0" xfId="0" applyFont="1"/>
    <xf numFmtId="0" fontId="4" fillId="3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/>
    <xf numFmtId="166" fontId="4" fillId="0" borderId="0" xfId="2" applyNumberFormat="1" applyFont="1" applyAlignment="1">
      <alignment horizontal="center"/>
    </xf>
    <xf numFmtId="0" fontId="5" fillId="4" borderId="4" xfId="0" applyFont="1" applyFill="1" applyBorder="1" applyAlignment="1">
      <alignment horizontal="center"/>
    </xf>
    <xf numFmtId="169" fontId="4" fillId="4" borderId="5" xfId="1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8" xfId="0" applyFont="1" applyFill="1" applyBorder="1"/>
    <xf numFmtId="0" fontId="4" fillId="3" borderId="5" xfId="0" applyFont="1" applyFill="1" applyBorder="1"/>
    <xf numFmtId="39" fontId="4" fillId="3" borderId="5" xfId="1" applyNumberFormat="1" applyFont="1" applyFill="1" applyBorder="1" applyAlignment="1">
      <alignment horizontal="center"/>
    </xf>
    <xf numFmtId="0" fontId="2" fillId="3" borderId="11" xfId="0" applyFont="1" applyFill="1" applyBorder="1"/>
    <xf numFmtId="166" fontId="4" fillId="3" borderId="6" xfId="2" quotePrefix="1" applyNumberFormat="1" applyFont="1" applyFill="1" applyBorder="1" applyAlignment="1">
      <alignment horizontal="center"/>
    </xf>
    <xf numFmtId="167" fontId="2" fillId="0" borderId="8" xfId="1" applyNumberFormat="1" applyFont="1" applyFill="1" applyBorder="1" applyAlignment="1">
      <alignment horizontal="center"/>
    </xf>
    <xf numFmtId="167" fontId="2" fillId="0" borderId="11" xfId="1" applyNumberFormat="1" applyFont="1" applyFill="1" applyBorder="1" applyAlignment="1">
      <alignment horizontal="center"/>
    </xf>
    <xf numFmtId="166" fontId="4" fillId="4" borderId="9" xfId="2" applyNumberFormat="1" applyFont="1" applyFill="1" applyBorder="1" applyAlignment="1">
      <alignment horizontal="center"/>
    </xf>
    <xf numFmtId="168" fontId="2" fillId="0" borderId="8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8" fontId="2" fillId="0" borderId="11" xfId="1" applyNumberFormat="1" applyFont="1" applyFill="1" applyBorder="1" applyAlignment="1">
      <alignment horizontal="center"/>
    </xf>
    <xf numFmtId="168" fontId="2" fillId="4" borderId="8" xfId="1" applyNumberFormat="1" applyFont="1" applyFill="1" applyBorder="1" applyAlignment="1">
      <alignment horizontal="center"/>
    </xf>
    <xf numFmtId="168" fontId="2" fillId="4" borderId="11" xfId="1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168" fontId="5" fillId="2" borderId="8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68" fontId="5" fillId="2" borderId="3" xfId="0" applyNumberFormat="1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168" fontId="10" fillId="2" borderId="5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166" fontId="4" fillId="3" borderId="5" xfId="2" quotePrefix="1" applyNumberFormat="1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wrapText="1"/>
    </xf>
    <xf numFmtId="170" fontId="4" fillId="4" borderId="9" xfId="2" applyNumberFormat="1" applyFont="1" applyFill="1" applyBorder="1" applyAlignment="1">
      <alignment horizontal="center"/>
    </xf>
    <xf numFmtId="168" fontId="9" fillId="0" borderId="8" xfId="0" applyNumberFormat="1" applyFont="1" applyFill="1" applyBorder="1" applyAlignment="1">
      <alignment horizontal="center"/>
    </xf>
    <xf numFmtId="169" fontId="9" fillId="0" borderId="8" xfId="0" applyNumberFormat="1" applyFont="1" applyFill="1" applyBorder="1" applyAlignment="1">
      <alignment horizontal="center"/>
    </xf>
    <xf numFmtId="168" fontId="9" fillId="0" borderId="11" xfId="0" applyNumberFormat="1" applyFont="1" applyFill="1" applyBorder="1" applyAlignment="1">
      <alignment horizontal="center"/>
    </xf>
    <xf numFmtId="169" fontId="9" fillId="0" borderId="11" xfId="0" applyNumberFormat="1" applyFont="1" applyFill="1" applyBorder="1" applyAlignment="1">
      <alignment horizontal="center"/>
    </xf>
    <xf numFmtId="168" fontId="9" fillId="0" borderId="5" xfId="0" applyNumberFormat="1" applyFont="1" applyFill="1" applyBorder="1" applyAlignment="1">
      <alignment horizontal="center"/>
    </xf>
    <xf numFmtId="0" fontId="4" fillId="4" borderId="0" xfId="0" applyFont="1" applyFill="1"/>
    <xf numFmtId="0" fontId="12" fillId="0" borderId="0" xfId="0" applyFont="1"/>
    <xf numFmtId="10" fontId="4" fillId="4" borderId="0" xfId="2" applyNumberFormat="1" applyFont="1" applyFill="1" applyAlignment="1">
      <alignment horizontal="left"/>
    </xf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39" fontId="14" fillId="3" borderId="8" xfId="1" applyNumberFormat="1" applyFont="1" applyFill="1" applyBorder="1" applyAlignment="1">
      <alignment horizontal="center"/>
    </xf>
    <xf numFmtId="165" fontId="14" fillId="3" borderId="8" xfId="2" applyNumberFormat="1" applyFont="1" applyFill="1" applyBorder="1" applyAlignment="1">
      <alignment horizontal="center"/>
    </xf>
    <xf numFmtId="39" fontId="14" fillId="3" borderId="11" xfId="1" applyNumberFormat="1" applyFont="1" applyFill="1" applyBorder="1" applyAlignment="1">
      <alignment horizontal="center"/>
    </xf>
    <xf numFmtId="165" fontId="14" fillId="3" borderId="11" xfId="2" applyNumberFormat="1" applyFont="1" applyFill="1" applyBorder="1" applyAlignment="1">
      <alignment horizontal="center"/>
    </xf>
    <xf numFmtId="165" fontId="14" fillId="3" borderId="0" xfId="2" applyNumberFormat="1" applyFont="1" applyFill="1" applyBorder="1" applyAlignment="1">
      <alignment horizontal="center"/>
    </xf>
    <xf numFmtId="165" fontId="14" fillId="3" borderId="12" xfId="2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168" fontId="17" fillId="2" borderId="8" xfId="0" applyNumberFormat="1" applyFont="1" applyFill="1" applyBorder="1" applyAlignment="1">
      <alignment horizontal="center"/>
    </xf>
    <xf numFmtId="168" fontId="17" fillId="2" borderId="3" xfId="0" applyNumberFormat="1" applyFont="1" applyFill="1" applyBorder="1" applyAlignment="1">
      <alignment horizontal="center"/>
    </xf>
    <xf numFmtId="168" fontId="14" fillId="2" borderId="5" xfId="0" applyNumberFormat="1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 wrapText="1"/>
    </xf>
    <xf numFmtId="0" fontId="14" fillId="4" borderId="7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0" fontId="18" fillId="4" borderId="0" xfId="0" applyFont="1" applyFill="1"/>
    <xf numFmtId="0" fontId="15" fillId="0" borderId="0" xfId="0" applyFont="1" applyAlignment="1">
      <alignment horizontal="right" indent="1"/>
    </xf>
    <xf numFmtId="171" fontId="2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right"/>
    </xf>
    <xf numFmtId="0" fontId="10" fillId="0" borderId="0" xfId="0" applyFont="1"/>
    <xf numFmtId="165" fontId="25" fillId="2" borderId="13" xfId="2" applyNumberFormat="1" applyFont="1" applyFill="1" applyBorder="1" applyAlignment="1">
      <alignment horizontal="center"/>
    </xf>
    <xf numFmtId="10" fontId="25" fillId="2" borderId="13" xfId="2" applyNumberFormat="1" applyFont="1" applyFill="1" applyBorder="1" applyAlignment="1">
      <alignment horizontal="center"/>
    </xf>
    <xf numFmtId="166" fontId="4" fillId="5" borderId="0" xfId="2" applyNumberFormat="1" applyFont="1" applyFill="1" applyBorder="1" applyAlignment="1">
      <alignment horizontal="center"/>
    </xf>
    <xf numFmtId="10" fontId="17" fillId="4" borderId="13" xfId="2" applyNumberFormat="1" applyFont="1" applyFill="1" applyBorder="1" applyAlignment="1">
      <alignment horizontal="center"/>
    </xf>
    <xf numFmtId="171" fontId="17" fillId="4" borderId="13" xfId="0" applyNumberFormat="1" applyFont="1" applyFill="1" applyBorder="1" applyAlignment="1">
      <alignment horizontal="center"/>
    </xf>
    <xf numFmtId="166" fontId="2" fillId="5" borderId="13" xfId="2" applyNumberFormat="1" applyFont="1" applyFill="1" applyBorder="1" applyAlignment="1">
      <alignment horizontal="center"/>
    </xf>
    <xf numFmtId="168" fontId="9" fillId="0" borderId="13" xfId="0" applyNumberFormat="1" applyFont="1" applyFill="1" applyBorder="1" applyAlignment="1">
      <alignment horizontal="center"/>
    </xf>
    <xf numFmtId="166" fontId="2" fillId="5" borderId="0" xfId="2" applyNumberFormat="1" applyFont="1" applyFill="1" applyBorder="1" applyAlignment="1">
      <alignment horizontal="center"/>
    </xf>
    <xf numFmtId="165" fontId="10" fillId="2" borderId="13" xfId="2" applyNumberFormat="1" applyFont="1" applyFill="1" applyBorder="1" applyAlignment="1">
      <alignment horizontal="center"/>
    </xf>
    <xf numFmtId="172" fontId="10" fillId="2" borderId="13" xfId="2" applyNumberFormat="1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10" fillId="0" borderId="16" xfId="2" applyNumberFormat="1" applyFont="1" applyBorder="1" applyAlignment="1">
      <alignment horizontal="center"/>
    </xf>
    <xf numFmtId="165" fontId="2" fillId="0" borderId="17" xfId="2" applyNumberFormat="1" applyFont="1" applyBorder="1" applyAlignment="1">
      <alignment horizontal="center"/>
    </xf>
    <xf numFmtId="165" fontId="10" fillId="0" borderId="16" xfId="0" applyNumberFormat="1" applyFont="1" applyBorder="1" applyAlignment="1">
      <alignment horizontal="center"/>
    </xf>
    <xf numFmtId="165" fontId="10" fillId="0" borderId="18" xfId="0" applyNumberFormat="1" applyFont="1" applyBorder="1" applyAlignment="1">
      <alignment horizontal="center"/>
    </xf>
    <xf numFmtId="165" fontId="2" fillId="0" borderId="19" xfId="2" applyNumberFormat="1" applyFont="1" applyBorder="1" applyAlignment="1">
      <alignment horizontal="center"/>
    </xf>
    <xf numFmtId="165" fontId="9" fillId="5" borderId="13" xfId="2" applyNumberFormat="1" applyFont="1" applyFill="1" applyBorder="1" applyAlignment="1">
      <alignment horizontal="center"/>
    </xf>
    <xf numFmtId="165" fontId="26" fillId="0" borderId="0" xfId="0" applyNumberFormat="1" applyFont="1" applyAlignment="1">
      <alignment horizontal="center"/>
    </xf>
    <xf numFmtId="165" fontId="2" fillId="5" borderId="13" xfId="2" applyNumberFormat="1" applyFont="1" applyFill="1" applyBorder="1" applyAlignment="1">
      <alignment horizontal="center"/>
    </xf>
    <xf numFmtId="165" fontId="26" fillId="6" borderId="0" xfId="0" applyNumberFormat="1" applyFont="1" applyFill="1" applyAlignment="1">
      <alignment horizontal="center"/>
    </xf>
    <xf numFmtId="10" fontId="10" fillId="5" borderId="16" xfId="0" applyNumberFormat="1" applyFont="1" applyFill="1" applyBorder="1" applyAlignment="1">
      <alignment horizontal="center"/>
    </xf>
    <xf numFmtId="165" fontId="26" fillId="5" borderId="0" xfId="0" applyNumberFormat="1" applyFont="1" applyFill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4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AU" sz="1800" b="1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Diversification Benefit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51841322942489"/>
          <c:y val="0.11091807175794172"/>
          <c:w val="0.83366214425326102"/>
          <c:h val="0.655509715009355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'Diversification Benefit'!$E$35</c:f>
              <c:strCache>
                <c:ptCount val="1"/>
                <c:pt idx="0">
                  <c:v>Correlation =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'Diversification Benefit'!$E$36:$E$47</c:f>
              <c:numCache>
                <c:formatCode>0.0%</c:formatCode>
                <c:ptCount val="12"/>
                <c:pt idx="0">
                  <c:v>8.5000000000000006E-2</c:v>
                </c:pt>
                <c:pt idx="1">
                  <c:v>9.8204607805717214E-2</c:v>
                </c:pt>
                <c:pt idx="2">
                  <c:v>0.11140921561143442</c:v>
                </c:pt>
                <c:pt idx="3">
                  <c:v>0.12215961719170255</c:v>
                </c:pt>
                <c:pt idx="4">
                  <c:v>0.12461382341715162</c:v>
                </c:pt>
                <c:pt idx="5">
                  <c:v>0.13781843122286883</c:v>
                </c:pt>
                <c:pt idx="6">
                  <c:v>0.15102303902858602</c:v>
                </c:pt>
                <c:pt idx="7">
                  <c:v>0.16422764683430321</c:v>
                </c:pt>
                <c:pt idx="8">
                  <c:v>0.17743225464002041</c:v>
                </c:pt>
                <c:pt idx="9">
                  <c:v>0.19063686244573763</c:v>
                </c:pt>
                <c:pt idx="10">
                  <c:v>0.20384147025145483</c:v>
                </c:pt>
                <c:pt idx="11">
                  <c:v>0.21704607805717199</c:v>
                </c:pt>
              </c:numCache>
            </c:numRef>
          </c:xVal>
          <c:yVal>
            <c:numRef>
              <c:f>'Diversification Benefit'!$D$36:$D$47</c:f>
              <c:numCache>
                <c:formatCode>0.0%</c:formatCode>
                <c:ptCount val="12"/>
                <c:pt idx="0">
                  <c:v>3.500000000000001E-2</c:v>
                </c:pt>
                <c:pt idx="1">
                  <c:v>4.2600000000000013E-2</c:v>
                </c:pt>
                <c:pt idx="2">
                  <c:v>5.0200000000000015E-2</c:v>
                </c:pt>
                <c:pt idx="3">
                  <c:v>5.6387465255474167E-2</c:v>
                </c:pt>
                <c:pt idx="4">
                  <c:v>5.7800000000000018E-2</c:v>
                </c:pt>
                <c:pt idx="5">
                  <c:v>6.5400000000000014E-2</c:v>
                </c:pt>
                <c:pt idx="6">
                  <c:v>7.3000000000000009E-2</c:v>
                </c:pt>
                <c:pt idx="7">
                  <c:v>8.0600000000000005E-2</c:v>
                </c:pt>
                <c:pt idx="8">
                  <c:v>8.8200000000000014E-2</c:v>
                </c:pt>
                <c:pt idx="9">
                  <c:v>9.580000000000001E-2</c:v>
                </c:pt>
                <c:pt idx="10">
                  <c:v>0.10340000000000001</c:v>
                </c:pt>
                <c:pt idx="11">
                  <c:v>0.111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7-4A6C-BFD9-77C666A28B74}"/>
            </c:ext>
          </c:extLst>
        </c:ser>
        <c:ser>
          <c:idx val="1"/>
          <c:order val="1"/>
          <c:tx>
            <c:strRef>
              <c:f>'Diversification Benefit'!$F$35</c:f>
              <c:strCache>
                <c:ptCount val="1"/>
                <c:pt idx="0">
                  <c:v>Correlation = .7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'Diversification Benefit'!$F$36:$F$47</c:f>
              <c:numCache>
                <c:formatCode>0.0%</c:formatCode>
                <c:ptCount val="12"/>
                <c:pt idx="0">
                  <c:v>8.5000000000000006E-2</c:v>
                </c:pt>
                <c:pt idx="1">
                  <c:v>9.2994104630306079E-2</c:v>
                </c:pt>
                <c:pt idx="2">
                  <c:v>0.10315482211805979</c:v>
                </c:pt>
                <c:pt idx="3">
                  <c:v>0.11262560215847822</c:v>
                </c:pt>
                <c:pt idx="4">
                  <c:v>0.11490883991516375</c:v>
                </c:pt>
                <c:pt idx="5">
                  <c:v>0.127817354022499</c:v>
                </c:pt>
                <c:pt idx="6">
                  <c:v>0.14156489968279876</c:v>
                </c:pt>
                <c:pt idx="7">
                  <c:v>0.15592971490165958</c:v>
                </c:pt>
                <c:pt idx="8">
                  <c:v>0.17075608771182577</c:v>
                </c:pt>
                <c:pt idx="9">
                  <c:v>0.18593363688748887</c:v>
                </c:pt>
                <c:pt idx="10">
                  <c:v>0.2013829771753122</c:v>
                </c:pt>
                <c:pt idx="11">
                  <c:v>0.21704607805717199</c:v>
                </c:pt>
              </c:numCache>
            </c:numRef>
          </c:xVal>
          <c:yVal>
            <c:numRef>
              <c:f>'Diversification Benefit'!$D$36:$D$47</c:f>
              <c:numCache>
                <c:formatCode>0.0%</c:formatCode>
                <c:ptCount val="12"/>
                <c:pt idx="0">
                  <c:v>3.500000000000001E-2</c:v>
                </c:pt>
                <c:pt idx="1">
                  <c:v>4.2600000000000013E-2</c:v>
                </c:pt>
                <c:pt idx="2">
                  <c:v>5.0200000000000015E-2</c:v>
                </c:pt>
                <c:pt idx="3">
                  <c:v>5.6387465255474167E-2</c:v>
                </c:pt>
                <c:pt idx="4">
                  <c:v>5.7800000000000018E-2</c:v>
                </c:pt>
                <c:pt idx="5">
                  <c:v>6.5400000000000014E-2</c:v>
                </c:pt>
                <c:pt idx="6">
                  <c:v>7.3000000000000009E-2</c:v>
                </c:pt>
                <c:pt idx="7">
                  <c:v>8.0600000000000005E-2</c:v>
                </c:pt>
                <c:pt idx="8">
                  <c:v>8.8200000000000014E-2</c:v>
                </c:pt>
                <c:pt idx="9">
                  <c:v>9.580000000000001E-2</c:v>
                </c:pt>
                <c:pt idx="10">
                  <c:v>0.10340000000000001</c:v>
                </c:pt>
                <c:pt idx="11">
                  <c:v>0.111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A7-4A6C-BFD9-77C666A28B74}"/>
            </c:ext>
          </c:extLst>
        </c:ser>
        <c:ser>
          <c:idx val="2"/>
          <c:order val="2"/>
          <c:tx>
            <c:strRef>
              <c:f>'Diversification Benefit'!$G$35</c:f>
              <c:strCache>
                <c:ptCount val="1"/>
                <c:pt idx="0">
                  <c:v>Correlation = 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'Diversification Benefit'!$G$36:$G$47</c:f>
              <c:numCache>
                <c:formatCode>0.0%</c:formatCode>
                <c:ptCount val="12"/>
                <c:pt idx="0">
                  <c:v>8.5000000000000006E-2</c:v>
                </c:pt>
                <c:pt idx="1">
                  <c:v>7.9519431587505712E-2</c:v>
                </c:pt>
                <c:pt idx="2">
                  <c:v>8.0674407342105722E-2</c:v>
                </c:pt>
                <c:pt idx="3">
                  <c:v>8.6379893703405639E-2</c:v>
                </c:pt>
                <c:pt idx="4">
                  <c:v>8.8204648403584732E-2</c:v>
                </c:pt>
                <c:pt idx="5">
                  <c:v>0.10068982073675573</c:v>
                </c:pt>
                <c:pt idx="6">
                  <c:v>0.11654827326048209</c:v>
                </c:pt>
                <c:pt idx="7">
                  <c:v>0.13459286756734179</c:v>
                </c:pt>
                <c:pt idx="8">
                  <c:v>0.15405732699225963</c:v>
                </c:pt>
                <c:pt idx="9">
                  <c:v>0.17446707425758021</c:v>
                </c:pt>
                <c:pt idx="10">
                  <c:v>0.19552631536445422</c:v>
                </c:pt>
                <c:pt idx="11">
                  <c:v>0.21704607805717199</c:v>
                </c:pt>
              </c:numCache>
            </c:numRef>
          </c:xVal>
          <c:yVal>
            <c:numRef>
              <c:f>'Diversification Benefit'!$D$36:$D$47</c:f>
              <c:numCache>
                <c:formatCode>0.0%</c:formatCode>
                <c:ptCount val="12"/>
                <c:pt idx="0">
                  <c:v>3.500000000000001E-2</c:v>
                </c:pt>
                <c:pt idx="1">
                  <c:v>4.2600000000000013E-2</c:v>
                </c:pt>
                <c:pt idx="2">
                  <c:v>5.0200000000000015E-2</c:v>
                </c:pt>
                <c:pt idx="3">
                  <c:v>5.6387465255474167E-2</c:v>
                </c:pt>
                <c:pt idx="4">
                  <c:v>5.7800000000000018E-2</c:v>
                </c:pt>
                <c:pt idx="5">
                  <c:v>6.5400000000000014E-2</c:v>
                </c:pt>
                <c:pt idx="6">
                  <c:v>7.3000000000000009E-2</c:v>
                </c:pt>
                <c:pt idx="7">
                  <c:v>8.0600000000000005E-2</c:v>
                </c:pt>
                <c:pt idx="8">
                  <c:v>8.8200000000000014E-2</c:v>
                </c:pt>
                <c:pt idx="9">
                  <c:v>9.580000000000001E-2</c:v>
                </c:pt>
                <c:pt idx="10">
                  <c:v>0.10340000000000001</c:v>
                </c:pt>
                <c:pt idx="11">
                  <c:v>0.111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A7-4A6C-BFD9-77C666A28B74}"/>
            </c:ext>
          </c:extLst>
        </c:ser>
        <c:ser>
          <c:idx val="3"/>
          <c:order val="3"/>
          <c:tx>
            <c:strRef>
              <c:f>'Diversification Benefit'!$H$35</c:f>
              <c:strCache>
                <c:ptCount val="1"/>
                <c:pt idx="0">
                  <c:v>Correlation = -.71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'Diversification Benefit'!$H$36:$H$47</c:f>
              <c:numCache>
                <c:formatCode>0.0%</c:formatCode>
                <c:ptCount val="12"/>
                <c:pt idx="0">
                  <c:v>8.5000000000000006E-2</c:v>
                </c:pt>
                <c:pt idx="1">
                  <c:v>6.2985236365357883E-2</c:v>
                </c:pt>
                <c:pt idx="2">
                  <c:v>4.8161810597194134E-2</c:v>
                </c:pt>
                <c:pt idx="3">
                  <c:v>4.6554935748336669E-2</c:v>
                </c:pt>
                <c:pt idx="4">
                  <c:v>4.7773004929562463E-2</c:v>
                </c:pt>
                <c:pt idx="5">
                  <c:v>6.2090578995528806E-2</c:v>
                </c:pt>
                <c:pt idx="6">
                  <c:v>8.3895768665648462E-2</c:v>
                </c:pt>
                <c:pt idx="7">
                  <c:v>0.10877518099272464</c:v>
                </c:pt>
                <c:pt idx="8">
                  <c:v>0.13504021623205437</c:v>
                </c:pt>
                <c:pt idx="9">
                  <c:v>0.16201839401746951</c:v>
                </c:pt>
                <c:pt idx="10">
                  <c:v>0.18940522696060952</c:v>
                </c:pt>
                <c:pt idx="11">
                  <c:v>0.21704607805717199</c:v>
                </c:pt>
              </c:numCache>
            </c:numRef>
          </c:xVal>
          <c:yVal>
            <c:numRef>
              <c:f>'Diversification Benefit'!$D$36:$D$47</c:f>
              <c:numCache>
                <c:formatCode>0.0%</c:formatCode>
                <c:ptCount val="12"/>
                <c:pt idx="0">
                  <c:v>3.500000000000001E-2</c:v>
                </c:pt>
                <c:pt idx="1">
                  <c:v>4.2600000000000013E-2</c:v>
                </c:pt>
                <c:pt idx="2">
                  <c:v>5.0200000000000015E-2</c:v>
                </c:pt>
                <c:pt idx="3">
                  <c:v>5.6387465255474167E-2</c:v>
                </c:pt>
                <c:pt idx="4">
                  <c:v>5.7800000000000018E-2</c:v>
                </c:pt>
                <c:pt idx="5">
                  <c:v>6.5400000000000014E-2</c:v>
                </c:pt>
                <c:pt idx="6">
                  <c:v>7.3000000000000009E-2</c:v>
                </c:pt>
                <c:pt idx="7">
                  <c:v>8.0600000000000005E-2</c:v>
                </c:pt>
                <c:pt idx="8">
                  <c:v>8.8200000000000014E-2</c:v>
                </c:pt>
                <c:pt idx="9">
                  <c:v>9.580000000000001E-2</c:v>
                </c:pt>
                <c:pt idx="10">
                  <c:v>0.10340000000000001</c:v>
                </c:pt>
                <c:pt idx="11">
                  <c:v>0.111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A7-4A6C-BFD9-77C666A28B74}"/>
            </c:ext>
          </c:extLst>
        </c:ser>
        <c:ser>
          <c:idx val="4"/>
          <c:order val="4"/>
          <c:tx>
            <c:strRef>
              <c:f>'Diversification Benefit'!$I$35</c:f>
              <c:strCache>
                <c:ptCount val="1"/>
                <c:pt idx="0">
                  <c:v>Correlation = -1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'Diversification Benefit'!$I$36:$I$47</c:f>
              <c:numCache>
                <c:formatCode>0.0%</c:formatCode>
                <c:ptCount val="12"/>
                <c:pt idx="0">
                  <c:v>8.5000000000000006E-2</c:v>
                </c:pt>
                <c:pt idx="1">
                  <c:v>5.479539219428281E-2</c:v>
                </c:pt>
                <c:pt idx="2">
                  <c:v>2.4590784388565611E-2</c:v>
                </c:pt>
                <c:pt idx="3">
                  <c:v>1.3170890159654386E-9</c:v>
                </c:pt>
                <c:pt idx="4">
                  <c:v>5.6138234171516262E-3</c:v>
                </c:pt>
                <c:pt idx="5">
                  <c:v>3.5818431222868825E-2</c:v>
                </c:pt>
                <c:pt idx="6">
                  <c:v>6.6023039028586014E-2</c:v>
                </c:pt>
                <c:pt idx="7">
                  <c:v>9.622764683430321E-2</c:v>
                </c:pt>
                <c:pt idx="8">
                  <c:v>0.12643225464002039</c:v>
                </c:pt>
                <c:pt idx="9">
                  <c:v>0.1566368624457376</c:v>
                </c:pt>
                <c:pt idx="10">
                  <c:v>0.18684147025145481</c:v>
                </c:pt>
                <c:pt idx="11">
                  <c:v>0.21704607805717199</c:v>
                </c:pt>
              </c:numCache>
            </c:numRef>
          </c:xVal>
          <c:yVal>
            <c:numRef>
              <c:f>'Diversification Benefit'!$D$36:$D$47</c:f>
              <c:numCache>
                <c:formatCode>0.0%</c:formatCode>
                <c:ptCount val="12"/>
                <c:pt idx="0">
                  <c:v>3.500000000000001E-2</c:v>
                </c:pt>
                <c:pt idx="1">
                  <c:v>4.2600000000000013E-2</c:v>
                </c:pt>
                <c:pt idx="2">
                  <c:v>5.0200000000000015E-2</c:v>
                </c:pt>
                <c:pt idx="3">
                  <c:v>5.6387465255474167E-2</c:v>
                </c:pt>
                <c:pt idx="4">
                  <c:v>5.7800000000000018E-2</c:v>
                </c:pt>
                <c:pt idx="5">
                  <c:v>6.5400000000000014E-2</c:v>
                </c:pt>
                <c:pt idx="6">
                  <c:v>7.3000000000000009E-2</c:v>
                </c:pt>
                <c:pt idx="7">
                  <c:v>8.0600000000000005E-2</c:v>
                </c:pt>
                <c:pt idx="8">
                  <c:v>8.8200000000000014E-2</c:v>
                </c:pt>
                <c:pt idx="9">
                  <c:v>9.580000000000001E-2</c:v>
                </c:pt>
                <c:pt idx="10">
                  <c:v>0.10340000000000001</c:v>
                </c:pt>
                <c:pt idx="11">
                  <c:v>0.111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A7-4A6C-BFD9-77C666A28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549536"/>
        <c:axId val="632549864"/>
      </c:scatterChart>
      <c:valAx>
        <c:axId val="63254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AU" sz="140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Portfolio Standard Deviation %</a:t>
                </a:r>
              </a:p>
            </c:rich>
          </c:tx>
          <c:layout>
            <c:manualLayout>
              <c:xMode val="edge"/>
              <c:yMode val="edge"/>
              <c:x val="0.34295648972466558"/>
              <c:y val="0.81874837326003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49864"/>
        <c:crosses val="autoZero"/>
        <c:crossBetween val="midCat"/>
      </c:valAx>
      <c:valAx>
        <c:axId val="63254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 sz="140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Portfolio Expected</a:t>
                </a:r>
                <a:r>
                  <a:rPr lang="en-US" sz="1400" b="1" baseline="0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 Return %</a:t>
                </a:r>
                <a:endParaRPr lang="en-US" sz="1400" b="1"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endParaRPr>
              </a:p>
            </c:rich>
          </c:tx>
          <c:layout>
            <c:manualLayout>
              <c:xMode val="edge"/>
              <c:yMode val="edge"/>
              <c:x val="1.9529539898603124E-2"/>
              <c:y val="0.27515704251813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4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993645204646956"/>
          <c:y val="0.89173050695911504"/>
          <c:w val="0.72450348338338788"/>
          <c:h val="0.10297191847491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51</xdr:row>
      <xdr:rowOff>63101</xdr:rowOff>
    </xdr:from>
    <xdr:to>
      <xdr:col>8</xdr:col>
      <xdr:colOff>1678782</xdr:colOff>
      <xdr:row>81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080C12-0D91-4775-A8BB-527582892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showGridLines="0" topLeftCell="A31" zoomScale="80" zoomScaleNormal="80" zoomScalePageLayoutView="150" workbookViewId="0">
      <selection activeCell="E5" sqref="E5"/>
    </sheetView>
  </sheetViews>
  <sheetFormatPr defaultColWidth="28.28515625" defaultRowHeight="15" x14ac:dyDescent="0.2"/>
  <cols>
    <col min="1" max="4" width="37.140625" style="1" customWidth="1"/>
    <col min="5" max="7" width="31.85546875" style="1" customWidth="1"/>
    <col min="8" max="16384" width="28.28515625" style="1"/>
  </cols>
  <sheetData>
    <row r="1" spans="1:4" ht="15.75" thickBot="1" x14ac:dyDescent="0.25"/>
    <row r="2" spans="1:4" ht="20.25" thickBot="1" x14ac:dyDescent="0.3">
      <c r="A2" s="2" t="s">
        <v>68</v>
      </c>
      <c r="B2" s="8"/>
      <c r="C2" s="8"/>
      <c r="D2" s="3"/>
    </row>
    <row r="4" spans="1:4" x14ac:dyDescent="0.2">
      <c r="A4" s="1" t="s">
        <v>36</v>
      </c>
    </row>
    <row r="5" spans="1:4" x14ac:dyDescent="0.2">
      <c r="A5" s="1" t="s">
        <v>9</v>
      </c>
    </row>
    <row r="6" spans="1:4" x14ac:dyDescent="0.2">
      <c r="A6" s="1" t="s">
        <v>10</v>
      </c>
    </row>
    <row r="8" spans="1:4" ht="18" x14ac:dyDescent="0.25">
      <c r="A8" s="47" t="s">
        <v>15</v>
      </c>
    </row>
    <row r="9" spans="1:4" x14ac:dyDescent="0.2">
      <c r="A9" s="10"/>
    </row>
    <row r="10" spans="1:4" ht="15.75" thickBot="1" x14ac:dyDescent="0.25">
      <c r="A10" s="1" t="s">
        <v>14</v>
      </c>
    </row>
    <row r="11" spans="1:4" ht="15.75" thickBot="1" x14ac:dyDescent="0.25">
      <c r="A11" s="1" t="s">
        <v>35</v>
      </c>
      <c r="C11" s="50" t="s">
        <v>6</v>
      </c>
      <c r="D11" s="22">
        <f>SUMPRODUCT(B17:B20,C17:C20)</f>
        <v>0.11100000000000002</v>
      </c>
    </row>
    <row r="12" spans="1:4" x14ac:dyDescent="0.2">
      <c r="D12" s="11"/>
    </row>
    <row r="13" spans="1:4" ht="15.75" thickBot="1" x14ac:dyDescent="0.25">
      <c r="B13" s="24"/>
      <c r="C13" s="24"/>
      <c r="D13" s="24"/>
    </row>
    <row r="14" spans="1:4" x14ac:dyDescent="0.2">
      <c r="A14" s="4"/>
      <c r="B14" s="4" t="s">
        <v>13</v>
      </c>
      <c r="C14" s="4" t="s">
        <v>16</v>
      </c>
      <c r="D14" s="28" t="s">
        <v>18</v>
      </c>
    </row>
    <row r="15" spans="1:4" x14ac:dyDescent="0.2">
      <c r="A15" s="7" t="s">
        <v>11</v>
      </c>
      <c r="B15" s="7" t="s">
        <v>0</v>
      </c>
      <c r="C15" s="7" t="s">
        <v>12</v>
      </c>
      <c r="D15" s="29" t="s">
        <v>6</v>
      </c>
    </row>
    <row r="16" spans="1:4" ht="32.1" customHeight="1" thickBot="1" x14ac:dyDescent="0.25">
      <c r="A16" s="5"/>
      <c r="B16" s="33" t="s">
        <v>17</v>
      </c>
      <c r="C16" s="33" t="s">
        <v>17</v>
      </c>
      <c r="D16" s="38" t="s">
        <v>34</v>
      </c>
    </row>
    <row r="17" spans="1:10" x14ac:dyDescent="0.2">
      <c r="A17" s="15" t="s">
        <v>1</v>
      </c>
      <c r="B17" s="51">
        <v>0.25</v>
      </c>
      <c r="C17" s="52">
        <v>0.33</v>
      </c>
      <c r="D17" s="20">
        <f t="shared" ref="D17:D20" si="0">B17*C17</f>
        <v>8.2500000000000004E-2</v>
      </c>
    </row>
    <row r="18" spans="1:10" x14ac:dyDescent="0.2">
      <c r="A18" s="15" t="s">
        <v>2</v>
      </c>
      <c r="B18" s="51">
        <v>0.45</v>
      </c>
      <c r="C18" s="52">
        <v>0.18</v>
      </c>
      <c r="D18" s="20">
        <f t="shared" si="0"/>
        <v>8.1000000000000003E-2</v>
      </c>
    </row>
    <row r="19" spans="1:10" x14ac:dyDescent="0.2">
      <c r="A19" s="15" t="s">
        <v>3</v>
      </c>
      <c r="B19" s="51">
        <v>0.25</v>
      </c>
      <c r="C19" s="52">
        <v>-0.1</v>
      </c>
      <c r="D19" s="20">
        <f t="shared" si="0"/>
        <v>-2.5000000000000001E-2</v>
      </c>
    </row>
    <row r="20" spans="1:10" ht="15.75" thickBot="1" x14ac:dyDescent="0.25">
      <c r="A20" s="18" t="s">
        <v>4</v>
      </c>
      <c r="B20" s="53">
        <v>0.05</v>
      </c>
      <c r="C20" s="54">
        <v>-0.55000000000000004</v>
      </c>
      <c r="D20" s="21">
        <f t="shared" si="0"/>
        <v>-2.7500000000000004E-2</v>
      </c>
    </row>
    <row r="21" spans="1:10" s="6" customFormat="1" ht="16.5" thickTop="1" thickBot="1" x14ac:dyDescent="0.25">
      <c r="A21" s="16" t="s">
        <v>5</v>
      </c>
      <c r="B21" s="17">
        <f>SUM(B17:B20)</f>
        <v>1</v>
      </c>
      <c r="C21" s="37"/>
      <c r="D21" s="13">
        <f>SUM(D17:D20)</f>
        <v>0.11100000000000002</v>
      </c>
      <c r="E21" s="46" t="s">
        <v>6</v>
      </c>
      <c r="F21" s="1"/>
      <c r="G21" s="1"/>
      <c r="H21" s="1"/>
      <c r="I21" s="1"/>
      <c r="J21" s="1"/>
    </row>
    <row r="24" spans="1:10" ht="18" x14ac:dyDescent="0.25">
      <c r="A24" s="47" t="s">
        <v>24</v>
      </c>
    </row>
    <row r="26" spans="1:10" ht="15.75" thickBot="1" x14ac:dyDescent="0.25">
      <c r="A26" s="1" t="s">
        <v>37</v>
      </c>
    </row>
    <row r="27" spans="1:10" ht="15.75" thickBot="1" x14ac:dyDescent="0.25">
      <c r="A27" s="1" t="s">
        <v>33</v>
      </c>
      <c r="C27" s="49" t="s">
        <v>7</v>
      </c>
      <c r="D27" s="40">
        <f>SUMPRODUCT(B33:B36,F33:F36)</f>
        <v>4.7109000000000005E-2</v>
      </c>
    </row>
    <row r="29" spans="1:10" ht="15.75" thickBot="1" x14ac:dyDescent="0.25">
      <c r="B29" s="24"/>
      <c r="C29" s="24"/>
      <c r="D29" s="24"/>
      <c r="E29" s="24"/>
    </row>
    <row r="30" spans="1:10" x14ac:dyDescent="0.2">
      <c r="A30" s="4"/>
      <c r="B30" s="4" t="s">
        <v>13</v>
      </c>
      <c r="C30" s="14" t="s">
        <v>16</v>
      </c>
      <c r="D30" s="12" t="s">
        <v>18</v>
      </c>
      <c r="E30" s="32" t="s">
        <v>20</v>
      </c>
      <c r="F30" s="32" t="s">
        <v>22</v>
      </c>
      <c r="G30" s="12" t="s">
        <v>28</v>
      </c>
    </row>
    <row r="31" spans="1:10" ht="30" x14ac:dyDescent="0.2">
      <c r="A31" s="36" t="s">
        <v>11</v>
      </c>
      <c r="B31" s="7" t="s">
        <v>0</v>
      </c>
      <c r="C31" s="7" t="s">
        <v>12</v>
      </c>
      <c r="D31" s="31" t="s">
        <v>6</v>
      </c>
      <c r="E31" s="30" t="s">
        <v>19</v>
      </c>
      <c r="F31" s="30" t="s">
        <v>21</v>
      </c>
      <c r="G31" s="39" t="s">
        <v>23</v>
      </c>
    </row>
    <row r="32" spans="1:10" ht="29.1" customHeight="1" thickBot="1" x14ac:dyDescent="0.25">
      <c r="A32" s="5"/>
      <c r="B32" s="33" t="s">
        <v>17</v>
      </c>
      <c r="C32" s="33" t="s">
        <v>17</v>
      </c>
      <c r="D32" s="34" t="s">
        <v>29</v>
      </c>
      <c r="E32" s="35" t="s">
        <v>30</v>
      </c>
      <c r="F32" s="35" t="s">
        <v>31</v>
      </c>
      <c r="G32" s="34" t="s">
        <v>32</v>
      </c>
    </row>
    <row r="33" spans="1:8" x14ac:dyDescent="0.2">
      <c r="A33" s="15" t="s">
        <v>1</v>
      </c>
      <c r="B33" s="51">
        <f t="shared" ref="B33:C36" si="1">B17</f>
        <v>0.25</v>
      </c>
      <c r="C33" s="55">
        <f t="shared" si="1"/>
        <v>0.33</v>
      </c>
      <c r="D33" s="26">
        <f>$D$11</f>
        <v>0.11100000000000002</v>
      </c>
      <c r="E33" s="41">
        <f>C33-D33</f>
        <v>0.219</v>
      </c>
      <c r="F33" s="42">
        <f>E33^2</f>
        <v>4.7960999999999997E-2</v>
      </c>
      <c r="G33" s="23">
        <f>F33*B33</f>
        <v>1.1990249999999999E-2</v>
      </c>
    </row>
    <row r="34" spans="1:8" x14ac:dyDescent="0.2">
      <c r="A34" s="15" t="s">
        <v>2</v>
      </c>
      <c r="B34" s="51">
        <f t="shared" si="1"/>
        <v>0.45</v>
      </c>
      <c r="C34" s="55">
        <f t="shared" si="1"/>
        <v>0.18</v>
      </c>
      <c r="D34" s="26">
        <f t="shared" ref="D34:D36" si="2">$D$11</f>
        <v>0.11100000000000002</v>
      </c>
      <c r="E34" s="41">
        <f t="shared" ref="E34:E36" si="3">C34-D34</f>
        <v>6.8999999999999978E-2</v>
      </c>
      <c r="F34" s="42">
        <f t="shared" ref="F34:F36" si="4">E34^2</f>
        <v>4.760999999999997E-3</v>
      </c>
      <c r="G34" s="23">
        <f t="shared" ref="G34:G36" si="5">F34*B34</f>
        <v>2.1424499999999989E-3</v>
      </c>
    </row>
    <row r="35" spans="1:8" x14ac:dyDescent="0.2">
      <c r="A35" s="15" t="s">
        <v>3</v>
      </c>
      <c r="B35" s="51">
        <f t="shared" si="1"/>
        <v>0.25</v>
      </c>
      <c r="C35" s="55">
        <f t="shared" si="1"/>
        <v>-0.1</v>
      </c>
      <c r="D35" s="26">
        <f t="shared" si="2"/>
        <v>0.11100000000000002</v>
      </c>
      <c r="E35" s="41">
        <f t="shared" si="3"/>
        <v>-0.21100000000000002</v>
      </c>
      <c r="F35" s="42">
        <f t="shared" si="4"/>
        <v>4.4521000000000012E-2</v>
      </c>
      <c r="G35" s="23">
        <f t="shared" si="5"/>
        <v>1.1130250000000003E-2</v>
      </c>
    </row>
    <row r="36" spans="1:8" ht="15.75" thickBot="1" x14ac:dyDescent="0.25">
      <c r="A36" s="18" t="s">
        <v>4</v>
      </c>
      <c r="B36" s="53">
        <f t="shared" si="1"/>
        <v>0.05</v>
      </c>
      <c r="C36" s="56">
        <f t="shared" si="1"/>
        <v>-0.55000000000000004</v>
      </c>
      <c r="D36" s="27">
        <f t="shared" si="2"/>
        <v>0.11100000000000002</v>
      </c>
      <c r="E36" s="43">
        <f t="shared" si="3"/>
        <v>-0.66100000000000003</v>
      </c>
      <c r="F36" s="44">
        <f t="shared" si="4"/>
        <v>0.43692100000000006</v>
      </c>
      <c r="G36" s="25">
        <f t="shared" si="5"/>
        <v>2.1846050000000006E-2</v>
      </c>
    </row>
    <row r="37" spans="1:8" ht="16.5" thickTop="1" thickBot="1" x14ac:dyDescent="0.25">
      <c r="A37" s="16" t="s">
        <v>5</v>
      </c>
      <c r="B37" s="17">
        <f>SUM(B33:B36)</f>
        <v>1</v>
      </c>
      <c r="C37" s="19"/>
      <c r="D37" s="13"/>
      <c r="E37" s="45"/>
      <c r="F37" s="45"/>
      <c r="G37" s="13">
        <f>SUM(G33:G36)</f>
        <v>4.7109000000000005E-2</v>
      </c>
      <c r="H37" s="46" t="s">
        <v>7</v>
      </c>
    </row>
    <row r="40" spans="1:8" ht="18" x14ac:dyDescent="0.25">
      <c r="A40" s="47" t="s">
        <v>25</v>
      </c>
    </row>
    <row r="42" spans="1:8" ht="15.75" thickBot="1" x14ac:dyDescent="0.25">
      <c r="A42" s="1" t="s">
        <v>26</v>
      </c>
    </row>
    <row r="43" spans="1:8" ht="15.75" thickBot="1" x14ac:dyDescent="0.25">
      <c r="A43" s="1" t="s">
        <v>38</v>
      </c>
      <c r="C43" s="50" t="s">
        <v>8</v>
      </c>
      <c r="D43" s="40">
        <f>SQRT(G37)</f>
        <v>0.21704607805717202</v>
      </c>
      <c r="E43" s="9" t="s">
        <v>27</v>
      </c>
      <c r="F43" s="48">
        <f>D43</f>
        <v>0.21704607805717202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showGridLines="0" topLeftCell="A13" zoomScale="84" zoomScaleNormal="84" zoomScalePageLayoutView="150" workbookViewId="0">
      <selection activeCell="E35" sqref="E35"/>
    </sheetView>
  </sheetViews>
  <sheetFormatPr defaultColWidth="28.28515625" defaultRowHeight="15" x14ac:dyDescent="0.2"/>
  <cols>
    <col min="1" max="4" width="37.140625" style="1" customWidth="1"/>
    <col min="5" max="7" width="31.85546875" style="1" customWidth="1"/>
    <col min="8" max="16384" width="28.28515625" style="1"/>
  </cols>
  <sheetData>
    <row r="1" spans="1:4" ht="15.75" thickBot="1" x14ac:dyDescent="0.25"/>
    <row r="2" spans="1:4" ht="20.25" thickBot="1" x14ac:dyDescent="0.3">
      <c r="A2" s="2" t="s">
        <v>50</v>
      </c>
      <c r="B2" s="8"/>
      <c r="C2" s="8"/>
      <c r="D2" s="3"/>
    </row>
    <row r="4" spans="1:4" x14ac:dyDescent="0.2">
      <c r="A4" s="1" t="s">
        <v>36</v>
      </c>
    </row>
    <row r="5" spans="1:4" x14ac:dyDescent="0.2">
      <c r="A5" s="1" t="s">
        <v>9</v>
      </c>
    </row>
    <row r="6" spans="1:4" x14ac:dyDescent="0.2">
      <c r="A6" s="1" t="s">
        <v>10</v>
      </c>
    </row>
    <row r="8" spans="1:4" ht="18" x14ac:dyDescent="0.25">
      <c r="A8" s="47" t="s">
        <v>15</v>
      </c>
    </row>
    <row r="9" spans="1:4" x14ac:dyDescent="0.2">
      <c r="A9" s="10"/>
    </row>
    <row r="10" spans="1:4" ht="15.75" thickBot="1" x14ac:dyDescent="0.25">
      <c r="A10" s="1" t="s">
        <v>14</v>
      </c>
    </row>
    <row r="11" spans="1:4" ht="15.75" thickBot="1" x14ac:dyDescent="0.25">
      <c r="A11" s="1" t="s">
        <v>35</v>
      </c>
      <c r="C11" s="50" t="s">
        <v>6</v>
      </c>
      <c r="D11" s="22">
        <f>SUMPRODUCT(B17:B20,C17:C20)</f>
        <v>3.500000000000001E-2</v>
      </c>
    </row>
    <row r="12" spans="1:4" x14ac:dyDescent="0.2">
      <c r="D12" s="11"/>
    </row>
    <row r="13" spans="1:4" ht="15.75" thickBot="1" x14ac:dyDescent="0.25">
      <c r="B13" s="24"/>
      <c r="C13" s="24"/>
      <c r="D13" s="24"/>
    </row>
    <row r="14" spans="1:4" x14ac:dyDescent="0.2">
      <c r="A14" s="4"/>
      <c r="B14" s="4" t="s">
        <v>13</v>
      </c>
      <c r="C14" s="4" t="s">
        <v>16</v>
      </c>
      <c r="D14" s="28" t="s">
        <v>18</v>
      </c>
    </row>
    <row r="15" spans="1:4" x14ac:dyDescent="0.2">
      <c r="A15" s="7" t="s">
        <v>11</v>
      </c>
      <c r="B15" s="7" t="s">
        <v>0</v>
      </c>
      <c r="C15" s="7" t="s">
        <v>12</v>
      </c>
      <c r="D15" s="29" t="s">
        <v>6</v>
      </c>
    </row>
    <row r="16" spans="1:4" ht="32.1" customHeight="1" thickBot="1" x14ac:dyDescent="0.25">
      <c r="A16" s="5"/>
      <c r="B16" s="33" t="s">
        <v>17</v>
      </c>
      <c r="C16" s="33" t="s">
        <v>17</v>
      </c>
      <c r="D16" s="38" t="s">
        <v>34</v>
      </c>
    </row>
    <row r="17" spans="1:10" x14ac:dyDescent="0.2">
      <c r="A17" s="15" t="s">
        <v>1</v>
      </c>
      <c r="B17" s="51">
        <v>0.25</v>
      </c>
      <c r="C17" s="52">
        <v>-0.11</v>
      </c>
      <c r="D17" s="20">
        <f t="shared" ref="D17:D20" si="0">B17*C17</f>
        <v>-2.75E-2</v>
      </c>
    </row>
    <row r="18" spans="1:10" x14ac:dyDescent="0.2">
      <c r="A18" s="15" t="s">
        <v>2</v>
      </c>
      <c r="B18" s="51">
        <v>0.45</v>
      </c>
      <c r="C18" s="52">
        <v>7.0000000000000007E-2</v>
      </c>
      <c r="D18" s="20">
        <f t="shared" si="0"/>
        <v>3.1500000000000007E-2</v>
      </c>
    </row>
    <row r="19" spans="1:10" x14ac:dyDescent="0.2">
      <c r="A19" s="15" t="s">
        <v>3</v>
      </c>
      <c r="B19" s="51">
        <v>0.25</v>
      </c>
      <c r="C19" s="52">
        <v>0.1</v>
      </c>
      <c r="D19" s="20">
        <f t="shared" si="0"/>
        <v>2.5000000000000001E-2</v>
      </c>
    </row>
    <row r="20" spans="1:10" ht="15.75" thickBot="1" x14ac:dyDescent="0.25">
      <c r="A20" s="18" t="s">
        <v>4</v>
      </c>
      <c r="B20" s="53">
        <v>0.05</v>
      </c>
      <c r="C20" s="54">
        <v>0.12</v>
      </c>
      <c r="D20" s="21">
        <f t="shared" si="0"/>
        <v>6.0000000000000001E-3</v>
      </c>
    </row>
    <row r="21" spans="1:10" s="6" customFormat="1" ht="16.5" thickTop="1" thickBot="1" x14ac:dyDescent="0.25">
      <c r="A21" s="16" t="s">
        <v>5</v>
      </c>
      <c r="B21" s="17">
        <f>SUM(B17:B20)</f>
        <v>1</v>
      </c>
      <c r="C21" s="37"/>
      <c r="D21" s="13">
        <f>SUM(D17:D20)</f>
        <v>3.500000000000001E-2</v>
      </c>
      <c r="E21" s="46" t="s">
        <v>6</v>
      </c>
      <c r="F21" s="1"/>
      <c r="G21" s="1"/>
      <c r="H21" s="1"/>
      <c r="I21" s="1"/>
      <c r="J21" s="1"/>
    </row>
    <row r="24" spans="1:10" ht="18" x14ac:dyDescent="0.25">
      <c r="A24" s="47" t="s">
        <v>24</v>
      </c>
    </row>
    <row r="26" spans="1:10" ht="15.75" thickBot="1" x14ac:dyDescent="0.25">
      <c r="A26" s="1" t="s">
        <v>37</v>
      </c>
    </row>
    <row r="27" spans="1:10" ht="15.75" thickBot="1" x14ac:dyDescent="0.25">
      <c r="A27" s="1" t="s">
        <v>33</v>
      </c>
      <c r="C27" s="49" t="s">
        <v>7</v>
      </c>
      <c r="D27" s="40">
        <f>SUMPRODUCT(B33:B36,F33:F36)</f>
        <v>7.2250000000000005E-3</v>
      </c>
    </row>
    <row r="29" spans="1:10" ht="15.75" thickBot="1" x14ac:dyDescent="0.25">
      <c r="B29" s="24"/>
      <c r="C29" s="24"/>
      <c r="D29" s="24"/>
      <c r="E29" s="24"/>
    </row>
    <row r="30" spans="1:10" x14ac:dyDescent="0.2">
      <c r="A30" s="4"/>
      <c r="B30" s="4" t="s">
        <v>13</v>
      </c>
      <c r="C30" s="14" t="s">
        <v>16</v>
      </c>
      <c r="D30" s="12" t="s">
        <v>18</v>
      </c>
      <c r="E30" s="32" t="s">
        <v>20</v>
      </c>
      <c r="F30" s="32" t="s">
        <v>22</v>
      </c>
      <c r="G30" s="12" t="s">
        <v>28</v>
      </c>
    </row>
    <row r="31" spans="1:10" ht="30" x14ac:dyDescent="0.2">
      <c r="A31" s="36" t="s">
        <v>11</v>
      </c>
      <c r="B31" s="7" t="s">
        <v>0</v>
      </c>
      <c r="C31" s="7" t="s">
        <v>12</v>
      </c>
      <c r="D31" s="31" t="s">
        <v>6</v>
      </c>
      <c r="E31" s="30" t="s">
        <v>19</v>
      </c>
      <c r="F31" s="30" t="s">
        <v>21</v>
      </c>
      <c r="G31" s="39" t="s">
        <v>23</v>
      </c>
    </row>
    <row r="32" spans="1:10" ht="29.1" customHeight="1" thickBot="1" x14ac:dyDescent="0.25">
      <c r="A32" s="5"/>
      <c r="B32" s="33" t="s">
        <v>17</v>
      </c>
      <c r="C32" s="33" t="s">
        <v>17</v>
      </c>
      <c r="D32" s="34" t="s">
        <v>29</v>
      </c>
      <c r="E32" s="35" t="s">
        <v>30</v>
      </c>
      <c r="F32" s="35" t="s">
        <v>31</v>
      </c>
      <c r="G32" s="34" t="s">
        <v>32</v>
      </c>
    </row>
    <row r="33" spans="1:8" x14ac:dyDescent="0.2">
      <c r="A33" s="15" t="s">
        <v>1</v>
      </c>
      <c r="B33" s="51">
        <f t="shared" ref="B33:C36" si="1">B17</f>
        <v>0.25</v>
      </c>
      <c r="C33" s="55">
        <f t="shared" si="1"/>
        <v>-0.11</v>
      </c>
      <c r="D33" s="26">
        <f>$D$11</f>
        <v>3.500000000000001E-2</v>
      </c>
      <c r="E33" s="41">
        <f>C33-D33</f>
        <v>-0.14500000000000002</v>
      </c>
      <c r="F33" s="42">
        <f>E33^2</f>
        <v>2.1025000000000005E-2</v>
      </c>
      <c r="G33" s="23">
        <f>F33*B33</f>
        <v>5.2562500000000014E-3</v>
      </c>
    </row>
    <row r="34" spans="1:8" x14ac:dyDescent="0.2">
      <c r="A34" s="15" t="s">
        <v>2</v>
      </c>
      <c r="B34" s="51">
        <f t="shared" si="1"/>
        <v>0.45</v>
      </c>
      <c r="C34" s="55">
        <f t="shared" si="1"/>
        <v>7.0000000000000007E-2</v>
      </c>
      <c r="D34" s="26">
        <f t="shared" ref="D34:D36" si="2">$D$11</f>
        <v>3.500000000000001E-2</v>
      </c>
      <c r="E34" s="41">
        <f t="shared" ref="E34:E36" si="3">C34-D34</f>
        <v>3.4999999999999996E-2</v>
      </c>
      <c r="F34" s="42">
        <f t="shared" ref="F34:F36" si="4">E34^2</f>
        <v>1.2249999999999997E-3</v>
      </c>
      <c r="G34" s="23">
        <f t="shared" ref="G34:G36" si="5">F34*B34</f>
        <v>5.5124999999999987E-4</v>
      </c>
    </row>
    <row r="35" spans="1:8" x14ac:dyDescent="0.2">
      <c r="A35" s="15" t="s">
        <v>3</v>
      </c>
      <c r="B35" s="51">
        <f t="shared" si="1"/>
        <v>0.25</v>
      </c>
      <c r="C35" s="55">
        <f t="shared" si="1"/>
        <v>0.1</v>
      </c>
      <c r="D35" s="26">
        <f t="shared" si="2"/>
        <v>3.500000000000001E-2</v>
      </c>
      <c r="E35" s="41">
        <f t="shared" si="3"/>
        <v>6.5000000000000002E-2</v>
      </c>
      <c r="F35" s="42">
        <f t="shared" si="4"/>
        <v>4.2250000000000005E-3</v>
      </c>
      <c r="G35" s="23">
        <f t="shared" si="5"/>
        <v>1.0562500000000001E-3</v>
      </c>
    </row>
    <row r="36" spans="1:8" ht="15.75" thickBot="1" x14ac:dyDescent="0.25">
      <c r="A36" s="18" t="s">
        <v>4</v>
      </c>
      <c r="B36" s="53">
        <f t="shared" si="1"/>
        <v>0.05</v>
      </c>
      <c r="C36" s="56">
        <f t="shared" si="1"/>
        <v>0.12</v>
      </c>
      <c r="D36" s="27">
        <f t="shared" si="2"/>
        <v>3.500000000000001E-2</v>
      </c>
      <c r="E36" s="43">
        <f t="shared" si="3"/>
        <v>8.4999999999999992E-2</v>
      </c>
      <c r="F36" s="44">
        <f t="shared" si="4"/>
        <v>7.2249999999999988E-3</v>
      </c>
      <c r="G36" s="25">
        <f t="shared" si="5"/>
        <v>3.6124999999999997E-4</v>
      </c>
    </row>
    <row r="37" spans="1:8" ht="16.5" thickTop="1" thickBot="1" x14ac:dyDescent="0.25">
      <c r="A37" s="16" t="s">
        <v>5</v>
      </c>
      <c r="B37" s="17">
        <f>SUM(B33:B36)</f>
        <v>1</v>
      </c>
      <c r="C37" s="19"/>
      <c r="D37" s="13"/>
      <c r="E37" s="45"/>
      <c r="F37" s="45"/>
      <c r="G37" s="13">
        <f>SUM(G33:G36)</f>
        <v>7.2250000000000005E-3</v>
      </c>
      <c r="H37" s="46" t="s">
        <v>7</v>
      </c>
    </row>
    <row r="40" spans="1:8" ht="18" x14ac:dyDescent="0.25">
      <c r="A40" s="47" t="s">
        <v>25</v>
      </c>
    </row>
    <row r="42" spans="1:8" ht="15.75" thickBot="1" x14ac:dyDescent="0.25">
      <c r="A42" s="1" t="s">
        <v>26</v>
      </c>
    </row>
    <row r="43" spans="1:8" ht="15.75" thickBot="1" x14ac:dyDescent="0.25">
      <c r="A43" s="1" t="s">
        <v>38</v>
      </c>
      <c r="C43" s="50" t="s">
        <v>8</v>
      </c>
      <c r="D43" s="40">
        <f>SQRT(G37)</f>
        <v>8.5000000000000006E-2</v>
      </c>
      <c r="E43" s="9" t="s">
        <v>27</v>
      </c>
      <c r="F43" s="48">
        <f>D43</f>
        <v>8.5000000000000006E-2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13" zoomScale="82" zoomScaleNormal="82" zoomScalePageLayoutView="150" workbookViewId="0">
      <selection activeCell="A29" sqref="A29"/>
    </sheetView>
  </sheetViews>
  <sheetFormatPr defaultColWidth="28.28515625" defaultRowHeight="15" x14ac:dyDescent="0.2"/>
  <cols>
    <col min="1" max="1" width="41.28515625" style="1" customWidth="1"/>
    <col min="2" max="2" width="40.42578125" style="1" customWidth="1"/>
    <col min="3" max="4" width="39.42578125" style="1" customWidth="1"/>
    <col min="5" max="5" width="41.85546875" style="1" customWidth="1"/>
    <col min="6" max="7" width="31.85546875" style="1" customWidth="1"/>
    <col min="8" max="16384" width="28.28515625" style="1"/>
  </cols>
  <sheetData>
    <row r="1" spans="1:6" ht="15.75" thickBot="1" x14ac:dyDescent="0.25"/>
    <row r="2" spans="1:6" ht="20.25" thickBot="1" x14ac:dyDescent="0.3">
      <c r="A2" s="2" t="s">
        <v>69</v>
      </c>
      <c r="B2" s="8"/>
      <c r="C2" s="8"/>
      <c r="D2" s="3"/>
    </row>
    <row r="4" spans="1:6" x14ac:dyDescent="0.2">
      <c r="A4" s="57" t="s">
        <v>39</v>
      </c>
    </row>
    <row r="5" spans="1:6" x14ac:dyDescent="0.2">
      <c r="A5" s="1" t="s">
        <v>70</v>
      </c>
    </row>
    <row r="8" spans="1:6" ht="18" x14ac:dyDescent="0.25">
      <c r="A8" s="58" t="s">
        <v>49</v>
      </c>
    </row>
    <row r="9" spans="1:6" x14ac:dyDescent="0.2">
      <c r="A9" s="10"/>
    </row>
    <row r="10" spans="1:6" ht="15.75" thickBot="1" x14ac:dyDescent="0.25">
      <c r="A10" s="1" t="s">
        <v>51</v>
      </c>
    </row>
    <row r="11" spans="1:6" ht="15.75" thickBot="1" x14ac:dyDescent="0.25">
      <c r="A11" s="57" t="s">
        <v>43</v>
      </c>
      <c r="C11" s="65" t="s">
        <v>44</v>
      </c>
      <c r="D11" s="40">
        <f>SUMPRODUCT(B17:B20,C17:C20,D17:D20)</f>
        <v>-1.3090000000000001E-2</v>
      </c>
    </row>
    <row r="12" spans="1:6" ht="15.75" thickBot="1" x14ac:dyDescent="0.25">
      <c r="B12" s="67" t="s">
        <v>45</v>
      </c>
      <c r="C12" s="24"/>
      <c r="D12" s="40">
        <f>SUMPRODUCT(B17:B20,E17:E20)</f>
        <v>-1.3090000000000001E-2</v>
      </c>
      <c r="E12" s="24"/>
    </row>
    <row r="13" spans="1:6" ht="15.75" thickBot="1" x14ac:dyDescent="0.25">
      <c r="B13" s="24"/>
      <c r="C13" s="24"/>
      <c r="D13" s="24"/>
      <c r="E13" s="24"/>
    </row>
    <row r="14" spans="1:6" x14ac:dyDescent="0.2">
      <c r="A14" s="4"/>
      <c r="B14" s="4" t="s">
        <v>13</v>
      </c>
      <c r="C14" s="60" t="s">
        <v>16</v>
      </c>
      <c r="D14" s="60" t="s">
        <v>18</v>
      </c>
      <c r="E14" s="60" t="s">
        <v>20</v>
      </c>
      <c r="F14" s="64" t="s">
        <v>22</v>
      </c>
    </row>
    <row r="15" spans="1:6" ht="30" x14ac:dyDescent="0.2">
      <c r="A15" s="36" t="s">
        <v>11</v>
      </c>
      <c r="B15" s="7" t="s">
        <v>0</v>
      </c>
      <c r="C15" s="30" t="s">
        <v>71</v>
      </c>
      <c r="D15" s="30" t="s">
        <v>74</v>
      </c>
      <c r="E15" s="59" t="s">
        <v>46</v>
      </c>
      <c r="F15" s="62" t="s">
        <v>41</v>
      </c>
    </row>
    <row r="16" spans="1:6" ht="29.1" customHeight="1" thickBot="1" x14ac:dyDescent="0.25">
      <c r="A16" s="5"/>
      <c r="B16" s="33" t="s">
        <v>17</v>
      </c>
      <c r="C16" s="35" t="s">
        <v>72</v>
      </c>
      <c r="D16" s="35" t="s">
        <v>73</v>
      </c>
      <c r="E16" s="61" t="s">
        <v>40</v>
      </c>
      <c r="F16" s="63" t="s">
        <v>42</v>
      </c>
    </row>
    <row r="17" spans="1:7" x14ac:dyDescent="0.2">
      <c r="A17" s="15" t="s">
        <v>1</v>
      </c>
      <c r="B17" s="51">
        <f>Equities!B33</f>
        <v>0.25</v>
      </c>
      <c r="C17" s="41">
        <f>Equities!E33</f>
        <v>0.219</v>
      </c>
      <c r="D17" s="41">
        <f>Bonds!E33</f>
        <v>-0.14500000000000002</v>
      </c>
      <c r="E17" s="42">
        <f>C17*D17</f>
        <v>-3.1755000000000005E-2</v>
      </c>
      <c r="F17" s="23">
        <f>E17*B17</f>
        <v>-7.9387500000000014E-3</v>
      </c>
    </row>
    <row r="18" spans="1:7" x14ac:dyDescent="0.2">
      <c r="A18" s="15" t="s">
        <v>2</v>
      </c>
      <c r="B18" s="51">
        <f>Equities!B34</f>
        <v>0.45</v>
      </c>
      <c r="C18" s="41">
        <f>Equities!E34</f>
        <v>6.8999999999999978E-2</v>
      </c>
      <c r="D18" s="41">
        <f>Bonds!E34</f>
        <v>3.4999999999999996E-2</v>
      </c>
      <c r="E18" s="42">
        <f t="shared" ref="E18:E20" si="0">C18*D18</f>
        <v>2.4149999999999992E-3</v>
      </c>
      <c r="F18" s="23">
        <f>E18*B18</f>
        <v>1.0867499999999996E-3</v>
      </c>
    </row>
    <row r="19" spans="1:7" x14ac:dyDescent="0.2">
      <c r="A19" s="15" t="s">
        <v>3</v>
      </c>
      <c r="B19" s="51">
        <f>Equities!B35</f>
        <v>0.25</v>
      </c>
      <c r="C19" s="41">
        <f>Equities!E35</f>
        <v>-0.21100000000000002</v>
      </c>
      <c r="D19" s="41">
        <f>Bonds!E35</f>
        <v>6.5000000000000002E-2</v>
      </c>
      <c r="E19" s="42">
        <f t="shared" si="0"/>
        <v>-1.3715000000000001E-2</v>
      </c>
      <c r="F19" s="23">
        <f>E19*B19</f>
        <v>-3.4287500000000004E-3</v>
      </c>
    </row>
    <row r="20" spans="1:7" ht="15.75" thickBot="1" x14ac:dyDescent="0.25">
      <c r="A20" s="18" t="s">
        <v>4</v>
      </c>
      <c r="B20" s="53">
        <f>Equities!B20</f>
        <v>0.05</v>
      </c>
      <c r="C20" s="41">
        <f>Equities!E36</f>
        <v>-0.66100000000000003</v>
      </c>
      <c r="D20" s="41">
        <f>Bonds!E36</f>
        <v>8.4999999999999992E-2</v>
      </c>
      <c r="E20" s="42">
        <f t="shared" si="0"/>
        <v>-5.6184999999999999E-2</v>
      </c>
      <c r="F20" s="25">
        <f>E20*B20</f>
        <v>-2.8092500000000001E-3</v>
      </c>
    </row>
    <row r="21" spans="1:7" ht="16.5" thickTop="1" thickBot="1" x14ac:dyDescent="0.25">
      <c r="A21" s="16" t="s">
        <v>5</v>
      </c>
      <c r="B21" s="17">
        <f>SUM(B17:B20)</f>
        <v>1</v>
      </c>
      <c r="C21" s="45"/>
      <c r="D21" s="45"/>
      <c r="E21" s="45"/>
      <c r="F21" s="13">
        <f>SUM(F17:F20)</f>
        <v>-1.3090000000000001E-2</v>
      </c>
      <c r="G21" s="66" t="s">
        <v>44</v>
      </c>
    </row>
    <row r="24" spans="1:7" ht="18" x14ac:dyDescent="0.25">
      <c r="A24" s="58" t="s">
        <v>47</v>
      </c>
    </row>
    <row r="26" spans="1:7" ht="18.75" customHeight="1" x14ac:dyDescent="0.4">
      <c r="A26" s="69" t="s">
        <v>76</v>
      </c>
      <c r="B26" s="68">
        <f>Equities!D43</f>
        <v>0.21704607805717202</v>
      </c>
      <c r="C26" s="71" t="s">
        <v>75</v>
      </c>
    </row>
    <row r="27" spans="1:7" ht="18.75" customHeight="1" x14ac:dyDescent="0.4">
      <c r="A27" s="69" t="s">
        <v>77</v>
      </c>
      <c r="B27" s="68">
        <f>Bonds!D43</f>
        <v>8.5000000000000006E-2</v>
      </c>
      <c r="C27" s="71" t="s">
        <v>52</v>
      </c>
    </row>
    <row r="28" spans="1:7" ht="15.75" thickBot="1" x14ac:dyDescent="0.25">
      <c r="A28" s="57"/>
      <c r="B28" s="68"/>
    </row>
    <row r="29" spans="1:7" ht="25.5" thickBot="1" x14ac:dyDescent="0.5">
      <c r="A29" s="69" t="s">
        <v>78</v>
      </c>
      <c r="C29" s="70" t="s">
        <v>48</v>
      </c>
      <c r="D29" s="40">
        <f>F21/(B26*B27)</f>
        <v>-0.70952675753687167</v>
      </c>
      <c r="E29" s="9"/>
    </row>
  </sheetData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showGridLines="0" topLeftCell="A4" zoomScale="80" zoomScaleNormal="80" zoomScalePageLayoutView="150" workbookViewId="0">
      <selection activeCell="B25" sqref="B25"/>
    </sheetView>
  </sheetViews>
  <sheetFormatPr defaultColWidth="28.28515625" defaultRowHeight="15" x14ac:dyDescent="0.2"/>
  <cols>
    <col min="1" max="4" width="37.140625" style="1" customWidth="1"/>
    <col min="5" max="7" width="31.85546875" style="1" customWidth="1"/>
    <col min="8" max="16384" width="28.28515625" style="1"/>
  </cols>
  <sheetData>
    <row r="1" spans="1:4" ht="15.75" thickBot="1" x14ac:dyDescent="0.25"/>
    <row r="2" spans="1:4" ht="20.25" thickBot="1" x14ac:dyDescent="0.3">
      <c r="A2" s="2" t="s">
        <v>53</v>
      </c>
      <c r="B2" s="8"/>
      <c r="C2" s="8"/>
      <c r="D2" s="3"/>
    </row>
    <row r="5" spans="1:4" x14ac:dyDescent="0.2">
      <c r="A5" s="1" t="s">
        <v>82</v>
      </c>
      <c r="B5" s="72">
        <v>0.6</v>
      </c>
    </row>
    <row r="6" spans="1:4" x14ac:dyDescent="0.2">
      <c r="A6" s="1" t="s">
        <v>83</v>
      </c>
      <c r="B6" s="72">
        <f>1-B5</f>
        <v>0.4</v>
      </c>
    </row>
    <row r="8" spans="1:4" x14ac:dyDescent="0.2">
      <c r="A8" s="1" t="s">
        <v>54</v>
      </c>
      <c r="B8" s="73">
        <v>2.5000000000000001E-2</v>
      </c>
    </row>
    <row r="9" spans="1:4" x14ac:dyDescent="0.2">
      <c r="A9" s="10"/>
    </row>
    <row r="10" spans="1:4" x14ac:dyDescent="0.2">
      <c r="A10" s="10" t="s">
        <v>57</v>
      </c>
    </row>
    <row r="11" spans="1:4" x14ac:dyDescent="0.2">
      <c r="A11" s="10"/>
    </row>
    <row r="12" spans="1:4" x14ac:dyDescent="0.2">
      <c r="A12" s="1" t="s">
        <v>79</v>
      </c>
      <c r="B12" s="77">
        <f>Equities!D11-'Portfolio Return and Risk'!B8</f>
        <v>8.6000000000000021E-2</v>
      </c>
      <c r="C12" s="50"/>
    </row>
    <row r="13" spans="1:4" x14ac:dyDescent="0.2">
      <c r="A13" s="1" t="s">
        <v>80</v>
      </c>
      <c r="B13" s="77">
        <f>Equities!F43</f>
        <v>0.21704607805717202</v>
      </c>
      <c r="D13" s="11"/>
    </row>
    <row r="14" spans="1:4" x14ac:dyDescent="0.2">
      <c r="A14" s="1" t="s">
        <v>55</v>
      </c>
      <c r="B14" s="78">
        <f>B12/B13</f>
        <v>0.39622922823487644</v>
      </c>
      <c r="D14" s="11"/>
    </row>
    <row r="15" spans="1:4" x14ac:dyDescent="0.2">
      <c r="B15" s="79"/>
      <c r="D15" s="11"/>
    </row>
    <row r="16" spans="1:4" x14ac:dyDescent="0.2">
      <c r="A16" s="1" t="s">
        <v>56</v>
      </c>
      <c r="B16" s="77">
        <f>Bonds!D11-'Portfolio Return and Risk'!B8</f>
        <v>1.0000000000000009E-2</v>
      </c>
      <c r="D16" s="11"/>
    </row>
    <row r="17" spans="1:4" x14ac:dyDescent="0.2">
      <c r="A17" s="1" t="s">
        <v>81</v>
      </c>
      <c r="B17" s="77">
        <f>Bonds!F43</f>
        <v>8.5000000000000006E-2</v>
      </c>
      <c r="D17" s="11"/>
    </row>
    <row r="18" spans="1:4" x14ac:dyDescent="0.2">
      <c r="A18" s="1" t="s">
        <v>55</v>
      </c>
      <c r="B18" s="78">
        <f>B16/B17</f>
        <v>0.11764705882352951</v>
      </c>
      <c r="D18" s="11"/>
    </row>
    <row r="19" spans="1:4" x14ac:dyDescent="0.2">
      <c r="B19" s="74"/>
      <c r="D19" s="11"/>
    </row>
    <row r="20" spans="1:4" x14ac:dyDescent="0.2">
      <c r="B20" s="74"/>
      <c r="D20" s="11"/>
    </row>
    <row r="21" spans="1:4" x14ac:dyDescent="0.2">
      <c r="A21" s="10" t="s">
        <v>58</v>
      </c>
      <c r="D21" s="11"/>
    </row>
    <row r="22" spans="1:4" x14ac:dyDescent="0.2">
      <c r="A22" s="10"/>
      <c r="D22" s="11"/>
    </row>
    <row r="23" spans="1:4" x14ac:dyDescent="0.2">
      <c r="A23" s="1" t="s">
        <v>59</v>
      </c>
      <c r="B23" s="75">
        <f>B5*Equities!D11+'Portfolio Return and Risk'!B6*Bonds!D11</f>
        <v>8.0600000000000005E-2</v>
      </c>
      <c r="D23" s="11"/>
    </row>
    <row r="24" spans="1:4" x14ac:dyDescent="0.2">
      <c r="A24" s="1" t="s">
        <v>60</v>
      </c>
      <c r="B24" s="75">
        <f>B23-B8</f>
        <v>5.5600000000000004E-2</v>
      </c>
      <c r="D24" s="11"/>
    </row>
    <row r="25" spans="1:4" x14ac:dyDescent="0.2">
      <c r="A25" s="1" t="s">
        <v>61</v>
      </c>
      <c r="B25" s="76">
        <f>B5^2*Equities!D27+'Portfolio Return and Risk'!B6^2*Bonds!D27+2*B5*B6*'Covariance and Correlation'!D11</f>
        <v>1.1832040000000002E-2</v>
      </c>
      <c r="D25" s="11"/>
    </row>
    <row r="26" spans="1:4" x14ac:dyDescent="0.2">
      <c r="A26" s="1" t="s">
        <v>62</v>
      </c>
      <c r="B26" s="75">
        <f>SQRT(B25)</f>
        <v>0.10877518099272464</v>
      </c>
      <c r="D26" s="11"/>
    </row>
    <row r="27" spans="1:4" x14ac:dyDescent="0.2">
      <c r="A27" s="1" t="s">
        <v>55</v>
      </c>
      <c r="B27" s="76">
        <f>B24/B26</f>
        <v>0.51114601228490508</v>
      </c>
      <c r="D27" s="11"/>
    </row>
    <row r="28" spans="1:4" x14ac:dyDescent="0.2">
      <c r="B28" s="74"/>
      <c r="D28" s="11"/>
    </row>
    <row r="29" spans="1:4" x14ac:dyDescent="0.2">
      <c r="B29" s="74"/>
      <c r="D29" s="11"/>
    </row>
    <row r="30" spans="1:4" x14ac:dyDescent="0.2">
      <c r="B30" s="74"/>
      <c r="D30" s="11"/>
    </row>
    <row r="31" spans="1:4" ht="15.75" thickBot="1" x14ac:dyDescent="0.25"/>
    <row r="32" spans="1:4" ht="20.25" thickBot="1" x14ac:dyDescent="0.3">
      <c r="A32" s="2" t="s">
        <v>63</v>
      </c>
      <c r="B32" s="8"/>
      <c r="C32" s="8"/>
      <c r="D32" s="3"/>
    </row>
    <row r="35" spans="1:4" x14ac:dyDescent="0.2">
      <c r="A35" s="1" t="s">
        <v>84</v>
      </c>
      <c r="B35" s="80">
        <v>0.5</v>
      </c>
    </row>
    <row r="36" spans="1:4" x14ac:dyDescent="0.2">
      <c r="A36" s="1" t="s">
        <v>85</v>
      </c>
      <c r="B36" s="80">
        <f>1-B35</f>
        <v>0.5</v>
      </c>
    </row>
    <row r="37" spans="1:4" x14ac:dyDescent="0.2">
      <c r="A37" s="10"/>
    </row>
    <row r="38" spans="1:4" x14ac:dyDescent="0.2">
      <c r="A38" s="10" t="s">
        <v>57</v>
      </c>
    </row>
    <row r="39" spans="1:4" x14ac:dyDescent="0.2">
      <c r="A39" s="10"/>
    </row>
    <row r="40" spans="1:4" x14ac:dyDescent="0.2">
      <c r="A40" s="1" t="s">
        <v>64</v>
      </c>
      <c r="B40" s="80">
        <v>0.05</v>
      </c>
      <c r="C40" s="50"/>
    </row>
    <row r="41" spans="1:4" x14ac:dyDescent="0.2">
      <c r="A41" s="1" t="s">
        <v>65</v>
      </c>
      <c r="B41" s="80">
        <v>0.1</v>
      </c>
      <c r="D41" s="11"/>
    </row>
    <row r="42" spans="1:4" x14ac:dyDescent="0.2">
      <c r="A42" s="1" t="s">
        <v>55</v>
      </c>
      <c r="B42" s="78">
        <f>B40/B41</f>
        <v>0.5</v>
      </c>
      <c r="D42" s="11"/>
    </row>
    <row r="43" spans="1:4" x14ac:dyDescent="0.2">
      <c r="B43" s="79"/>
      <c r="D43" s="11"/>
    </row>
    <row r="44" spans="1:4" x14ac:dyDescent="0.2">
      <c r="A44" s="1" t="s">
        <v>66</v>
      </c>
      <c r="B44" s="80">
        <f>B40</f>
        <v>0.05</v>
      </c>
      <c r="D44" s="11"/>
    </row>
    <row r="45" spans="1:4" x14ac:dyDescent="0.2">
      <c r="A45" s="1" t="s">
        <v>67</v>
      </c>
      <c r="B45" s="80">
        <f>B41</f>
        <v>0.1</v>
      </c>
      <c r="D45" s="11"/>
    </row>
    <row r="46" spans="1:4" x14ac:dyDescent="0.2">
      <c r="A46" s="1" t="s">
        <v>55</v>
      </c>
      <c r="B46" s="78">
        <f>B44/B45</f>
        <v>0.5</v>
      </c>
      <c r="D46" s="11"/>
    </row>
    <row r="47" spans="1:4" x14ac:dyDescent="0.2">
      <c r="B47" s="79"/>
      <c r="D47" s="11"/>
    </row>
    <row r="48" spans="1:4" x14ac:dyDescent="0.2">
      <c r="A48" s="1" t="s">
        <v>48</v>
      </c>
      <c r="B48" s="81">
        <v>0.5</v>
      </c>
      <c r="D48" s="11"/>
    </row>
    <row r="49" spans="1:4" x14ac:dyDescent="0.2">
      <c r="A49" s="1" t="s">
        <v>44</v>
      </c>
      <c r="B49" s="78">
        <f>B48*B45*B41</f>
        <v>5.000000000000001E-3</v>
      </c>
      <c r="D49" s="11"/>
    </row>
    <row r="50" spans="1:4" x14ac:dyDescent="0.2">
      <c r="B50" s="74"/>
      <c r="D50" s="11"/>
    </row>
    <row r="51" spans="1:4" x14ac:dyDescent="0.2">
      <c r="B51" s="74"/>
      <c r="D51" s="11"/>
    </row>
    <row r="52" spans="1:4" x14ac:dyDescent="0.2">
      <c r="A52" s="10" t="s">
        <v>58</v>
      </c>
      <c r="D52" s="11"/>
    </row>
    <row r="53" spans="1:4" x14ac:dyDescent="0.2">
      <c r="A53" s="10"/>
      <c r="D53" s="11"/>
    </row>
    <row r="54" spans="1:4" x14ac:dyDescent="0.2">
      <c r="A54" s="1" t="s">
        <v>60</v>
      </c>
      <c r="B54" s="75">
        <f>B35*B40+B36*B44</f>
        <v>0.05</v>
      </c>
      <c r="D54" s="11"/>
    </row>
    <row r="55" spans="1:4" x14ac:dyDescent="0.2">
      <c r="A55" s="1" t="s">
        <v>62</v>
      </c>
      <c r="B55" s="75">
        <f>SQRT(B35^2*B41^2+B36^2*B45^2+2*B49*B35*B36)</f>
        <v>8.6602540378443879E-2</v>
      </c>
      <c r="D55" s="11"/>
    </row>
    <row r="56" spans="1:4" x14ac:dyDescent="0.2">
      <c r="A56" s="1" t="s">
        <v>55</v>
      </c>
      <c r="B56" s="76">
        <f>B54/B55</f>
        <v>0.57735026918962573</v>
      </c>
      <c r="D56" s="11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showGridLines="0" tabSelected="1" topLeftCell="D43" zoomScale="80" zoomScaleNormal="80" zoomScalePageLayoutView="150" workbookViewId="0">
      <selection activeCell="E17" sqref="E17"/>
    </sheetView>
  </sheetViews>
  <sheetFormatPr defaultColWidth="28.28515625" defaultRowHeight="15" x14ac:dyDescent="0.2"/>
  <cols>
    <col min="1" max="1" width="35.28515625" style="1" customWidth="1"/>
    <col min="2" max="5" width="28.5703125" style="1" customWidth="1"/>
    <col min="6" max="7" width="31.85546875" style="1" customWidth="1"/>
    <col min="8" max="16384" width="28.28515625" style="1"/>
  </cols>
  <sheetData>
    <row r="1" spans="1:4" ht="15.75" thickBot="1" x14ac:dyDescent="0.25"/>
    <row r="2" spans="1:4" ht="20.25" thickBot="1" x14ac:dyDescent="0.3">
      <c r="A2" s="2" t="s">
        <v>93</v>
      </c>
      <c r="B2" s="8"/>
      <c r="C2" s="8"/>
      <c r="D2" s="3"/>
    </row>
    <row r="5" spans="1:4" x14ac:dyDescent="0.2">
      <c r="A5" s="1" t="s">
        <v>82</v>
      </c>
      <c r="B5" s="80">
        <v>0.6</v>
      </c>
    </row>
    <row r="6" spans="1:4" x14ac:dyDescent="0.2">
      <c r="A6" s="1" t="s">
        <v>83</v>
      </c>
      <c r="B6" s="91">
        <f>1-B5</f>
        <v>0.4</v>
      </c>
    </row>
    <row r="7" spans="1:4" x14ac:dyDescent="0.2">
      <c r="A7" s="10"/>
    </row>
    <row r="8" spans="1:4" x14ac:dyDescent="0.2">
      <c r="A8" s="1" t="s">
        <v>94</v>
      </c>
      <c r="B8" s="89">
        <f>'Portfolio Return and Risk'!B8</f>
        <v>2.5000000000000001E-2</v>
      </c>
    </row>
    <row r="9" spans="1:4" x14ac:dyDescent="0.2">
      <c r="A9" s="10"/>
    </row>
    <row r="10" spans="1:4" x14ac:dyDescent="0.2">
      <c r="A10" s="10" t="s">
        <v>57</v>
      </c>
    </row>
    <row r="11" spans="1:4" x14ac:dyDescent="0.2">
      <c r="A11" s="10"/>
    </row>
    <row r="12" spans="1:4" x14ac:dyDescent="0.2">
      <c r="A12" s="1" t="s">
        <v>6</v>
      </c>
      <c r="B12" s="80">
        <f>Equities!D11</f>
        <v>0.11100000000000002</v>
      </c>
    </row>
    <row r="13" spans="1:4" x14ac:dyDescent="0.2">
      <c r="A13" s="1" t="s">
        <v>79</v>
      </c>
      <c r="B13" s="89">
        <f>B12-B8</f>
        <v>8.6000000000000021E-2</v>
      </c>
      <c r="C13" s="50"/>
    </row>
    <row r="14" spans="1:4" x14ac:dyDescent="0.2">
      <c r="A14" s="1" t="s">
        <v>80</v>
      </c>
      <c r="B14" s="80">
        <f>Equities!F43</f>
        <v>0.21704607805717202</v>
      </c>
      <c r="D14" s="11"/>
    </row>
    <row r="15" spans="1:4" x14ac:dyDescent="0.2">
      <c r="A15" s="1" t="s">
        <v>55</v>
      </c>
      <c r="B15" s="78">
        <f>B13/B14</f>
        <v>0.39622922823487644</v>
      </c>
      <c r="D15" s="11"/>
    </row>
    <row r="16" spans="1:4" x14ac:dyDescent="0.2">
      <c r="B16" s="79"/>
      <c r="D16" s="11"/>
    </row>
    <row r="17" spans="1:4" x14ac:dyDescent="0.2">
      <c r="A17" s="1" t="s">
        <v>6</v>
      </c>
      <c r="B17" s="80">
        <f>Bonds!D11</f>
        <v>3.500000000000001E-2</v>
      </c>
      <c r="D17" s="11"/>
    </row>
    <row r="18" spans="1:4" x14ac:dyDescent="0.2">
      <c r="A18" s="1" t="s">
        <v>56</v>
      </c>
      <c r="B18" s="89">
        <f>B17-B8</f>
        <v>1.0000000000000009E-2</v>
      </c>
      <c r="D18" s="11"/>
    </row>
    <row r="19" spans="1:4" x14ac:dyDescent="0.2">
      <c r="A19" s="1" t="s">
        <v>81</v>
      </c>
      <c r="B19" s="80">
        <f>Bonds!F43</f>
        <v>8.5000000000000006E-2</v>
      </c>
      <c r="D19" s="11"/>
    </row>
    <row r="20" spans="1:4" x14ac:dyDescent="0.2">
      <c r="A20" s="1" t="s">
        <v>55</v>
      </c>
      <c r="B20" s="78">
        <f>B18/B19</f>
        <v>0.11764705882352951</v>
      </c>
      <c r="D20" s="11"/>
    </row>
    <row r="21" spans="1:4" x14ac:dyDescent="0.2">
      <c r="B21" s="79"/>
      <c r="D21" s="11"/>
    </row>
    <row r="22" spans="1:4" x14ac:dyDescent="0.2">
      <c r="A22" s="1" t="s">
        <v>48</v>
      </c>
      <c r="B22" s="81">
        <f>'Covariance and Correlation'!D29</f>
        <v>-0.70952675753687167</v>
      </c>
      <c r="D22" s="11"/>
    </row>
    <row r="23" spans="1:4" x14ac:dyDescent="0.2">
      <c r="A23" s="1" t="s">
        <v>44</v>
      </c>
      <c r="B23" s="78">
        <f>B22*B19*B14</f>
        <v>-1.3090000000000003E-2</v>
      </c>
      <c r="D23" s="11"/>
    </row>
    <row r="24" spans="1:4" x14ac:dyDescent="0.2">
      <c r="B24" s="74"/>
      <c r="D24" s="11"/>
    </row>
    <row r="25" spans="1:4" x14ac:dyDescent="0.2">
      <c r="B25" s="74"/>
      <c r="D25" s="11"/>
    </row>
    <row r="26" spans="1:4" x14ac:dyDescent="0.2">
      <c r="A26" s="10" t="s">
        <v>58</v>
      </c>
      <c r="D26" s="11"/>
    </row>
    <row r="27" spans="1:4" x14ac:dyDescent="0.2">
      <c r="A27" s="10"/>
      <c r="D27" s="11"/>
    </row>
    <row r="28" spans="1:4" x14ac:dyDescent="0.2">
      <c r="A28" s="1" t="s">
        <v>60</v>
      </c>
      <c r="B28" s="75">
        <f>B5*B13+B6*B18</f>
        <v>5.5600000000000017E-2</v>
      </c>
      <c r="D28" s="11"/>
    </row>
    <row r="29" spans="1:4" x14ac:dyDescent="0.2">
      <c r="A29" s="1" t="s">
        <v>62</v>
      </c>
      <c r="B29" s="75">
        <f>SQRT(B5^2*B14^2+B6^2*B19^2+2*B23*B5*B6)</f>
        <v>0.10877518099272464</v>
      </c>
      <c r="D29" s="11"/>
    </row>
    <row r="30" spans="1:4" x14ac:dyDescent="0.2">
      <c r="A30" s="1" t="s">
        <v>55</v>
      </c>
      <c r="B30" s="76">
        <f>B28/B29</f>
        <v>0.51114601228490519</v>
      </c>
      <c r="D30" s="11"/>
    </row>
    <row r="34" spans="2:9" x14ac:dyDescent="0.2">
      <c r="B34" s="95" t="s">
        <v>86</v>
      </c>
      <c r="C34" s="96"/>
      <c r="E34" s="9">
        <f>1*$B$19*$B$14</f>
        <v>1.8448916634859622E-2</v>
      </c>
      <c r="F34" s="9">
        <f>0.7*$B$19*$B$14</f>
        <v>1.2914241644401735E-2</v>
      </c>
      <c r="G34" s="9">
        <f>0*$B$19*$B$14</f>
        <v>0</v>
      </c>
      <c r="H34" s="9">
        <f>'Covariance and Correlation'!D29*$B$19*$B$14</f>
        <v>-1.3090000000000003E-2</v>
      </c>
      <c r="I34" s="9">
        <f>-1*$B$19*$B$14</f>
        <v>-1.8448916634859622E-2</v>
      </c>
    </row>
    <row r="35" spans="2:9" x14ac:dyDescent="0.2">
      <c r="B35" s="82" t="s">
        <v>96</v>
      </c>
      <c r="C35" s="83" t="s">
        <v>95</v>
      </c>
      <c r="D35" s="1" t="s">
        <v>6</v>
      </c>
      <c r="E35" s="9" t="s">
        <v>87</v>
      </c>
      <c r="F35" s="9" t="s">
        <v>88</v>
      </c>
      <c r="G35" s="9" t="s">
        <v>89</v>
      </c>
      <c r="H35" s="9" t="s">
        <v>91</v>
      </c>
      <c r="I35" s="9" t="s">
        <v>90</v>
      </c>
    </row>
    <row r="36" spans="2:9" x14ac:dyDescent="0.2">
      <c r="B36" s="84">
        <v>0</v>
      </c>
      <c r="C36" s="85">
        <f>1-B36</f>
        <v>1</v>
      </c>
      <c r="D36" s="90">
        <f t="shared" ref="D36:D47" si="0">B36*$B$12+C36*$B$17</f>
        <v>3.500000000000001E-2</v>
      </c>
      <c r="E36" s="90">
        <f>SQRT($B36^2*$B$14^2+$C36^2*$B$19^2+2*E$34*$B36*$C36)</f>
        <v>8.5000000000000006E-2</v>
      </c>
      <c r="F36" s="90">
        <f t="shared" ref="E36:I47" si="1">SQRT($B36^2*$B$14^2+$C36^2*$B$19^2+2*F$34*$B36*$C36)</f>
        <v>8.5000000000000006E-2</v>
      </c>
      <c r="G36" s="90">
        <f t="shared" si="1"/>
        <v>8.5000000000000006E-2</v>
      </c>
      <c r="H36" s="90">
        <f t="shared" si="1"/>
        <v>8.5000000000000006E-2</v>
      </c>
      <c r="I36" s="90">
        <f t="shared" si="1"/>
        <v>8.5000000000000006E-2</v>
      </c>
    </row>
    <row r="37" spans="2:9" x14ac:dyDescent="0.2">
      <c r="B37" s="86">
        <f>B36+0.1</f>
        <v>0.1</v>
      </c>
      <c r="C37" s="85">
        <f>1-B37</f>
        <v>0.9</v>
      </c>
      <c r="D37" s="90">
        <f t="shared" si="0"/>
        <v>4.2600000000000013E-2</v>
      </c>
      <c r="E37" s="90">
        <f t="shared" si="1"/>
        <v>9.8204607805717214E-2</v>
      </c>
      <c r="F37" s="90">
        <f t="shared" si="1"/>
        <v>9.2994104630306079E-2</v>
      </c>
      <c r="G37" s="90">
        <f t="shared" si="1"/>
        <v>7.9519431587505712E-2</v>
      </c>
      <c r="H37" s="90">
        <f t="shared" si="1"/>
        <v>6.2985236365357883E-2</v>
      </c>
      <c r="I37" s="90">
        <f t="shared" si="1"/>
        <v>5.479539219428281E-2</v>
      </c>
    </row>
    <row r="38" spans="2:9" x14ac:dyDescent="0.2">
      <c r="B38" s="86">
        <f t="shared" ref="B38:B46" si="2">B37+0.1</f>
        <v>0.2</v>
      </c>
      <c r="C38" s="85">
        <f t="shared" ref="C38:C47" si="3">1-B38</f>
        <v>0.8</v>
      </c>
      <c r="D38" s="90">
        <f t="shared" si="0"/>
        <v>5.0200000000000015E-2</v>
      </c>
      <c r="E38" s="90">
        <f t="shared" si="1"/>
        <v>0.11140921561143442</v>
      </c>
      <c r="F38" s="90">
        <f t="shared" si="1"/>
        <v>0.10315482211805979</v>
      </c>
      <c r="G38" s="90">
        <f t="shared" si="1"/>
        <v>8.0674407342105722E-2</v>
      </c>
      <c r="H38" s="90">
        <f t="shared" si="1"/>
        <v>4.8161810597194134E-2</v>
      </c>
      <c r="I38" s="90">
        <f t="shared" si="1"/>
        <v>2.4590784388565611E-2</v>
      </c>
    </row>
    <row r="39" spans="2:9" x14ac:dyDescent="0.2">
      <c r="B39" s="93">
        <f>B19/(B14+B19)</f>
        <v>0.28141401651939674</v>
      </c>
      <c r="C39" s="85">
        <f t="shared" ref="C39" si="4">1-B39</f>
        <v>0.71858598348060321</v>
      </c>
      <c r="D39" s="90">
        <f t="shared" ref="D39" si="5">B39*$B$12+C39*$B$17</f>
        <v>5.6387465255474167E-2</v>
      </c>
      <c r="E39" s="90">
        <f t="shared" si="1"/>
        <v>0.12215961719170255</v>
      </c>
      <c r="F39" s="90">
        <f t="shared" si="1"/>
        <v>0.11262560215847822</v>
      </c>
      <c r="G39" s="90">
        <f t="shared" si="1"/>
        <v>8.6379893703405639E-2</v>
      </c>
      <c r="H39" s="90">
        <f t="shared" si="1"/>
        <v>4.6554935748336669E-2</v>
      </c>
      <c r="I39" s="94">
        <f t="shared" si="1"/>
        <v>1.3170890159654386E-9</v>
      </c>
    </row>
    <row r="40" spans="2:9" x14ac:dyDescent="0.2">
      <c r="B40" s="86">
        <f>B38+0.1</f>
        <v>0.30000000000000004</v>
      </c>
      <c r="C40" s="85">
        <f t="shared" si="3"/>
        <v>0.7</v>
      </c>
      <c r="D40" s="90">
        <f t="shared" si="0"/>
        <v>5.7800000000000018E-2</v>
      </c>
      <c r="E40" s="90">
        <f t="shared" si="1"/>
        <v>0.12461382341715162</v>
      </c>
      <c r="F40" s="90">
        <f t="shared" si="1"/>
        <v>0.11490883991516375</v>
      </c>
      <c r="G40" s="90">
        <f t="shared" si="1"/>
        <v>8.8204648403584732E-2</v>
      </c>
      <c r="H40" s="90">
        <f t="shared" si="1"/>
        <v>4.7773004929562463E-2</v>
      </c>
      <c r="I40" s="90">
        <f t="shared" si="1"/>
        <v>5.6138234171516262E-3</v>
      </c>
    </row>
    <row r="41" spans="2:9" x14ac:dyDescent="0.2">
      <c r="B41" s="86">
        <f t="shared" si="2"/>
        <v>0.4</v>
      </c>
      <c r="C41" s="85">
        <f t="shared" si="3"/>
        <v>0.6</v>
      </c>
      <c r="D41" s="90">
        <f t="shared" si="0"/>
        <v>6.5400000000000014E-2</v>
      </c>
      <c r="E41" s="90">
        <f t="shared" si="1"/>
        <v>0.13781843122286883</v>
      </c>
      <c r="F41" s="90">
        <f t="shared" si="1"/>
        <v>0.127817354022499</v>
      </c>
      <c r="G41" s="90">
        <f t="shared" si="1"/>
        <v>0.10068982073675573</v>
      </c>
      <c r="H41" s="90">
        <f t="shared" si="1"/>
        <v>6.2090578995528806E-2</v>
      </c>
      <c r="I41" s="90">
        <f t="shared" si="1"/>
        <v>3.5818431222868825E-2</v>
      </c>
    </row>
    <row r="42" spans="2:9" x14ac:dyDescent="0.2">
      <c r="B42" s="86">
        <f t="shared" si="2"/>
        <v>0.5</v>
      </c>
      <c r="C42" s="85">
        <f t="shared" si="3"/>
        <v>0.5</v>
      </c>
      <c r="D42" s="90">
        <f t="shared" si="0"/>
        <v>7.3000000000000009E-2</v>
      </c>
      <c r="E42" s="90">
        <f t="shared" si="1"/>
        <v>0.15102303902858602</v>
      </c>
      <c r="F42" s="90">
        <f t="shared" si="1"/>
        <v>0.14156489968279876</v>
      </c>
      <c r="G42" s="90">
        <f t="shared" si="1"/>
        <v>0.11654827326048209</v>
      </c>
      <c r="H42" s="90">
        <f t="shared" si="1"/>
        <v>8.3895768665648462E-2</v>
      </c>
      <c r="I42" s="90">
        <f t="shared" si="1"/>
        <v>6.6023039028586014E-2</v>
      </c>
    </row>
    <row r="43" spans="2:9" x14ac:dyDescent="0.2">
      <c r="B43" s="86">
        <f t="shared" si="2"/>
        <v>0.6</v>
      </c>
      <c r="C43" s="85">
        <f t="shared" si="3"/>
        <v>0.4</v>
      </c>
      <c r="D43" s="92">
        <f t="shared" si="0"/>
        <v>8.0600000000000005E-2</v>
      </c>
      <c r="E43" s="90">
        <f t="shared" si="1"/>
        <v>0.16422764683430321</v>
      </c>
      <c r="F43" s="90">
        <f t="shared" si="1"/>
        <v>0.15592971490165958</v>
      </c>
      <c r="G43" s="90">
        <f t="shared" si="1"/>
        <v>0.13459286756734179</v>
      </c>
      <c r="H43" s="92">
        <f t="shared" si="1"/>
        <v>0.10877518099272464</v>
      </c>
      <c r="I43" s="90">
        <f t="shared" si="1"/>
        <v>9.622764683430321E-2</v>
      </c>
    </row>
    <row r="44" spans="2:9" x14ac:dyDescent="0.2">
      <c r="B44" s="86">
        <f t="shared" si="2"/>
        <v>0.7</v>
      </c>
      <c r="C44" s="85">
        <f t="shared" si="3"/>
        <v>0.30000000000000004</v>
      </c>
      <c r="D44" s="90">
        <f t="shared" si="0"/>
        <v>8.8200000000000014E-2</v>
      </c>
      <c r="E44" s="90">
        <f t="shared" si="1"/>
        <v>0.17743225464002041</v>
      </c>
      <c r="F44" s="90">
        <f t="shared" si="1"/>
        <v>0.17075608771182577</v>
      </c>
      <c r="G44" s="90">
        <f t="shared" si="1"/>
        <v>0.15405732699225963</v>
      </c>
      <c r="H44" s="90">
        <f t="shared" si="1"/>
        <v>0.13504021623205437</v>
      </c>
      <c r="I44" s="90">
        <f t="shared" si="1"/>
        <v>0.12643225464002039</v>
      </c>
    </row>
    <row r="45" spans="2:9" x14ac:dyDescent="0.2">
      <c r="B45" s="86">
        <f t="shared" si="2"/>
        <v>0.79999999999999993</v>
      </c>
      <c r="C45" s="85">
        <f t="shared" si="3"/>
        <v>0.20000000000000007</v>
      </c>
      <c r="D45" s="90">
        <f t="shared" si="0"/>
        <v>9.580000000000001E-2</v>
      </c>
      <c r="E45" s="90">
        <f t="shared" si="1"/>
        <v>0.19063686244573763</v>
      </c>
      <c r="F45" s="90">
        <f t="shared" si="1"/>
        <v>0.18593363688748887</v>
      </c>
      <c r="G45" s="90">
        <f t="shared" si="1"/>
        <v>0.17446707425758021</v>
      </c>
      <c r="H45" s="90">
        <f t="shared" si="1"/>
        <v>0.16201839401746951</v>
      </c>
      <c r="I45" s="90">
        <f t="shared" si="1"/>
        <v>0.1566368624457376</v>
      </c>
    </row>
    <row r="46" spans="2:9" x14ac:dyDescent="0.2">
      <c r="B46" s="86">
        <f t="shared" si="2"/>
        <v>0.89999999999999991</v>
      </c>
      <c r="C46" s="85">
        <f t="shared" si="3"/>
        <v>0.10000000000000009</v>
      </c>
      <c r="D46" s="90">
        <f t="shared" si="0"/>
        <v>0.10340000000000001</v>
      </c>
      <c r="E46" s="90">
        <f t="shared" si="1"/>
        <v>0.20384147025145483</v>
      </c>
      <c r="F46" s="90">
        <f t="shared" si="1"/>
        <v>0.2013829771753122</v>
      </c>
      <c r="G46" s="90">
        <f t="shared" si="1"/>
        <v>0.19552631536445422</v>
      </c>
      <c r="H46" s="90">
        <f t="shared" si="1"/>
        <v>0.18940522696060952</v>
      </c>
      <c r="I46" s="90">
        <f t="shared" si="1"/>
        <v>0.18684147025145481</v>
      </c>
    </row>
    <row r="47" spans="2:9" x14ac:dyDescent="0.2">
      <c r="B47" s="87">
        <f t="shared" ref="B47" si="6">B46+0.1</f>
        <v>0.99999999999999989</v>
      </c>
      <c r="C47" s="88">
        <f t="shared" si="3"/>
        <v>0</v>
      </c>
      <c r="D47" s="90">
        <f t="shared" si="0"/>
        <v>0.111</v>
      </c>
      <c r="E47" s="90">
        <f t="shared" si="1"/>
        <v>0.21704607805717199</v>
      </c>
      <c r="F47" s="90">
        <f t="shared" si="1"/>
        <v>0.21704607805717199</v>
      </c>
      <c r="G47" s="90">
        <f t="shared" si="1"/>
        <v>0.21704607805717199</v>
      </c>
      <c r="H47" s="90">
        <f t="shared" si="1"/>
        <v>0.21704607805717199</v>
      </c>
      <c r="I47" s="90">
        <f t="shared" si="1"/>
        <v>0.21704607805717199</v>
      </c>
    </row>
  </sheetData>
  <mergeCells count="1">
    <mergeCell ref="B34:C34"/>
  </mergeCells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showGridLines="0" topLeftCell="A37" zoomScale="80" zoomScaleNormal="80" zoomScalePageLayoutView="150" workbookViewId="0">
      <selection activeCell="C18" sqref="C18"/>
    </sheetView>
  </sheetViews>
  <sheetFormatPr defaultColWidth="28.28515625" defaultRowHeight="15" x14ac:dyDescent="0.2"/>
  <cols>
    <col min="1" max="1" width="35.28515625" style="1" customWidth="1"/>
    <col min="2" max="5" width="28.5703125" style="1" customWidth="1"/>
    <col min="6" max="7" width="31.85546875" style="1" customWidth="1"/>
    <col min="8" max="16384" width="28.28515625" style="1"/>
  </cols>
  <sheetData>
    <row r="1" spans="1:4" ht="15.75" thickBot="1" x14ac:dyDescent="0.25"/>
    <row r="2" spans="1:4" ht="20.25" thickBot="1" x14ac:dyDescent="0.3">
      <c r="A2" s="2" t="s">
        <v>92</v>
      </c>
      <c r="B2" s="8"/>
      <c r="C2" s="8"/>
      <c r="D2" s="3"/>
    </row>
    <row r="5" spans="1:4" x14ac:dyDescent="0.2">
      <c r="A5" s="1" t="s">
        <v>84</v>
      </c>
      <c r="B5" s="80">
        <v>0.5</v>
      </c>
    </row>
    <row r="6" spans="1:4" x14ac:dyDescent="0.2">
      <c r="A6" s="1" t="s">
        <v>85</v>
      </c>
      <c r="B6" s="91">
        <f>1-B5</f>
        <v>0.5</v>
      </c>
    </row>
    <row r="7" spans="1:4" x14ac:dyDescent="0.2">
      <c r="A7" s="10"/>
    </row>
    <row r="8" spans="1:4" x14ac:dyDescent="0.2">
      <c r="A8" s="1" t="s">
        <v>94</v>
      </c>
      <c r="B8" s="89">
        <f>'Portfolio Return and Risk'!B8</f>
        <v>2.5000000000000001E-2</v>
      </c>
    </row>
    <row r="9" spans="1:4" x14ac:dyDescent="0.2">
      <c r="A9" s="10"/>
    </row>
    <row r="10" spans="1:4" x14ac:dyDescent="0.2">
      <c r="A10" s="10" t="s">
        <v>57</v>
      </c>
    </row>
    <row r="11" spans="1:4" x14ac:dyDescent="0.2">
      <c r="A11" s="10"/>
    </row>
    <row r="12" spans="1:4" x14ac:dyDescent="0.2">
      <c r="A12" s="1" t="s">
        <v>6</v>
      </c>
      <c r="B12" s="80">
        <v>7.4999999999999997E-2</v>
      </c>
    </row>
    <row r="13" spans="1:4" x14ac:dyDescent="0.2">
      <c r="A13" s="1" t="s">
        <v>64</v>
      </c>
      <c r="B13" s="89">
        <f>B12-B8</f>
        <v>4.9999999999999996E-2</v>
      </c>
      <c r="C13" s="50"/>
    </row>
    <row r="14" spans="1:4" x14ac:dyDescent="0.2">
      <c r="A14" s="1" t="s">
        <v>65</v>
      </c>
      <c r="B14" s="80">
        <v>0.1</v>
      </c>
      <c r="D14" s="11"/>
    </row>
    <row r="15" spans="1:4" x14ac:dyDescent="0.2">
      <c r="A15" s="1" t="s">
        <v>55</v>
      </c>
      <c r="B15" s="78">
        <f>B13/B14</f>
        <v>0.49999999999999994</v>
      </c>
      <c r="D15" s="11"/>
    </row>
    <row r="16" spans="1:4" x14ac:dyDescent="0.2">
      <c r="B16" s="79"/>
      <c r="D16" s="11"/>
    </row>
    <row r="17" spans="1:4" x14ac:dyDescent="0.2">
      <c r="A17" s="1" t="s">
        <v>6</v>
      </c>
      <c r="B17" s="80">
        <v>7.4999999999999997E-2</v>
      </c>
      <c r="D17" s="11"/>
    </row>
    <row r="18" spans="1:4" x14ac:dyDescent="0.2">
      <c r="A18" s="1" t="s">
        <v>66</v>
      </c>
      <c r="B18" s="89">
        <f>B17-B8</f>
        <v>4.9999999999999996E-2</v>
      </c>
      <c r="D18" s="11"/>
    </row>
    <row r="19" spans="1:4" x14ac:dyDescent="0.2">
      <c r="A19" s="1" t="s">
        <v>67</v>
      </c>
      <c r="B19" s="80">
        <v>0.1</v>
      </c>
      <c r="D19" s="11"/>
    </row>
    <row r="20" spans="1:4" x14ac:dyDescent="0.2">
      <c r="A20" s="1" t="s">
        <v>55</v>
      </c>
      <c r="B20" s="78">
        <f>B18/B19</f>
        <v>0.49999999999999994</v>
      </c>
      <c r="D20" s="11"/>
    </row>
    <row r="21" spans="1:4" x14ac:dyDescent="0.2">
      <c r="B21" s="79"/>
      <c r="D21" s="11"/>
    </row>
    <row r="22" spans="1:4" x14ac:dyDescent="0.2">
      <c r="A22" s="1" t="s">
        <v>48</v>
      </c>
      <c r="B22" s="81">
        <v>0.5</v>
      </c>
      <c r="D22" s="11"/>
    </row>
    <row r="23" spans="1:4" x14ac:dyDescent="0.2">
      <c r="A23" s="1" t="s">
        <v>44</v>
      </c>
      <c r="B23" s="78">
        <f>B22*B19*B14</f>
        <v>5.000000000000001E-3</v>
      </c>
      <c r="D23" s="11"/>
    </row>
    <row r="24" spans="1:4" x14ac:dyDescent="0.2">
      <c r="B24" s="74"/>
      <c r="D24" s="11"/>
    </row>
    <row r="25" spans="1:4" x14ac:dyDescent="0.2">
      <c r="B25" s="74"/>
      <c r="D25" s="11"/>
    </row>
    <row r="26" spans="1:4" x14ac:dyDescent="0.2">
      <c r="A26" s="10" t="s">
        <v>58</v>
      </c>
      <c r="D26" s="11"/>
    </row>
    <row r="27" spans="1:4" x14ac:dyDescent="0.2">
      <c r="A27" s="10"/>
      <c r="D27" s="11"/>
    </row>
    <row r="28" spans="1:4" x14ac:dyDescent="0.2">
      <c r="A28" s="1" t="s">
        <v>60</v>
      </c>
      <c r="B28" s="75">
        <f>B5*B13+B6*B18</f>
        <v>4.9999999999999996E-2</v>
      </c>
      <c r="D28" s="11"/>
    </row>
    <row r="29" spans="1:4" x14ac:dyDescent="0.2">
      <c r="A29" s="1" t="s">
        <v>62</v>
      </c>
      <c r="B29" s="75">
        <f>SQRT(B5^2*B14^2+B6^2*B19^2+2*B23*B5*B6)</f>
        <v>8.6602540378443879E-2</v>
      </c>
      <c r="D29" s="11"/>
    </row>
    <row r="30" spans="1:4" x14ac:dyDescent="0.2">
      <c r="A30" s="1" t="s">
        <v>55</v>
      </c>
      <c r="B30" s="76">
        <f>B28/B29</f>
        <v>0.57735026918962562</v>
      </c>
      <c r="D30" s="11"/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Equities</vt:lpstr>
      <vt:lpstr>Bonds</vt:lpstr>
      <vt:lpstr>Covariance and Correlation</vt:lpstr>
      <vt:lpstr>Portfolio Return and Risk</vt:lpstr>
      <vt:lpstr>Diversification Benefit</vt:lpstr>
      <vt:lpstr>Div Ben. Simple Exmpl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Ah-Boon Sim</dc:creator>
  <cp:lastModifiedBy>Robert Bishop</cp:lastModifiedBy>
  <dcterms:created xsi:type="dcterms:W3CDTF">2014-03-09T00:42:21Z</dcterms:created>
  <dcterms:modified xsi:type="dcterms:W3CDTF">2020-02-27T05:42:18Z</dcterms:modified>
</cp:coreProperties>
</file>